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13_ncr:1_{8F24ACFB-87FA-4284-ABDD-2A5BCF7035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0" l="1"/>
  <c r="G24" i="10"/>
  <c r="G25" i="10"/>
  <c r="G23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B8" i="10"/>
  <c r="B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14" i="10" l="1"/>
  <c r="D5" i="12"/>
  <c r="D6" i="12"/>
  <c r="D7" i="12"/>
  <c r="D8" i="12"/>
  <c r="D9" i="12"/>
  <c r="D10" i="12"/>
  <c r="D11" i="12"/>
  <c r="D12" i="12"/>
  <c r="B6" i="10" s="1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31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3" i="10"/>
  <c r="H34" i="10" l="1"/>
  <c r="B3" i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Z3" i="1" l="1"/>
  <c r="H8" i="10"/>
  <c r="H13" i="10"/>
  <c r="H15" i="10"/>
  <c r="E25" i="10"/>
  <c r="C23" i="10"/>
  <c r="H14" i="10"/>
  <c r="H11" i="10"/>
  <c r="H18" i="10"/>
  <c r="F25" i="10"/>
  <c r="B7" i="15" s="1"/>
  <c r="C7" i="15" s="1"/>
  <c r="E7" i="15" s="1"/>
  <c r="H12" i="10"/>
  <c r="F24" i="10"/>
  <c r="B6" i="15" s="1"/>
  <c r="C6" i="15" s="1"/>
  <c r="E6" i="15" s="1"/>
  <c r="D25" i="10"/>
  <c r="C25" i="10"/>
  <c r="E24" i="10"/>
  <c r="H17" i="10"/>
  <c r="D23" i="10"/>
  <c r="C24" i="10"/>
  <c r="D24" i="10"/>
  <c r="E23" i="10"/>
  <c r="H6" i="10"/>
  <c r="H16" i="10"/>
  <c r="F23" i="10"/>
  <c r="H10" i="10"/>
  <c r="H7" i="10"/>
  <c r="H9" i="10"/>
  <c r="G5" i="10"/>
  <c r="D5" i="10"/>
  <c r="E5" i="10"/>
  <c r="G19" i="10" l="1"/>
  <c r="H5" i="10"/>
  <c r="H24" i="10"/>
  <c r="C26" i="10"/>
  <c r="H19" i="10"/>
  <c r="F26" i="10"/>
  <c r="B5" i="15"/>
  <c r="H23" i="10"/>
  <c r="D26" i="10"/>
  <c r="E26" i="10"/>
  <c r="H25" i="10"/>
  <c r="B31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<sst xmlns="http://schemas.openxmlformats.org/spreadsheetml/2006/main" count="12806" uniqueCount="2160">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</sst>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0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0" fillId="0" borderId="1" xfId="0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 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171750.798862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TEXT(B6,"aaaa")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/>
    <tableColumn id="23" xr3:uid="{F3E15983-26E8-48EA-BAE3-93AE57AB691D}" name="Discount $" dataDxfId="20">
      <calculatedColumnFormula>U6*V6</calculatedColumnFormula>
    </tableColumn>
    <tableColumn id="24" xr3:uid="{0E51287A-B935-4452-97C9-D74BB7955A2F}" name="Order Total" dataDxfId="19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C6" sqref="C6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11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5.14062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.85546875" customWidth="1"/>
    <col min="17" max="17" width="12" customWidth="1"/>
    <col min="18" max="18" width="12.7109375" customWidth="1"/>
    <col min="19" max="19" width="13.7109375" customWidth="1"/>
    <col min="20" max="20" width="15.28515625" customWidth="1"/>
    <col min="21" max="21" width="12.140625" customWidth="1"/>
    <col min="22" max="22" width="11.85546875" customWidth="1"/>
    <col min="23" max="23" width="11.42578125" customWidth="1"/>
    <col min="24" max="24" width="12.5703125" customWidth="1"/>
    <col min="25" max="25" width="14.42578125" customWidth="1"/>
    <col min="26" max="26" width="12.42578125" bestFit="1" customWidth="1"/>
  </cols>
  <sheetData>
    <row r="1" spans="1:26" ht="33.950000000000003" customHeight="1" x14ac:dyDescent="0.5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25">
      <c r="A3" s="7" t="s">
        <v>1862</v>
      </c>
      <c r="B3" s="10">
        <f>COUNTA(Order_No)</f>
        <v>1039</v>
      </c>
      <c r="Y3" s="7" t="s">
        <v>2151</v>
      </c>
      <c r="Z3" s="36">
        <f>SUM(Total)</f>
        <v>1138806.9295619989</v>
      </c>
    </row>
    <row r="5" spans="1:26" ht="18" customHeight="1" x14ac:dyDescent="0.25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25">
      <c r="A6" t="s">
        <v>930</v>
      </c>
      <c r="B6" s="1">
        <v>41316</v>
      </c>
      <c r="C6" s="2" t="str">
        <f t="shared" ref="C6:C69" si="0">TEXT(B6,"aaaa")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25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25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25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25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25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25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25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25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25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25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25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25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25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25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25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25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25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25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25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25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25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25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25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25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25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25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25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25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25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25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25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25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25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25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25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25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25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25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25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25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25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25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25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25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25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25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25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25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25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25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25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25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25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25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25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25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25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25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25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25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25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25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25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25">
      <c r="A70" t="s">
        <v>992</v>
      </c>
      <c r="B70" s="1">
        <v>41430</v>
      </c>
      <c r="C70" s="2" t="str">
        <f t="shared" ref="C70:C133" si="7">TEXT(B70,"aaaa")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25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25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25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25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25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25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25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25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25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25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25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25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25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25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25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25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25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25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25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25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25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25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25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25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25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25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25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25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25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25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25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25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25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25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25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25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25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25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25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25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25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25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25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25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25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25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25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25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25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25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25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25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25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25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25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25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25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25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25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25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25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25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25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25">
      <c r="A134" t="s">
        <v>1050</v>
      </c>
      <c r="B134" s="1">
        <v>41510</v>
      </c>
      <c r="C134" s="2" t="str">
        <f t="shared" ref="C134:C197" si="14">TEXT(B134,"aaaa")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25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25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25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25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25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25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25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25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25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25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25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25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25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25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25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25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25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25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25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25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25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25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25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25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25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25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25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25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25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25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25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25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25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25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25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25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25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25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25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25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25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25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25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25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25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25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25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25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25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25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25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25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25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25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25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25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25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25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25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25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25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25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25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25">
      <c r="A198" t="s">
        <v>1110</v>
      </c>
      <c r="B198" s="1">
        <v>41596</v>
      </c>
      <c r="C198" s="2" t="str">
        <f t="shared" ref="C198:C261" si="21">TEXT(B198,"aaaa")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25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25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25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25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25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25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25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25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2150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25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25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25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25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25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25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25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25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25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25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25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25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25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25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25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25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25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25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25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25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25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25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25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25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25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25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25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25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25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25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25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25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25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25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25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25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25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25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25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25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25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25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25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25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25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25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25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25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25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25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25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25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25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25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25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25">
      <c r="A262" t="s">
        <v>1166</v>
      </c>
      <c r="B262" s="1">
        <v>41685</v>
      </c>
      <c r="C262" s="2" t="str">
        <f t="shared" ref="C262:C325" si="28">TEXT(B262,"aaaa")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25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25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25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25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25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25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25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25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25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25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25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25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25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25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25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25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25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25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25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25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25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25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25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25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25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25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25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25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25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25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25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25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25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25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25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25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25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25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25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25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25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25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25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25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25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25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25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25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25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25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25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25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25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25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25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25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25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25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25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25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25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25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25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25">
      <c r="A326" t="s">
        <v>1228</v>
      </c>
      <c r="B326" s="1">
        <v>41795</v>
      </c>
      <c r="C326" s="2" t="str">
        <f t="shared" ref="C326:C389" si="35">TEXT(B326,"aaaa")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25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25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25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25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25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25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25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25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25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25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25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25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25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25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25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25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25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25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25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25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25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25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25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25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25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25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25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25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25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25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25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25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25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25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25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25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25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25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25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25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25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25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25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25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25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25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25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25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25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25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25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25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25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25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25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25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25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25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25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25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25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25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25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25">
      <c r="A390" t="s">
        <v>1282</v>
      </c>
      <c r="B390" s="1">
        <v>41893</v>
      </c>
      <c r="C390" s="2" t="str">
        <f t="shared" ref="C390:C453" si="42">TEXT(B390,"aaaa")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25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25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25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25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25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25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25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25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25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25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25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25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25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25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25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25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25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25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25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25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25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25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25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25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25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25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25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25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25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25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25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25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25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25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25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25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25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25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25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25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25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25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25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25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25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25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25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25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25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25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25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25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25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25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25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25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25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25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25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25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25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25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25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25">
      <c r="A454" t="s">
        <v>1342</v>
      </c>
      <c r="B454" s="1">
        <v>41982</v>
      </c>
      <c r="C454" s="2" t="str">
        <f t="shared" ref="C454:C517" si="49">TEXT(B454,"aaaa")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25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25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25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25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25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25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25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25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25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25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25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25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25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25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25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25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25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25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25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25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25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25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25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25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25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25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25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25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25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25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25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25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25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25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25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25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25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25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25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25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25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25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25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25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25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25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25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25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25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25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25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25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25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25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25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25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25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25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25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25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25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25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25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25">
      <c r="A518" t="s">
        <v>1395</v>
      </c>
      <c r="B518" s="1">
        <v>42059</v>
      </c>
      <c r="C518" s="2" t="str">
        <f t="shared" ref="C518:C581" si="56">TEXT(B518,"aaaa")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25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25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25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25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25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25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25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25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25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25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25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25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25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25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25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25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25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25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25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25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25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25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25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25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25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25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25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25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25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25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25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25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25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25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25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25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25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25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25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25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25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25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25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25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25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25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25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25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25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25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25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25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25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25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25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25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25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25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25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25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25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25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25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25">
      <c r="A582" t="s">
        <v>1451</v>
      </c>
      <c r="B582" s="1">
        <v>42143</v>
      </c>
      <c r="C582" s="2" t="str">
        <f t="shared" ref="C582:C645" si="63">TEXT(B582,"aaaa")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25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25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25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25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25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25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25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25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25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25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25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25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25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25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25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25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25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25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25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25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25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25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25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25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25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25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25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25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25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25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25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25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25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25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25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25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25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25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25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25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25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25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25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25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25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25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25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25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25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25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25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25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25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25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25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25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25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25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25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25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25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25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25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25">
      <c r="A646" t="s">
        <v>1509</v>
      </c>
      <c r="B646" s="1">
        <v>42215</v>
      </c>
      <c r="C646" s="2" t="str">
        <f t="shared" ref="C646:C709" si="70">TEXT(B646,"aaaa")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25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25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25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25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25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25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25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25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25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25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25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25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25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25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25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25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25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25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25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25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25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25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25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25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25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25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25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25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25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25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25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25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25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25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25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25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25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25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25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25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25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25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25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25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25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25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25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25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25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25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25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25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25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25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25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25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25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25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25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25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25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25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25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25">
      <c r="A710" t="s">
        <v>1569</v>
      </c>
      <c r="B710" s="1">
        <v>42314</v>
      </c>
      <c r="C710" s="2" t="str">
        <f t="shared" ref="C710:C773" si="77">TEXT(B710,"aaaa")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25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25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25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25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25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25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25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25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25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25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25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25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25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25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25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25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25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25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25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25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25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25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25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25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25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25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25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25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25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25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25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25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25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25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25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25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25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25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25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25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25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25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25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25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25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25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25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25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25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25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25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25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25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25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25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25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25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25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25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25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25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25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25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25">
      <c r="A774" t="s">
        <v>1624</v>
      </c>
      <c r="B774" s="1">
        <v>42413</v>
      </c>
      <c r="C774" s="2" t="str">
        <f t="shared" ref="C774:C837" si="84">TEXT(B774,"aaaa")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25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25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25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25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25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25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25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25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25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25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25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25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25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25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25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25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25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25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25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25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25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25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25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25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25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25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25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25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25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25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25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25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25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25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25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25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25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25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25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25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25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25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25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25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25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25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25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25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25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25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25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25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25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25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25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25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25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25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25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25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25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25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25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25">
      <c r="A838" t="s">
        <v>1680</v>
      </c>
      <c r="B838" s="1">
        <v>42504</v>
      </c>
      <c r="C838" s="2" t="str">
        <f t="shared" ref="C838:C901" si="91">TEXT(B838,"aaaa")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25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25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25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25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25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25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25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25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25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25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25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25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25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25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25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25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25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25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25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25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25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25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25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25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25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25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25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25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25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25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25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25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25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25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25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25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25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25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25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25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25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25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25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25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25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25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25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25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25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25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25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25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25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25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25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25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25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25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25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25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25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25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25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25">
      <c r="A902" t="s">
        <v>1733</v>
      </c>
      <c r="B902" s="1">
        <v>42600</v>
      </c>
      <c r="C902" s="2" t="str">
        <f t="shared" ref="C902:C965" si="98">TEXT(B902,"aaaa")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25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25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25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25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25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25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25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25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25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25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25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25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25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25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25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25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25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25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25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25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25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25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25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25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25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25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25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25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25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25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25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25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25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25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25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25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25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25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25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25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25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25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25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25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25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25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25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25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25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25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25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25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25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25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25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25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25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25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25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25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25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25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25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25">
      <c r="A966" t="s">
        <v>1785</v>
      </c>
      <c r="B966" s="1">
        <v>42676</v>
      </c>
      <c r="C966" s="2" t="str">
        <f t="shared" ref="C966:C1029" si="105">TEXT(B966,"aaaa")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25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25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25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25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25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25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25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25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25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25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25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25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25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25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25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25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25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25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25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25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25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25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25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25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25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25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25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25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25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25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25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25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25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25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25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25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25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25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25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25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25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25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25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25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25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25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25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25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25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25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25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25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25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25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25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25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25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25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25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25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25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25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25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25">
      <c r="A1030" t="s">
        <v>1845</v>
      </c>
      <c r="B1030" s="1">
        <v>42754</v>
      </c>
      <c r="C1030" s="2" t="str">
        <f t="shared" ref="C1030:C1044" si="113">TEXT(B1030,"aaaa")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25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25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25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25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25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25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25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25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25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25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25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25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25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25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3" workbookViewId="0">
      <selection activeCell="C33" sqref="C33"/>
    </sheetView>
  </sheetViews>
  <sheetFormatPr defaultRowHeight="15" x14ac:dyDescent="0.25"/>
  <cols>
    <col min="1" max="1" width="12.85546875" customWidth="1"/>
    <col min="2" max="2" width="20.28515625" customWidth="1"/>
    <col min="3" max="3" width="15.28515625" customWidth="1"/>
    <col min="4" max="7" width="14.85546875" customWidth="1"/>
    <col min="8" max="8" width="13.7109375" customWidth="1"/>
  </cols>
  <sheetData>
    <row r="1" spans="1:19" ht="33.950000000000003" customHeight="1" x14ac:dyDescent="0.5">
      <c r="A1" s="9" t="s">
        <v>2149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25">
      <c r="A3" s="24" t="s">
        <v>1863</v>
      </c>
      <c r="B3" s="24"/>
      <c r="G3" s="32" t="s">
        <v>2158</v>
      </c>
      <c r="H3" s="38">
        <v>0.06</v>
      </c>
    </row>
    <row r="4" spans="1:19" x14ac:dyDescent="0.25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2152</v>
      </c>
    </row>
    <row r="5" spans="1:19" x14ac:dyDescent="0.25">
      <c r="A5" s="2" t="s">
        <v>1996</v>
      </c>
      <c r="B5" s="2" t="str">
        <f>VLOOKUP(A5,Staff[],4,0)</f>
        <v>Nicholas Fernandes</v>
      </c>
      <c r="C5" s="5">
        <f>SUM(D5:G5)</f>
        <v>62571.483500000002</v>
      </c>
      <c r="D5" s="5">
        <f t="shared" ref="D5:G18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28860.129326000002</v>
      </c>
    </row>
    <row r="6" spans="1:19" x14ac:dyDescent="0.25">
      <c r="A6" s="2" t="s">
        <v>2002</v>
      </c>
      <c r="B6" s="2" t="str">
        <f>VLOOKUP(A6,Staff[],4,0)</f>
        <v>Stevie Bacata</v>
      </c>
      <c r="C6" s="5">
        <f t="shared" ref="C6:C18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472.82317599999993</v>
      </c>
    </row>
    <row r="7" spans="1:19" x14ac:dyDescent="0.25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2975.7207219999996</v>
      </c>
    </row>
    <row r="8" spans="1:19" x14ac:dyDescent="0.25">
      <c r="A8" s="2" t="s">
        <v>2022</v>
      </c>
      <c r="B8" s="2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11324.496114</v>
      </c>
    </row>
    <row r="9" spans="1:19" x14ac:dyDescent="0.25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21857.05531</v>
      </c>
    </row>
    <row r="10" spans="1:19" x14ac:dyDescent="0.25">
      <c r="A10" s="2" t="s">
        <v>2038</v>
      </c>
      <c r="B10" s="2" t="str">
        <f>VLOOKUP(A10,Staff[],4,0)</f>
        <v>Tina Carlton</v>
      </c>
      <c r="C10" s="5">
        <f t="shared" si="1"/>
        <v>118852.40846199999</v>
      </c>
      <c r="D10" s="5">
        <f t="shared" si="0"/>
        <v>21750.561262000003</v>
      </c>
      <c r="E10" s="5">
        <f t="shared" si="0"/>
        <v>42012.128400000001</v>
      </c>
      <c r="F10" s="5">
        <f t="shared" si="0"/>
        <v>27109.998199999995</v>
      </c>
      <c r="G10" s="5">
        <f t="shared" si="0"/>
        <v>27979.720600000004</v>
      </c>
      <c r="H10" s="5">
        <f t="shared" si="2"/>
        <v>29658.503836000007</v>
      </c>
    </row>
    <row r="11" spans="1:19" x14ac:dyDescent="0.25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0"/>
        <v>5187.7125999999998</v>
      </c>
      <c r="E11" s="5">
        <f t="shared" si="0"/>
        <v>33803.7598</v>
      </c>
      <c r="F11" s="5">
        <f t="shared" si="0"/>
        <v>13366.221600000001</v>
      </c>
      <c r="G11" s="5">
        <f t="shared" si="0"/>
        <v>2722.2123000000001</v>
      </c>
      <c r="H11" s="5">
        <f t="shared" si="2"/>
        <v>2885.5450380000002</v>
      </c>
    </row>
    <row r="12" spans="1:19" x14ac:dyDescent="0.25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0"/>
        <v>8706.8624999999993</v>
      </c>
      <c r="E12" s="5">
        <f t="shared" si="0"/>
        <v>27899.607300000003</v>
      </c>
      <c r="F12" s="5">
        <f t="shared" si="0"/>
        <v>41877.791499999999</v>
      </c>
      <c r="G12" s="5">
        <f t="shared" si="0"/>
        <v>47802.912599999996</v>
      </c>
      <c r="H12" s="5">
        <f t="shared" si="2"/>
        <v>50671.087355999996</v>
      </c>
    </row>
    <row r="13" spans="1:19" x14ac:dyDescent="0.25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0"/>
        <v>20296.341799999998</v>
      </c>
      <c r="E13" s="5">
        <f t="shared" si="0"/>
        <v>4190.5551000000005</v>
      </c>
      <c r="F13" s="5">
        <f t="shared" si="0"/>
        <v>2993.3495999999991</v>
      </c>
      <c r="G13" s="5">
        <f t="shared" si="0"/>
        <v>41701.218699999998</v>
      </c>
      <c r="H13" s="5">
        <f t="shared" si="2"/>
        <v>44203.291821999999</v>
      </c>
    </row>
    <row r="14" spans="1:19" x14ac:dyDescent="0.25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0"/>
        <v>6351.314800000001</v>
      </c>
      <c r="E14" s="5">
        <f t="shared" si="0"/>
        <v>14097.026299999998</v>
      </c>
      <c r="F14" s="5">
        <f t="shared" si="0"/>
        <v>31907.880899999996</v>
      </c>
      <c r="G14" s="5">
        <f t="shared" si="0"/>
        <v>26818.288</v>
      </c>
      <c r="H14" s="5">
        <f t="shared" si="2"/>
        <v>28427.385280000002</v>
      </c>
    </row>
    <row r="15" spans="1:19" x14ac:dyDescent="0.25">
      <c r="A15" s="2" t="s">
        <v>2097</v>
      </c>
      <c r="B15" s="2" t="str">
        <f>VLOOKUP(A15,Staff[],4,0)</f>
        <v>Radhya Staples</v>
      </c>
      <c r="C15" s="5">
        <f t="shared" si="1"/>
        <v>72189.382999999987</v>
      </c>
      <c r="D15" s="5">
        <f t="shared" si="0"/>
        <v>3991.8021999999996</v>
      </c>
      <c r="E15" s="5">
        <f t="shared" si="0"/>
        <v>36284.862799999995</v>
      </c>
      <c r="F15" s="5">
        <f t="shared" si="0"/>
        <v>21313.6908</v>
      </c>
      <c r="G15" s="5">
        <f t="shared" si="0"/>
        <v>10599.0272</v>
      </c>
      <c r="H15" s="5">
        <f t="shared" si="2"/>
        <v>11234.968832</v>
      </c>
    </row>
    <row r="16" spans="1:19" x14ac:dyDescent="0.25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0"/>
        <v>538.94219999999996</v>
      </c>
      <c r="E16" s="5">
        <f t="shared" si="0"/>
        <v>3959.5741000000007</v>
      </c>
      <c r="F16" s="5">
        <f t="shared" si="0"/>
        <v>6498.4348000000009</v>
      </c>
      <c r="G16" s="5">
        <f t="shared" si="0"/>
        <v>7353.0956999999999</v>
      </c>
      <c r="H16" s="5">
        <f t="shared" si="2"/>
        <v>7794.2814420000004</v>
      </c>
    </row>
    <row r="17" spans="1:8" x14ac:dyDescent="0.25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0"/>
        <v>41077.482600000003</v>
      </c>
      <c r="E17" s="5">
        <f t="shared" si="0"/>
        <v>56246.561600000001</v>
      </c>
      <c r="F17" s="5">
        <f t="shared" si="0"/>
        <v>35551.66369999999</v>
      </c>
      <c r="G17" s="5">
        <f t="shared" si="0"/>
        <v>14032.223399999999</v>
      </c>
      <c r="H17" s="5">
        <f t="shared" si="2"/>
        <v>14874.156804</v>
      </c>
    </row>
    <row r="18" spans="1:8" x14ac:dyDescent="0.25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0"/>
        <v>15062.0996</v>
      </c>
      <c r="E18" s="5">
        <f t="shared" si="0"/>
        <v>10097.448199999999</v>
      </c>
      <c r="F18" s="5">
        <f t="shared" si="0"/>
        <v>22104.2487</v>
      </c>
      <c r="G18" s="5">
        <f t="shared" si="0"/>
        <v>31496.766900000002</v>
      </c>
      <c r="H18" s="5">
        <f t="shared" si="2"/>
        <v>33386.572914000004</v>
      </c>
    </row>
    <row r="19" spans="1:8" ht="15.75" thickBot="1" x14ac:dyDescent="0.3">
      <c r="A19" s="25" t="s">
        <v>2139</v>
      </c>
      <c r="B19" s="26"/>
      <c r="C19" s="27">
        <f>SUM(C5:C18)</f>
        <v>1116034.1007620001</v>
      </c>
      <c r="D19" s="27">
        <f>SUM(D5:D18)</f>
        <v>171750.79886200003</v>
      </c>
      <c r="E19" s="27">
        <f>SUM(E5:E18)</f>
        <v>319231.65949999995</v>
      </c>
      <c r="F19" s="27">
        <f>SUM(F5:F18)</f>
        <v>352762.94619999989</v>
      </c>
      <c r="G19" s="27">
        <f>SUM(G5:G18)</f>
        <v>272288.69620000001</v>
      </c>
      <c r="H19" s="27">
        <f>SUM(H17:H18)</f>
        <v>48260.729718000002</v>
      </c>
    </row>
    <row r="20" spans="1:8" ht="15.75" thickTop="1" x14ac:dyDescent="0.25"/>
    <row r="21" spans="1:8" x14ac:dyDescent="0.25">
      <c r="A21" s="15" t="s">
        <v>2141</v>
      </c>
    </row>
    <row r="22" spans="1:8" x14ac:dyDescent="0.25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25">
      <c r="A23" s="2" t="s">
        <v>35</v>
      </c>
      <c r="B23" s="3"/>
      <c r="C23" s="3">
        <f t="shared" ref="C23:F25" si="3">SUMIFS(Total,State,$A23,Order_Year,C$22)</f>
        <v>110215.00986199999</v>
      </c>
      <c r="D23" s="3">
        <f t="shared" si="3"/>
        <v>205523.37350000013</v>
      </c>
      <c r="E23" s="3">
        <f t="shared" si="3"/>
        <v>255144.8382000002</v>
      </c>
      <c r="F23" s="3">
        <f t="shared" si="3"/>
        <v>185959.90620000003</v>
      </c>
      <c r="G23" s="5">
        <f>SUM(C23:F23)</f>
        <v>756843.12776200031</v>
      </c>
      <c r="H23" s="5">
        <f t="shared" ref="H23:H25" si="4">AVERAGE(D23:F23)</f>
        <v>215542.70596666681</v>
      </c>
    </row>
    <row r="24" spans="1:8" x14ac:dyDescent="0.25">
      <c r="A24" s="2" t="s">
        <v>19</v>
      </c>
      <c r="B24" s="3"/>
      <c r="C24" s="3">
        <f t="shared" si="3"/>
        <v>49784.345099999991</v>
      </c>
      <c r="D24" s="3">
        <f t="shared" si="3"/>
        <v>84146.168900000033</v>
      </c>
      <c r="E24" s="3">
        <f t="shared" si="3"/>
        <v>77429.455199999997</v>
      </c>
      <c r="F24" s="3">
        <f t="shared" si="3"/>
        <v>61835.135999999999</v>
      </c>
      <c r="G24" s="5">
        <f t="shared" ref="G24:G25" si="5">SUM(C24:F24)</f>
        <v>273195.10519999999</v>
      </c>
      <c r="H24" s="5">
        <f t="shared" si="4"/>
        <v>74470.253366666671</v>
      </c>
    </row>
    <row r="25" spans="1:8" x14ac:dyDescent="0.25">
      <c r="A25" s="2" t="s">
        <v>1866</v>
      </c>
      <c r="B25" s="3"/>
      <c r="C25" s="3">
        <f t="shared" si="3"/>
        <v>11751.4439</v>
      </c>
      <c r="D25" s="3">
        <f t="shared" si="3"/>
        <v>29562.117100000003</v>
      </c>
      <c r="E25" s="3">
        <f t="shared" si="3"/>
        <v>20188.652800000003</v>
      </c>
      <c r="F25" s="3">
        <f t="shared" si="3"/>
        <v>24493.654000000002</v>
      </c>
      <c r="G25" s="5">
        <f t="shared" si="5"/>
        <v>85995.867800000007</v>
      </c>
      <c r="H25" s="5">
        <f t="shared" si="4"/>
        <v>24748.141300000003</v>
      </c>
    </row>
    <row r="26" spans="1:8" ht="15.75" thickBot="1" x14ac:dyDescent="0.3">
      <c r="A26" s="25" t="s">
        <v>2139</v>
      </c>
      <c r="B26" s="27"/>
      <c r="C26" s="27">
        <f>SUM(C23:C25)</f>
        <v>171750.798862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27">
        <f>SUM(G23:G25)</f>
        <v>1116034.1007620003</v>
      </c>
      <c r="H26" s="27">
        <f>AVERAGE(C26:G26)</f>
        <v>446413.64030480012</v>
      </c>
    </row>
    <row r="27" spans="1:8" ht="15.75" thickTop="1" x14ac:dyDescent="0.25">
      <c r="A27" s="12"/>
    </row>
    <row r="28" spans="1:8" x14ac:dyDescent="0.25">
      <c r="A28" s="30" t="s">
        <v>2144</v>
      </c>
    </row>
    <row r="29" spans="1:8" x14ac:dyDescent="0.25">
      <c r="A29" s="7" t="s">
        <v>2145</v>
      </c>
      <c r="B29" s="37" t="s">
        <v>2159</v>
      </c>
      <c r="C29" s="31" t="str">
        <f>INDEX(Emp_ID,MATCH(B29,Full_Name,0))</f>
        <v>E1250</v>
      </c>
      <c r="G29" s="7"/>
      <c r="H29" s="11" t="s">
        <v>2148</v>
      </c>
    </row>
    <row r="30" spans="1:8" x14ac:dyDescent="0.25">
      <c r="A30" s="12" t="s">
        <v>2146</v>
      </c>
      <c r="B30">
        <f>COUNTIFS(Account_Manager,C29)</f>
        <v>87</v>
      </c>
      <c r="C30" s="32" t="str">
        <f>IF(B30&lt;20,"Poor",IF(B30&lt;50,"Medium",IF(B30&lt;100,"Excellent")))</f>
        <v>Excellent</v>
      </c>
      <c r="G30" s="34" t="s">
        <v>20</v>
      </c>
      <c r="H30" s="14">
        <f>COUNTIFS(Customer_Type,G30,Account_Manager,$C$29)</f>
        <v>19</v>
      </c>
    </row>
    <row r="31" spans="1:8" x14ac:dyDescent="0.25">
      <c r="A31" t="s">
        <v>1939</v>
      </c>
      <c r="B31" s="5">
        <f>INDEX(C5:C18,MATCH(C29,A5:A18,0))</f>
        <v>78760.563399999999</v>
      </c>
      <c r="C31" s="32" t="str">
        <f>IF(B31&gt;=AVERAGE(C5:C18),"Above Average","Below Average")</f>
        <v>Below Average</v>
      </c>
      <c r="G31" s="35" t="s">
        <v>27</v>
      </c>
      <c r="H31" s="14">
        <f>COUNTIFS(Customer_Type,G31,Account_Manager,$C$29)</f>
        <v>25</v>
      </c>
    </row>
    <row r="32" spans="1:8" x14ac:dyDescent="0.25">
      <c r="A32" t="s">
        <v>2147</v>
      </c>
      <c r="B32" s="10">
        <v>2015</v>
      </c>
      <c r="C32" s="5">
        <f>INDEX(D5:G18,MATCH(B29,B5:B18,0),MATCH(B32,D4:G4,0))</f>
        <v>22104.2487</v>
      </c>
      <c r="G32" s="28" t="s">
        <v>39</v>
      </c>
      <c r="H32" s="14">
        <f>COUNTIFS(Customer_Type,G32,Account_Manager,$C$29)</f>
        <v>15</v>
      </c>
    </row>
    <row r="33" spans="7:8" x14ac:dyDescent="0.25">
      <c r="G33" s="29" t="s">
        <v>46</v>
      </c>
      <c r="H33" s="14">
        <f>COUNTIFS(Customer_Type,G33,Account_Manager,$C$29)</f>
        <v>28</v>
      </c>
    </row>
    <row r="34" spans="7:8" x14ac:dyDescent="0.25">
      <c r="G34" s="15" t="s">
        <v>839</v>
      </c>
      <c r="H34" s="39">
        <f>SUM(H30:H33)</f>
        <v>87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E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5" ht="33.950000000000003" customHeight="1" x14ac:dyDescent="0.5">
      <c r="A1" s="9" t="s">
        <v>2153</v>
      </c>
      <c r="B1" s="8"/>
      <c r="C1" s="8"/>
      <c r="D1" s="8"/>
      <c r="E1" s="8"/>
    </row>
    <row r="3" spans="1:5" x14ac:dyDescent="0.25">
      <c r="A3" s="15" t="s">
        <v>2153</v>
      </c>
    </row>
    <row r="4" spans="1:5" x14ac:dyDescent="0.25">
      <c r="A4" s="23" t="s">
        <v>2142</v>
      </c>
      <c r="B4" s="23" t="s">
        <v>2155</v>
      </c>
      <c r="C4" s="23" t="s">
        <v>2156</v>
      </c>
      <c r="D4" s="23" t="s">
        <v>2154</v>
      </c>
      <c r="E4" s="23" t="s">
        <v>2157</v>
      </c>
    </row>
    <row r="5" spans="1:5" x14ac:dyDescent="0.25">
      <c r="A5" s="2" t="s">
        <v>35</v>
      </c>
      <c r="B5" s="5">
        <f>'Sales Dash'!F23</f>
        <v>185959.90620000003</v>
      </c>
      <c r="C5" s="5">
        <f>B5*('Sales Dash'!$H$3+1)</f>
        <v>197117.50057200005</v>
      </c>
      <c r="D5" s="5">
        <v>64000</v>
      </c>
      <c r="E5" s="5">
        <f>C5-D5</f>
        <v>133117.50057200005</v>
      </c>
    </row>
    <row r="6" spans="1:5" x14ac:dyDescent="0.25">
      <c r="A6" s="2" t="s">
        <v>19</v>
      </c>
      <c r="B6" s="5">
        <f>'Sales Dash'!F24</f>
        <v>61835.135999999999</v>
      </c>
      <c r="C6" s="5">
        <f>B6*('Sales Dash'!$H$3+1)</f>
        <v>65545.244160000002</v>
      </c>
      <c r="D6" s="5">
        <v>38500</v>
      </c>
      <c r="E6" s="5">
        <f t="shared" ref="E6:E7" si="0">C6-D6</f>
        <v>27045.244160000002</v>
      </c>
    </row>
    <row r="7" spans="1:5" x14ac:dyDescent="0.25">
      <c r="A7" s="2" t="s">
        <v>1866</v>
      </c>
      <c r="B7" s="5">
        <f>'Sales Dash'!F25</f>
        <v>24493.654000000002</v>
      </c>
      <c r="C7" s="5">
        <f>B7*('Sales Dash'!$H$3+1)</f>
        <v>25963.273240000002</v>
      </c>
      <c r="D7" s="5">
        <v>12500</v>
      </c>
      <c r="E7" s="5">
        <f t="shared" si="0"/>
        <v>13463.273240000002</v>
      </c>
    </row>
    <row r="8" spans="1:5" ht="15.75" thickBot="1" x14ac:dyDescent="0.3">
      <c r="A8" s="26" t="s">
        <v>2139</v>
      </c>
      <c r="B8" s="27">
        <f>SUM(B5:B7)</f>
        <v>272288.69620000001</v>
      </c>
      <c r="C8" s="27">
        <f>SUM(C5:C7)</f>
        <v>288626.01797200006</v>
      </c>
      <c r="D8" s="27">
        <f>SUM(D5:D7)</f>
        <v>115000</v>
      </c>
      <c r="E8" s="27">
        <f>SUM(E5:E7)</f>
        <v>173626.01797200006</v>
      </c>
    </row>
    <row r="9" spans="1: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O38"/>
  <sheetViews>
    <sheetView workbookViewId="0">
      <selection activeCell="A4" sqref="A4"/>
    </sheetView>
  </sheetViews>
  <sheetFormatPr defaultColWidth="9.28515625" defaultRowHeight="15" x14ac:dyDescent="0.25"/>
  <cols>
    <col min="2" max="2" width="10.85546875" bestFit="1" customWidth="1"/>
    <col min="3" max="3" width="9" bestFit="1" customWidth="1"/>
    <col min="4" max="4" width="16.85546875" bestFit="1" customWidth="1"/>
    <col min="5" max="5" width="9.28515625" customWidth="1"/>
    <col min="6" max="6" width="29.140625" bestFit="1" customWidth="1"/>
    <col min="7" max="7" width="13.5703125" customWidth="1"/>
    <col min="8" max="8" width="14.42578125" customWidth="1"/>
    <col min="9" max="9" width="15.5703125" bestFit="1" customWidth="1"/>
    <col min="10" max="10" width="16.5703125" customWidth="1"/>
    <col min="11" max="11" width="7.28515625" customWidth="1"/>
    <col min="12" max="12" width="11.42578125" customWidth="1"/>
    <col min="13" max="13" width="13.28515625" customWidth="1"/>
    <col min="14" max="14" width="13.85546875" customWidth="1"/>
    <col min="15" max="15" width="15" customWidth="1"/>
  </cols>
  <sheetData>
    <row r="1" spans="1:15" ht="33.950000000000003" customHeight="1" x14ac:dyDescent="0.5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25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25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22.386111111111113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25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22.31388888888889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25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20.774999999999999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25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19.161111111111111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25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17.930555555555557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25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17.397222222222222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25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17.244444444444444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25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16.633333333333333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25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15.186111111111112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25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14.816666666666666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25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13.519444444444444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25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13.358333333333333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25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12.330555555555556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25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12.002777777777778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25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11.233333333333333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25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10.741666666666667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25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10.644444444444444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25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10.119444444444444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25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9.0611111111111118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25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8.7750000000000004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25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8.7472222222222218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25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8.6027777777777779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25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8.5111111111111111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25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8.4749999999999996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25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8.15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25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7.8555555555555552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25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7.8527777777777779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25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7.6027777777777779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25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7.5944444444444441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25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7.4666666666666668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25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7.4305555555555554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25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6.5916666666666668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25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6.5083333333333337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25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13.444444444444445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25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6.0861111111111112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2017-05-01T13:03:22Z</dcterms:created>
  <dcterms:modified xsi:type="dcterms:W3CDTF">2023-06-20T09:20:49Z</dcterms:modified>
</cp:coreProperties>
</file>