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4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5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6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drawings/drawing7.xml" ContentType="application/vnd.openxmlformats-officedocument.drawing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drawings/drawing8.xml" ContentType="application/vnd.openxmlformats-officedocument.drawing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drawings/drawing9.xml" ContentType="application/vnd.openxmlformats-officedocument.drawing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drawings/drawing10.xml" ContentType="application/vnd.openxmlformats-officedocument.drawing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drawings/drawing11.xml" ContentType="application/vnd.openxmlformats-officedocument.drawing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drawings/drawing12.xml" ContentType="application/vnd.openxmlformats-officedocument.drawing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drawings/drawing13.xml" ContentType="application/vnd.openxmlformats-officedocument.drawing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drawings/drawing14.xml" ContentType="application/vnd.openxmlformats-officedocument.drawing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drawings/drawing15.xml" ContentType="application/vnd.openxmlformats-officedocument.drawing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omments2.xml" ContentType="application/vnd.openxmlformats-officedocument.spreadsheetml.comments+xml"/>
  <Override PartName="/xl/drawings/drawing17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omments3.xml" ContentType="application/vnd.openxmlformats-officedocument.spreadsheetml.comments+xml"/>
  <Override PartName="/xl/drawings/drawing18.xml" ContentType="application/vnd.openxmlformats-officedocument.drawing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omments4.xml" ContentType="application/vnd.openxmlformats-officedocument.spreadsheetml.comments+xml"/>
  <Override PartName="/xl/drawings/drawing19.xml" ContentType="application/vnd.openxmlformats-officedocument.drawing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omments5.xml" ContentType="application/vnd.openxmlformats-officedocument.spreadsheetml.comments+xml"/>
  <Override PartName="/xl/drawings/drawing20.xml" ContentType="application/vnd.openxmlformats-officedocument.drawing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omments6.xml" ContentType="application/vnd.openxmlformats-officedocument.spreadsheetml.comments+xml"/>
  <Override PartName="/xl/drawings/drawing21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omments7.xml" ContentType="application/vnd.openxmlformats-officedocument.spreadsheetml.comments+xml"/>
  <Override PartName="/xl/drawings/drawing22.xml" ContentType="application/vnd.openxmlformats-officedocument.drawing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omments8.xml" ContentType="application/vnd.openxmlformats-officedocument.spreadsheetml.comments+xml"/>
  <Override PartName="/xl/drawings/drawing23.xml" ContentType="application/vnd.openxmlformats-officedocument.drawing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omments9.xml" ContentType="application/vnd.openxmlformats-officedocument.spreadsheetml.comments+xml"/>
  <Override PartName="/xl/drawings/drawing24.xml" ContentType="application/vnd.openxmlformats-officedocument.drawing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omments10.xml" ContentType="application/vnd.openxmlformats-officedocument.spreadsheetml.comments+xml"/>
  <Override PartName="/xl/drawings/drawing25.xml" ContentType="application/vnd.openxmlformats-officedocument.drawing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omments11.xml" ContentType="application/vnd.openxmlformats-officedocument.spreadsheetml.comments+xml"/>
  <Override PartName="/xl/drawings/drawing26.xml" ContentType="application/vnd.openxmlformats-officedocument.drawing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omments12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13.xml" ContentType="application/vnd.openxmlformats-officedocument.spreadsheetml.comments+xml"/>
  <Override PartName="/xl/drawings/drawing29.xml" ContentType="application/vnd.openxmlformats-officedocument.drawing+xml"/>
  <Override PartName="/xl/comments14.xml" ContentType="application/vnd.openxmlformats-officedocument.spreadsheetml.comments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fileSharing readOnlyRecommended="1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silva\Desktop\"/>
    </mc:Choice>
  </mc:AlternateContent>
  <xr:revisionPtr revIDLastSave="0" documentId="13_ncr:1_{92EC5608-AA0E-4E6A-B18D-9B68AFF128DA}" xr6:coauthVersionLast="47" xr6:coauthVersionMax="47" xr10:uidLastSave="{00000000-0000-0000-0000-000000000000}"/>
  <bookViews>
    <workbookView xWindow="-108" yWindow="-108" windowWidth="23256" windowHeight="13896" tabRatio="659" activeTab="1" xr2:uid="{04F36C83-C846-453C-94A4-9FFF6819DE0A}"/>
  </bookViews>
  <sheets>
    <sheet name="Matriz Certificados" sheetId="40" r:id="rId1"/>
    <sheet name="Certificado" sheetId="16" r:id="rId2"/>
    <sheet name="Dados" sheetId="1" r:id="rId3"/>
    <sheet name="Resultados - 1" sheetId="7" r:id="rId4"/>
    <sheet name="Resultados - 2" sheetId="14" r:id="rId5"/>
    <sheet name="Resultados - 3" sheetId="29" r:id="rId6"/>
    <sheet name="Resultados - 4" sheetId="28" r:id="rId7"/>
    <sheet name="Resultados - 5" sheetId="27" r:id="rId8"/>
    <sheet name="Resultados - 6" sheetId="26" r:id="rId9"/>
    <sheet name="Resultados - 7" sheetId="25" r:id="rId10"/>
    <sheet name="Resultados - 8" sheetId="24" r:id="rId11"/>
    <sheet name="Resultados - 9" sheetId="23" r:id="rId12"/>
    <sheet name="Resultados - 10" sheetId="22" r:id="rId13"/>
    <sheet name="Resultados - 11" sheetId="21" r:id="rId14"/>
    <sheet name="Resultados - 12" sheetId="20" r:id="rId15"/>
    <sheet name="Incerteza - R1" sheetId="9" r:id="rId16"/>
    <sheet name="Incerteza - R2" sheetId="13" r:id="rId17"/>
    <sheet name="Incerteza - R3" sheetId="39" r:id="rId18"/>
    <sheet name="Incerteza - R4" sheetId="38" r:id="rId19"/>
    <sheet name="Incerteza - R5" sheetId="37" r:id="rId20"/>
    <sheet name="Incerteza - R6" sheetId="36" r:id="rId21"/>
    <sheet name="Incerteza - R7" sheetId="35" r:id="rId22"/>
    <sheet name="Incerteza - R8" sheetId="34" r:id="rId23"/>
    <sheet name="Incerteza - R9" sheetId="33" r:id="rId24"/>
    <sheet name="Incerteza - R10" sheetId="32" r:id="rId25"/>
    <sheet name="Incerteza - R11" sheetId="31" r:id="rId26"/>
    <sheet name="Incerteza - R12" sheetId="30" r:id="rId27"/>
    <sheet name="Incerteza (Par)" sheetId="8" r:id="rId28"/>
    <sheet name="CMC" sheetId="3" state="hidden" r:id="rId29"/>
    <sheet name="Tol. 8655-2" sheetId="10" state="hidden" r:id="rId30"/>
    <sheet name="Tol. 8655-3" sheetId="11" state="hidden" r:id="rId31"/>
    <sheet name="Materiais" sheetId="5" state="hidden" r:id="rId32"/>
    <sheet name="Unidades de medida" sheetId="4" state="hidden" r:id="rId33"/>
    <sheet name="Evaporação do fluido" sheetId="18" state="hidden" r:id="rId34"/>
    <sheet name="Histórico de revisões" sheetId="17" r:id="rId35"/>
    <sheet name="Selo RBC" sheetId="19" state="hidden" r:id="rId36"/>
    <sheet name="Técnicos" sheetId="2" state="hidden" r:id="rId37"/>
    <sheet name="Controle dos padrões" sheetId="6" state="hidden" r:id="rId38"/>
  </sheets>
  <functionGroups builtInGroupCount="19"/>
  <externalReferences>
    <externalReference r:id="rId39"/>
    <externalReference r:id="rId40"/>
    <externalReference r:id="rId41"/>
    <externalReference r:id="rId42"/>
    <externalReference r:id="rId43"/>
  </externalReferences>
  <definedNames>
    <definedName name="_xleta.VLOOKUP" hidden="1" xlm="1">#NAME?</definedName>
    <definedName name="_xlnm.Print_Area" localSheetId="1">Certificado!$A$1:$V$256</definedName>
    <definedName name="logo_rbc">INDEX('Selo RBC'!$B$1:$B$4,MATCH(Dados!$F$2,'Selo RBC'!$A$1:$A$4,0))</definedName>
    <definedName name="solver_adj" localSheetId="28" hidden="1">#REF!</definedName>
    <definedName name="solver_adj" localSheetId="37" hidden="1">#REF!</definedName>
    <definedName name="solver_adj" localSheetId="34" hidden="1">#REF!</definedName>
    <definedName name="solver_adj" localSheetId="27" hidden="1">#REF!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localSheetId="28" hidden="1">#REF!</definedName>
    <definedName name="solver_lhs1" localSheetId="37" hidden="1">#REF!</definedName>
    <definedName name="solver_lhs1" localSheetId="34" hidden="1">#REF!</definedName>
    <definedName name="solver_lhs1" localSheetId="27" hidden="1">#REF!</definedName>
    <definedName name="solver_lhs1" hidden="1">#REF!</definedName>
    <definedName name="solver_lhs2" localSheetId="28" hidden="1">#REF!</definedName>
    <definedName name="solver_lhs2" localSheetId="37" hidden="1">#REF!</definedName>
    <definedName name="solver_lhs2" localSheetId="34" hidden="1">#REF!</definedName>
    <definedName name="solver_lhs2" localSheetId="27" hidden="1">#REF!</definedName>
    <definedName name="solver_lhs2" hidden="1">#REF!</definedName>
    <definedName name="solver_lin" hidden="1">2</definedName>
    <definedName name="solver_neg" hidden="1">2</definedName>
    <definedName name="solver_num" hidden="1">2</definedName>
    <definedName name="solver_nwt" hidden="1">1</definedName>
    <definedName name="solver_opt" localSheetId="28" hidden="1">#REF!</definedName>
    <definedName name="solver_opt" localSheetId="37" hidden="1">#REF!</definedName>
    <definedName name="solver_opt" localSheetId="34" hidden="1">#REF!</definedName>
    <definedName name="solver_opt" localSheetId="27" hidden="1">#REF!</definedName>
    <definedName name="solver_opt" hidden="1">#REF!</definedName>
    <definedName name="solver_pre" hidden="1">0.000001</definedName>
    <definedName name="solver_rel1" hidden="1">2</definedName>
    <definedName name="solver_rel2" hidden="1">2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93" i="6" l="1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O17" i="3" l="1"/>
  <c r="O14" i="3"/>
  <c r="O9" i="3"/>
  <c r="O5" i="3"/>
  <c r="E51" i="2"/>
  <c r="C51" i="2"/>
  <c r="A51" i="2"/>
  <c r="A42" i="2"/>
  <c r="C42" i="2"/>
  <c r="E42" i="2"/>
  <c r="A43" i="2"/>
  <c r="C43" i="2"/>
  <c r="E43" i="2"/>
  <c r="A44" i="2"/>
  <c r="C44" i="2"/>
  <c r="E44" i="2"/>
  <c r="A45" i="2"/>
  <c r="C45" i="2"/>
  <c r="E45" i="2"/>
  <c r="A46" i="2"/>
  <c r="C46" i="2"/>
  <c r="E46" i="2"/>
  <c r="A47" i="2"/>
  <c r="C47" i="2"/>
  <c r="E47" i="2"/>
  <c r="A48" i="2"/>
  <c r="C48" i="2"/>
  <c r="E48" i="2"/>
  <c r="A49" i="2"/>
  <c r="C49" i="2"/>
  <c r="E49" i="2"/>
  <c r="A50" i="2"/>
  <c r="C50" i="2"/>
  <c r="E50" i="2"/>
  <c r="M69" i="29" l="1"/>
  <c r="H7" i="18"/>
  <c r="H6" i="18"/>
  <c r="H5" i="18"/>
  <c r="H4" i="18"/>
  <c r="H3" i="18"/>
  <c r="H2" i="18"/>
  <c r="H1" i="18"/>
  <c r="A77" i="11"/>
  <c r="A77" i="10"/>
  <c r="H153" i="20"/>
  <c r="H152" i="20"/>
  <c r="H151" i="20"/>
  <c r="H150" i="20"/>
  <c r="H149" i="20"/>
  <c r="H148" i="20"/>
  <c r="H147" i="20"/>
  <c r="H146" i="20"/>
  <c r="H145" i="20"/>
  <c r="H144" i="20"/>
  <c r="H132" i="20"/>
  <c r="H131" i="20"/>
  <c r="H130" i="20"/>
  <c r="H129" i="20"/>
  <c r="H128" i="20"/>
  <c r="H127" i="20"/>
  <c r="H126" i="20"/>
  <c r="H125" i="20"/>
  <c r="H124" i="20"/>
  <c r="H123" i="20"/>
  <c r="H111" i="20"/>
  <c r="H110" i="20"/>
  <c r="H109" i="20"/>
  <c r="H108" i="20"/>
  <c r="H107" i="20"/>
  <c r="H106" i="20"/>
  <c r="H105" i="20"/>
  <c r="H104" i="20"/>
  <c r="H103" i="20"/>
  <c r="H102" i="20"/>
  <c r="H90" i="20"/>
  <c r="H89" i="20"/>
  <c r="H88" i="20"/>
  <c r="H87" i="20"/>
  <c r="H86" i="20"/>
  <c r="H85" i="20"/>
  <c r="H84" i="20"/>
  <c r="H83" i="20"/>
  <c r="H82" i="20"/>
  <c r="H81" i="20"/>
  <c r="H69" i="20"/>
  <c r="H68" i="20"/>
  <c r="H67" i="20"/>
  <c r="H66" i="20"/>
  <c r="H65" i="20"/>
  <c r="H64" i="20"/>
  <c r="H63" i="20"/>
  <c r="H62" i="20"/>
  <c r="H61" i="20"/>
  <c r="H60" i="20"/>
  <c r="H48" i="20"/>
  <c r="H47" i="20"/>
  <c r="H46" i="20"/>
  <c r="H45" i="20"/>
  <c r="H44" i="20"/>
  <c r="H43" i="20"/>
  <c r="H42" i="20"/>
  <c r="H41" i="20"/>
  <c r="H40" i="20"/>
  <c r="H39" i="20"/>
  <c r="H27" i="20"/>
  <c r="H26" i="20"/>
  <c r="H25" i="20"/>
  <c r="H24" i="20"/>
  <c r="H23" i="20"/>
  <c r="H22" i="20"/>
  <c r="H21" i="20"/>
  <c r="H20" i="20"/>
  <c r="H19" i="20"/>
  <c r="H18" i="20"/>
  <c r="B10" i="20"/>
  <c r="A10" i="20"/>
  <c r="AD1" i="20"/>
  <c r="AC1" i="20"/>
  <c r="AB1" i="20"/>
  <c r="H153" i="21"/>
  <c r="H152" i="21"/>
  <c r="H151" i="21"/>
  <c r="H150" i="21"/>
  <c r="H149" i="21"/>
  <c r="H148" i="21"/>
  <c r="H147" i="21"/>
  <c r="H146" i="21"/>
  <c r="H145" i="21"/>
  <c r="H144" i="21"/>
  <c r="H132" i="21"/>
  <c r="H131" i="21"/>
  <c r="H130" i="21"/>
  <c r="H129" i="21"/>
  <c r="H128" i="21"/>
  <c r="H127" i="21"/>
  <c r="H126" i="21"/>
  <c r="H125" i="21"/>
  <c r="H124" i="21"/>
  <c r="H123" i="21"/>
  <c r="H111" i="21"/>
  <c r="H110" i="21"/>
  <c r="H109" i="21"/>
  <c r="H108" i="21"/>
  <c r="H107" i="21"/>
  <c r="H106" i="21"/>
  <c r="H105" i="21"/>
  <c r="H104" i="21"/>
  <c r="H103" i="21"/>
  <c r="H102" i="21"/>
  <c r="H90" i="21"/>
  <c r="H89" i="21"/>
  <c r="H88" i="21"/>
  <c r="H87" i="21"/>
  <c r="H86" i="21"/>
  <c r="H85" i="21"/>
  <c r="H84" i="21"/>
  <c r="H83" i="21"/>
  <c r="H82" i="21"/>
  <c r="H81" i="21"/>
  <c r="H69" i="21"/>
  <c r="H68" i="21"/>
  <c r="H67" i="21"/>
  <c r="H66" i="21"/>
  <c r="H65" i="21"/>
  <c r="H64" i="21"/>
  <c r="H63" i="21"/>
  <c r="H62" i="21"/>
  <c r="H61" i="21"/>
  <c r="H60" i="21"/>
  <c r="H48" i="21"/>
  <c r="H47" i="21"/>
  <c r="H46" i="21"/>
  <c r="H45" i="21"/>
  <c r="H44" i="21"/>
  <c r="H43" i="21"/>
  <c r="H42" i="21"/>
  <c r="H41" i="21"/>
  <c r="H40" i="21"/>
  <c r="H39" i="21"/>
  <c r="H27" i="21"/>
  <c r="H26" i="21"/>
  <c r="H25" i="21"/>
  <c r="H24" i="21"/>
  <c r="H23" i="21"/>
  <c r="H22" i="21"/>
  <c r="H21" i="21"/>
  <c r="H20" i="21"/>
  <c r="H19" i="21"/>
  <c r="H18" i="21"/>
  <c r="B10" i="21"/>
  <c r="A10" i="21"/>
  <c r="AD1" i="21"/>
  <c r="AC1" i="21"/>
  <c r="AB1" i="21"/>
  <c r="H153" i="22"/>
  <c r="H152" i="22"/>
  <c r="H151" i="22"/>
  <c r="H150" i="22"/>
  <c r="H149" i="22"/>
  <c r="H148" i="22"/>
  <c r="H147" i="22"/>
  <c r="H146" i="22"/>
  <c r="H145" i="22"/>
  <c r="H144" i="22"/>
  <c r="H132" i="22"/>
  <c r="H131" i="22"/>
  <c r="H130" i="22"/>
  <c r="H129" i="22"/>
  <c r="H128" i="22"/>
  <c r="H127" i="22"/>
  <c r="H126" i="22"/>
  <c r="H125" i="22"/>
  <c r="H124" i="22"/>
  <c r="H123" i="22"/>
  <c r="H111" i="22"/>
  <c r="H110" i="22"/>
  <c r="H109" i="22"/>
  <c r="H108" i="22"/>
  <c r="H107" i="22"/>
  <c r="H106" i="22"/>
  <c r="H105" i="22"/>
  <c r="H104" i="22"/>
  <c r="H103" i="22"/>
  <c r="H102" i="22"/>
  <c r="H90" i="22"/>
  <c r="H89" i="22"/>
  <c r="H88" i="22"/>
  <c r="H87" i="22"/>
  <c r="H86" i="22"/>
  <c r="H85" i="22"/>
  <c r="H84" i="22"/>
  <c r="H83" i="22"/>
  <c r="H82" i="22"/>
  <c r="H81" i="22"/>
  <c r="H69" i="22"/>
  <c r="H68" i="22"/>
  <c r="H67" i="22"/>
  <c r="H66" i="22"/>
  <c r="H65" i="22"/>
  <c r="H64" i="22"/>
  <c r="H63" i="22"/>
  <c r="H62" i="22"/>
  <c r="H61" i="22"/>
  <c r="H60" i="22"/>
  <c r="H48" i="22"/>
  <c r="H47" i="22"/>
  <c r="H46" i="22"/>
  <c r="H45" i="22"/>
  <c r="H44" i="22"/>
  <c r="H43" i="22"/>
  <c r="H42" i="22"/>
  <c r="H41" i="22"/>
  <c r="H40" i="22"/>
  <c r="H39" i="22"/>
  <c r="H27" i="22"/>
  <c r="H26" i="22"/>
  <c r="H25" i="22"/>
  <c r="H24" i="22"/>
  <c r="H23" i="22"/>
  <c r="H22" i="22"/>
  <c r="H21" i="22"/>
  <c r="H20" i="22"/>
  <c r="H19" i="22"/>
  <c r="H18" i="22"/>
  <c r="B10" i="22"/>
  <c r="A10" i="22"/>
  <c r="AD1" i="22"/>
  <c r="AC1" i="22"/>
  <c r="AB1" i="22"/>
  <c r="H153" i="23"/>
  <c r="H152" i="23"/>
  <c r="H151" i="23"/>
  <c r="H150" i="23"/>
  <c r="H149" i="23"/>
  <c r="H148" i="23"/>
  <c r="H147" i="23"/>
  <c r="H146" i="23"/>
  <c r="H145" i="23"/>
  <c r="H144" i="23"/>
  <c r="H132" i="23"/>
  <c r="H131" i="23"/>
  <c r="H130" i="23"/>
  <c r="H129" i="23"/>
  <c r="H128" i="23"/>
  <c r="H127" i="23"/>
  <c r="H126" i="23"/>
  <c r="H125" i="23"/>
  <c r="H124" i="23"/>
  <c r="H123" i="23"/>
  <c r="H111" i="23"/>
  <c r="H110" i="23"/>
  <c r="H109" i="23"/>
  <c r="H108" i="23"/>
  <c r="H107" i="23"/>
  <c r="H106" i="23"/>
  <c r="H105" i="23"/>
  <c r="H104" i="23"/>
  <c r="H103" i="23"/>
  <c r="H102" i="23"/>
  <c r="H90" i="23"/>
  <c r="H89" i="23"/>
  <c r="H88" i="23"/>
  <c r="H87" i="23"/>
  <c r="H86" i="23"/>
  <c r="H85" i="23"/>
  <c r="H84" i="23"/>
  <c r="H83" i="23"/>
  <c r="H82" i="23"/>
  <c r="H81" i="23"/>
  <c r="H69" i="23"/>
  <c r="H68" i="23"/>
  <c r="H67" i="23"/>
  <c r="H66" i="23"/>
  <c r="H65" i="23"/>
  <c r="H64" i="23"/>
  <c r="H63" i="23"/>
  <c r="H62" i="23"/>
  <c r="H61" i="23"/>
  <c r="H60" i="23"/>
  <c r="H48" i="23"/>
  <c r="H47" i="23"/>
  <c r="H46" i="23"/>
  <c r="H45" i="23"/>
  <c r="H44" i="23"/>
  <c r="H43" i="23"/>
  <c r="H42" i="23"/>
  <c r="H41" i="23"/>
  <c r="H40" i="23"/>
  <c r="H39" i="23"/>
  <c r="H27" i="23"/>
  <c r="H26" i="23"/>
  <c r="H25" i="23"/>
  <c r="H24" i="23"/>
  <c r="H23" i="23"/>
  <c r="H22" i="23"/>
  <c r="H21" i="23"/>
  <c r="H20" i="23"/>
  <c r="H19" i="23"/>
  <c r="H18" i="23"/>
  <c r="B10" i="23"/>
  <c r="A10" i="23"/>
  <c r="AD1" i="23"/>
  <c r="AC1" i="23"/>
  <c r="AB1" i="23"/>
  <c r="H153" i="24"/>
  <c r="H152" i="24"/>
  <c r="H151" i="24"/>
  <c r="H150" i="24"/>
  <c r="H149" i="24"/>
  <c r="H148" i="24"/>
  <c r="H147" i="24"/>
  <c r="H146" i="24"/>
  <c r="H145" i="24"/>
  <c r="H144" i="24"/>
  <c r="H132" i="24"/>
  <c r="H131" i="24"/>
  <c r="H130" i="24"/>
  <c r="H129" i="24"/>
  <c r="H128" i="24"/>
  <c r="H127" i="24"/>
  <c r="H126" i="24"/>
  <c r="H125" i="24"/>
  <c r="H124" i="24"/>
  <c r="H123" i="24"/>
  <c r="H111" i="24"/>
  <c r="H110" i="24"/>
  <c r="H109" i="24"/>
  <c r="H108" i="24"/>
  <c r="H107" i="24"/>
  <c r="H106" i="24"/>
  <c r="H105" i="24"/>
  <c r="H104" i="24"/>
  <c r="H103" i="24"/>
  <c r="H102" i="24"/>
  <c r="H90" i="24"/>
  <c r="H89" i="24"/>
  <c r="H88" i="24"/>
  <c r="H87" i="24"/>
  <c r="H86" i="24"/>
  <c r="H85" i="24"/>
  <c r="H84" i="24"/>
  <c r="H83" i="24"/>
  <c r="H82" i="24"/>
  <c r="H81" i="24"/>
  <c r="H69" i="24"/>
  <c r="H68" i="24"/>
  <c r="H67" i="24"/>
  <c r="H66" i="24"/>
  <c r="H65" i="24"/>
  <c r="H64" i="24"/>
  <c r="H63" i="24"/>
  <c r="H62" i="24"/>
  <c r="H61" i="24"/>
  <c r="H60" i="24"/>
  <c r="H48" i="24"/>
  <c r="H47" i="24"/>
  <c r="H46" i="24"/>
  <c r="H45" i="24"/>
  <c r="H44" i="24"/>
  <c r="H43" i="24"/>
  <c r="H42" i="24"/>
  <c r="H41" i="24"/>
  <c r="H40" i="24"/>
  <c r="H39" i="24"/>
  <c r="H27" i="24"/>
  <c r="H26" i="24"/>
  <c r="H25" i="24"/>
  <c r="H24" i="24"/>
  <c r="H23" i="24"/>
  <c r="H22" i="24"/>
  <c r="H21" i="24"/>
  <c r="H20" i="24"/>
  <c r="H19" i="24"/>
  <c r="H18" i="24"/>
  <c r="B10" i="24"/>
  <c r="A10" i="24"/>
  <c r="AD1" i="24"/>
  <c r="AC1" i="24"/>
  <c r="AB1" i="24"/>
  <c r="H153" i="25"/>
  <c r="H152" i="25"/>
  <c r="H151" i="25"/>
  <c r="H150" i="25"/>
  <c r="H149" i="25"/>
  <c r="H148" i="25"/>
  <c r="H147" i="25"/>
  <c r="H146" i="25"/>
  <c r="H145" i="25"/>
  <c r="H144" i="25"/>
  <c r="H132" i="25"/>
  <c r="H131" i="25"/>
  <c r="H130" i="25"/>
  <c r="H129" i="25"/>
  <c r="H128" i="25"/>
  <c r="H127" i="25"/>
  <c r="H126" i="25"/>
  <c r="H125" i="25"/>
  <c r="H124" i="25"/>
  <c r="H123" i="25"/>
  <c r="H111" i="25"/>
  <c r="H110" i="25"/>
  <c r="H109" i="25"/>
  <c r="H108" i="25"/>
  <c r="H107" i="25"/>
  <c r="H106" i="25"/>
  <c r="H105" i="25"/>
  <c r="H104" i="25"/>
  <c r="H103" i="25"/>
  <c r="H102" i="25"/>
  <c r="H90" i="25"/>
  <c r="H89" i="25"/>
  <c r="H88" i="25"/>
  <c r="H87" i="25"/>
  <c r="H86" i="25"/>
  <c r="H85" i="25"/>
  <c r="H84" i="25"/>
  <c r="H83" i="25"/>
  <c r="H82" i="25"/>
  <c r="H81" i="25"/>
  <c r="H69" i="25"/>
  <c r="H68" i="25"/>
  <c r="H67" i="25"/>
  <c r="H66" i="25"/>
  <c r="H65" i="25"/>
  <c r="H64" i="25"/>
  <c r="H63" i="25"/>
  <c r="H62" i="25"/>
  <c r="H61" i="25"/>
  <c r="H60" i="25"/>
  <c r="H48" i="25"/>
  <c r="H47" i="25"/>
  <c r="H46" i="25"/>
  <c r="H45" i="25"/>
  <c r="H44" i="25"/>
  <c r="H43" i="25"/>
  <c r="H42" i="25"/>
  <c r="H41" i="25"/>
  <c r="H40" i="25"/>
  <c r="H39" i="25"/>
  <c r="H27" i="25"/>
  <c r="H26" i="25"/>
  <c r="H25" i="25"/>
  <c r="H24" i="25"/>
  <c r="H23" i="25"/>
  <c r="H22" i="25"/>
  <c r="H21" i="25"/>
  <c r="H20" i="25"/>
  <c r="H19" i="25"/>
  <c r="H18" i="25"/>
  <c r="B10" i="25"/>
  <c r="A10" i="25"/>
  <c r="AD1" i="25"/>
  <c r="AC1" i="25"/>
  <c r="AB1" i="25"/>
  <c r="H153" i="26"/>
  <c r="H152" i="26"/>
  <c r="H151" i="26"/>
  <c r="H150" i="26"/>
  <c r="H149" i="26"/>
  <c r="H148" i="26"/>
  <c r="H147" i="26"/>
  <c r="H146" i="26"/>
  <c r="H145" i="26"/>
  <c r="H144" i="26"/>
  <c r="H132" i="26"/>
  <c r="H131" i="26"/>
  <c r="H130" i="26"/>
  <c r="H129" i="26"/>
  <c r="H128" i="26"/>
  <c r="H127" i="26"/>
  <c r="H126" i="26"/>
  <c r="H125" i="26"/>
  <c r="H124" i="26"/>
  <c r="H123" i="26"/>
  <c r="H111" i="26"/>
  <c r="H110" i="26"/>
  <c r="H109" i="26"/>
  <c r="H108" i="26"/>
  <c r="H107" i="26"/>
  <c r="H106" i="26"/>
  <c r="H105" i="26"/>
  <c r="H104" i="26"/>
  <c r="H103" i="26"/>
  <c r="H102" i="26"/>
  <c r="H90" i="26"/>
  <c r="H89" i="26"/>
  <c r="H88" i="26"/>
  <c r="H87" i="26"/>
  <c r="H86" i="26"/>
  <c r="H85" i="26"/>
  <c r="H84" i="26"/>
  <c r="H83" i="26"/>
  <c r="H82" i="26"/>
  <c r="H81" i="26"/>
  <c r="H69" i="26"/>
  <c r="H68" i="26"/>
  <c r="H67" i="26"/>
  <c r="H66" i="26"/>
  <c r="H65" i="26"/>
  <c r="H64" i="26"/>
  <c r="H63" i="26"/>
  <c r="H62" i="26"/>
  <c r="H61" i="26"/>
  <c r="H60" i="26"/>
  <c r="H48" i="26"/>
  <c r="H47" i="26"/>
  <c r="H46" i="26"/>
  <c r="H45" i="26"/>
  <c r="H44" i="26"/>
  <c r="H43" i="26"/>
  <c r="H42" i="26"/>
  <c r="H41" i="26"/>
  <c r="H40" i="26"/>
  <c r="H39" i="26"/>
  <c r="H27" i="26"/>
  <c r="H26" i="26"/>
  <c r="H25" i="26"/>
  <c r="H24" i="26"/>
  <c r="H23" i="26"/>
  <c r="H22" i="26"/>
  <c r="H21" i="26"/>
  <c r="H20" i="26"/>
  <c r="H19" i="26"/>
  <c r="H18" i="26"/>
  <c r="B10" i="26"/>
  <c r="A10" i="26"/>
  <c r="AD1" i="26"/>
  <c r="AC1" i="26"/>
  <c r="AB1" i="26"/>
  <c r="H153" i="27"/>
  <c r="H152" i="27"/>
  <c r="H151" i="27"/>
  <c r="H150" i="27"/>
  <c r="H149" i="27"/>
  <c r="H148" i="27"/>
  <c r="H147" i="27"/>
  <c r="H146" i="27"/>
  <c r="H145" i="27"/>
  <c r="H144" i="27"/>
  <c r="H132" i="27"/>
  <c r="H131" i="27"/>
  <c r="H130" i="27"/>
  <c r="H129" i="27"/>
  <c r="H128" i="27"/>
  <c r="H127" i="27"/>
  <c r="H126" i="27"/>
  <c r="H125" i="27"/>
  <c r="H124" i="27"/>
  <c r="H123" i="27"/>
  <c r="H111" i="27"/>
  <c r="H110" i="27"/>
  <c r="H109" i="27"/>
  <c r="H108" i="27"/>
  <c r="H107" i="27"/>
  <c r="H106" i="27"/>
  <c r="H105" i="27"/>
  <c r="H104" i="27"/>
  <c r="H103" i="27"/>
  <c r="H102" i="27"/>
  <c r="H90" i="27"/>
  <c r="H89" i="27"/>
  <c r="H88" i="27"/>
  <c r="H87" i="27"/>
  <c r="H86" i="27"/>
  <c r="H85" i="27"/>
  <c r="H84" i="27"/>
  <c r="H83" i="27"/>
  <c r="H82" i="27"/>
  <c r="H81" i="27"/>
  <c r="H69" i="27"/>
  <c r="H68" i="27"/>
  <c r="H67" i="27"/>
  <c r="H66" i="27"/>
  <c r="H65" i="27"/>
  <c r="H64" i="27"/>
  <c r="H63" i="27"/>
  <c r="H62" i="27"/>
  <c r="H61" i="27"/>
  <c r="H60" i="27"/>
  <c r="H48" i="27"/>
  <c r="H47" i="27"/>
  <c r="H46" i="27"/>
  <c r="H45" i="27"/>
  <c r="H44" i="27"/>
  <c r="H43" i="27"/>
  <c r="H42" i="27"/>
  <c r="H41" i="27"/>
  <c r="H40" i="27"/>
  <c r="H39" i="27"/>
  <c r="H27" i="27"/>
  <c r="H26" i="27"/>
  <c r="H25" i="27"/>
  <c r="H24" i="27"/>
  <c r="H23" i="27"/>
  <c r="H22" i="27"/>
  <c r="H21" i="27"/>
  <c r="H20" i="27"/>
  <c r="H19" i="27"/>
  <c r="H18" i="27"/>
  <c r="B10" i="27"/>
  <c r="A10" i="27"/>
  <c r="AD1" i="27"/>
  <c r="AC1" i="27"/>
  <c r="AB1" i="27"/>
  <c r="H153" i="28"/>
  <c r="H152" i="28"/>
  <c r="H151" i="28"/>
  <c r="H150" i="28"/>
  <c r="H149" i="28"/>
  <c r="H148" i="28"/>
  <c r="H147" i="28"/>
  <c r="H146" i="28"/>
  <c r="H145" i="28"/>
  <c r="H144" i="28"/>
  <c r="H132" i="28"/>
  <c r="H131" i="28"/>
  <c r="H130" i="28"/>
  <c r="H129" i="28"/>
  <c r="H128" i="28"/>
  <c r="H127" i="28"/>
  <c r="H126" i="28"/>
  <c r="H125" i="28"/>
  <c r="H124" i="28"/>
  <c r="H123" i="28"/>
  <c r="H111" i="28"/>
  <c r="H110" i="28"/>
  <c r="H109" i="28"/>
  <c r="H108" i="28"/>
  <c r="H107" i="28"/>
  <c r="H106" i="28"/>
  <c r="H105" i="28"/>
  <c r="H104" i="28"/>
  <c r="H103" i="28"/>
  <c r="H102" i="28"/>
  <c r="H90" i="28"/>
  <c r="H89" i="28"/>
  <c r="H88" i="28"/>
  <c r="H87" i="28"/>
  <c r="H86" i="28"/>
  <c r="H85" i="28"/>
  <c r="H84" i="28"/>
  <c r="H83" i="28"/>
  <c r="H82" i="28"/>
  <c r="H81" i="28"/>
  <c r="H69" i="28"/>
  <c r="H68" i="28"/>
  <c r="H67" i="28"/>
  <c r="H66" i="28"/>
  <c r="H65" i="28"/>
  <c r="H64" i="28"/>
  <c r="H63" i="28"/>
  <c r="H62" i="28"/>
  <c r="H61" i="28"/>
  <c r="H60" i="28"/>
  <c r="H48" i="28"/>
  <c r="H47" i="28"/>
  <c r="H46" i="28"/>
  <c r="H45" i="28"/>
  <c r="H44" i="28"/>
  <c r="H43" i="28"/>
  <c r="H42" i="28"/>
  <c r="H41" i="28"/>
  <c r="H40" i="28"/>
  <c r="H39" i="28"/>
  <c r="H27" i="28"/>
  <c r="H26" i="28"/>
  <c r="H25" i="28"/>
  <c r="H24" i="28"/>
  <c r="H23" i="28"/>
  <c r="H22" i="28"/>
  <c r="H21" i="28"/>
  <c r="H20" i="28"/>
  <c r="H19" i="28"/>
  <c r="H18" i="28"/>
  <c r="B10" i="28"/>
  <c r="A10" i="28"/>
  <c r="AD1" i="28"/>
  <c r="AC1" i="28"/>
  <c r="AB1" i="28"/>
  <c r="H153" i="29"/>
  <c r="H152" i="29"/>
  <c r="H151" i="29"/>
  <c r="H150" i="29"/>
  <c r="H149" i="29"/>
  <c r="H148" i="29"/>
  <c r="H147" i="29"/>
  <c r="H146" i="29"/>
  <c r="H145" i="29"/>
  <c r="H144" i="29"/>
  <c r="H132" i="29"/>
  <c r="H131" i="29"/>
  <c r="H130" i="29"/>
  <c r="H129" i="29"/>
  <c r="H128" i="29"/>
  <c r="H127" i="29"/>
  <c r="H126" i="29"/>
  <c r="H125" i="29"/>
  <c r="H124" i="29"/>
  <c r="H123" i="29"/>
  <c r="H111" i="29"/>
  <c r="H110" i="29"/>
  <c r="H109" i="29"/>
  <c r="H108" i="29"/>
  <c r="H107" i="29"/>
  <c r="H106" i="29"/>
  <c r="H105" i="29"/>
  <c r="H104" i="29"/>
  <c r="H103" i="29"/>
  <c r="H102" i="29"/>
  <c r="H90" i="29"/>
  <c r="H89" i="29"/>
  <c r="H88" i="29"/>
  <c r="H87" i="29"/>
  <c r="H86" i="29"/>
  <c r="H85" i="29"/>
  <c r="H84" i="29"/>
  <c r="H83" i="29"/>
  <c r="H82" i="29"/>
  <c r="H81" i="29"/>
  <c r="H69" i="29"/>
  <c r="H68" i="29"/>
  <c r="H67" i="29"/>
  <c r="H66" i="29"/>
  <c r="H65" i="29"/>
  <c r="H64" i="29"/>
  <c r="H63" i="29"/>
  <c r="H62" i="29"/>
  <c r="H61" i="29"/>
  <c r="H60" i="29"/>
  <c r="H48" i="29"/>
  <c r="H47" i="29"/>
  <c r="H46" i="29"/>
  <c r="H45" i="29"/>
  <c r="H44" i="29"/>
  <c r="H43" i="29"/>
  <c r="H42" i="29"/>
  <c r="H41" i="29"/>
  <c r="H40" i="29"/>
  <c r="H39" i="29"/>
  <c r="H27" i="29"/>
  <c r="H26" i="29"/>
  <c r="H25" i="29"/>
  <c r="H24" i="29"/>
  <c r="H23" i="29"/>
  <c r="H22" i="29"/>
  <c r="H21" i="29"/>
  <c r="H20" i="29"/>
  <c r="H19" i="29"/>
  <c r="H18" i="29"/>
  <c r="B10" i="29"/>
  <c r="A10" i="29"/>
  <c r="AD1" i="29"/>
  <c r="AC1" i="29"/>
  <c r="AB1" i="29"/>
  <c r="H153" i="14"/>
  <c r="H152" i="14"/>
  <c r="H151" i="14"/>
  <c r="H150" i="14"/>
  <c r="H149" i="14"/>
  <c r="H148" i="14"/>
  <c r="H147" i="14"/>
  <c r="H146" i="14"/>
  <c r="H145" i="14"/>
  <c r="H144" i="14"/>
  <c r="H132" i="14"/>
  <c r="H131" i="14"/>
  <c r="H130" i="14"/>
  <c r="H129" i="14"/>
  <c r="H128" i="14"/>
  <c r="H127" i="14"/>
  <c r="H126" i="14"/>
  <c r="H125" i="14"/>
  <c r="H124" i="14"/>
  <c r="H123" i="14"/>
  <c r="H111" i="14"/>
  <c r="H110" i="14"/>
  <c r="H109" i="14"/>
  <c r="H108" i="14"/>
  <c r="H107" i="14"/>
  <c r="H106" i="14"/>
  <c r="H105" i="14"/>
  <c r="H104" i="14"/>
  <c r="H103" i="14"/>
  <c r="H102" i="14"/>
  <c r="H90" i="14"/>
  <c r="H89" i="14"/>
  <c r="H88" i="14"/>
  <c r="H87" i="14"/>
  <c r="H86" i="14"/>
  <c r="H85" i="14"/>
  <c r="H84" i="14"/>
  <c r="H83" i="14"/>
  <c r="H82" i="14"/>
  <c r="H81" i="14"/>
  <c r="H69" i="14"/>
  <c r="H68" i="14"/>
  <c r="H67" i="14"/>
  <c r="H66" i="14"/>
  <c r="H65" i="14"/>
  <c r="H64" i="14"/>
  <c r="H63" i="14"/>
  <c r="H62" i="14"/>
  <c r="H61" i="14"/>
  <c r="H60" i="14"/>
  <c r="H48" i="14"/>
  <c r="H47" i="14"/>
  <c r="H46" i="14"/>
  <c r="H45" i="14"/>
  <c r="H44" i="14"/>
  <c r="H43" i="14"/>
  <c r="H42" i="14"/>
  <c r="H41" i="14"/>
  <c r="H40" i="14"/>
  <c r="H39" i="14"/>
  <c r="H27" i="14"/>
  <c r="H26" i="14"/>
  <c r="H25" i="14"/>
  <c r="H24" i="14"/>
  <c r="H23" i="14"/>
  <c r="H22" i="14"/>
  <c r="H21" i="14"/>
  <c r="H20" i="14"/>
  <c r="H19" i="14"/>
  <c r="H18" i="14"/>
  <c r="B10" i="14"/>
  <c r="A10" i="14"/>
  <c r="AD1" i="14"/>
  <c r="AC1" i="14"/>
  <c r="AB1" i="14"/>
  <c r="H153" i="7"/>
  <c r="H152" i="7"/>
  <c r="H151" i="7"/>
  <c r="H150" i="7"/>
  <c r="H149" i="7"/>
  <c r="H148" i="7"/>
  <c r="H147" i="7"/>
  <c r="H146" i="7"/>
  <c r="H145" i="7"/>
  <c r="H144" i="7"/>
  <c r="H132" i="7"/>
  <c r="H131" i="7"/>
  <c r="H130" i="7"/>
  <c r="H129" i="7"/>
  <c r="H128" i="7"/>
  <c r="H127" i="7"/>
  <c r="H126" i="7"/>
  <c r="H125" i="7"/>
  <c r="H124" i="7"/>
  <c r="H123" i="7"/>
  <c r="H111" i="7"/>
  <c r="H110" i="7"/>
  <c r="H109" i="7"/>
  <c r="H108" i="7"/>
  <c r="H107" i="7"/>
  <c r="H106" i="7"/>
  <c r="H105" i="7"/>
  <c r="H104" i="7"/>
  <c r="H103" i="7"/>
  <c r="H102" i="7"/>
  <c r="H90" i="7"/>
  <c r="H89" i="7"/>
  <c r="H88" i="7"/>
  <c r="H87" i="7"/>
  <c r="H86" i="7"/>
  <c r="H85" i="7"/>
  <c r="H84" i="7"/>
  <c r="H83" i="7"/>
  <c r="H82" i="7"/>
  <c r="H81" i="7"/>
  <c r="B10" i="7"/>
  <c r="A10" i="7"/>
  <c r="AD1" i="7"/>
  <c r="AC1" i="7"/>
  <c r="AB1" i="7"/>
  <c r="S15" i="20"/>
  <c r="S14" i="20"/>
  <c r="S15" i="21"/>
  <c r="S14" i="21"/>
  <c r="S15" i="22"/>
  <c r="S14" i="22"/>
  <c r="S15" i="23"/>
  <c r="S14" i="23"/>
  <c r="S15" i="24"/>
  <c r="S14" i="24"/>
  <c r="S15" i="25"/>
  <c r="S14" i="25"/>
  <c r="S15" i="26"/>
  <c r="S14" i="26"/>
  <c r="S15" i="27"/>
  <c r="S14" i="27"/>
  <c r="S15" i="28"/>
  <c r="S14" i="28"/>
  <c r="S15" i="29"/>
  <c r="S14" i="29"/>
  <c r="S15" i="14"/>
  <c r="S14" i="14"/>
  <c r="CX98" i="6"/>
  <c r="CX99" i="6" s="1"/>
  <c r="CX100" i="6" s="1"/>
  <c r="CX101" i="6" s="1"/>
  <c r="CX102" i="6" s="1"/>
  <c r="CX103" i="6" s="1"/>
  <c r="CX104" i="6" s="1"/>
  <c r="CX105" i="6" s="1"/>
  <c r="CX106" i="6" s="1"/>
  <c r="CX107" i="6" s="1"/>
  <c r="CX108" i="6" s="1"/>
  <c r="CX109" i="6" s="1"/>
  <c r="CX110" i="6" s="1"/>
  <c r="CX111" i="6" s="1"/>
  <c r="CX112" i="6" s="1"/>
  <c r="CX113" i="6" s="1"/>
  <c r="CX114" i="6" s="1"/>
  <c r="CX115" i="6" s="1"/>
  <c r="CX116" i="6" s="1"/>
  <c r="AN153" i="14"/>
  <c r="AN152" i="14"/>
  <c r="AN151" i="14"/>
  <c r="AH151" i="14" s="1"/>
  <c r="AN150" i="14"/>
  <c r="AG150" i="14" s="1"/>
  <c r="AN149" i="14"/>
  <c r="AH149" i="14" s="1"/>
  <c r="AN148" i="14"/>
  <c r="AM148" i="14" s="1"/>
  <c r="AN147" i="14"/>
  <c r="AN146" i="14"/>
  <c r="AJ146" i="14" s="1"/>
  <c r="AN145" i="14"/>
  <c r="AF145" i="14" s="1"/>
  <c r="AN132" i="14"/>
  <c r="AN131" i="14"/>
  <c r="AN130" i="14"/>
  <c r="AN129" i="14"/>
  <c r="AM129" i="14" s="1"/>
  <c r="AN128" i="14"/>
  <c r="AH128" i="14" s="1"/>
  <c r="AN127" i="14"/>
  <c r="AN126" i="14"/>
  <c r="AL126" i="14" s="1"/>
  <c r="AN125" i="14"/>
  <c r="AJ125" i="14" s="1"/>
  <c r="AN124" i="14"/>
  <c r="AN111" i="14"/>
  <c r="AJ111" i="14" s="1"/>
  <c r="AN110" i="14"/>
  <c r="AM110" i="14" s="1"/>
  <c r="AN109" i="14"/>
  <c r="AN108" i="14"/>
  <c r="AN107" i="14"/>
  <c r="AE107" i="14" s="1"/>
  <c r="AN106" i="14"/>
  <c r="AG106" i="14" s="1"/>
  <c r="AN105" i="14"/>
  <c r="AN104" i="14"/>
  <c r="AG104" i="14" s="1"/>
  <c r="AN103" i="14"/>
  <c r="AF103" i="14" s="1"/>
  <c r="AN90" i="14"/>
  <c r="AH90" i="14" s="1"/>
  <c r="AN89" i="14"/>
  <c r="AK89" i="14" s="1"/>
  <c r="AN88" i="14"/>
  <c r="AD88" i="14" s="1"/>
  <c r="AN87" i="14"/>
  <c r="AJ87" i="14" s="1"/>
  <c r="AN86" i="14"/>
  <c r="AJ86" i="14" s="1"/>
  <c r="AN85" i="14"/>
  <c r="AN84" i="14"/>
  <c r="AE84" i="14" s="1"/>
  <c r="AN83" i="14"/>
  <c r="AM83" i="14" s="1"/>
  <c r="AN82" i="14"/>
  <c r="AN69" i="14"/>
  <c r="AK69" i="14" s="1"/>
  <c r="AN68" i="14"/>
  <c r="AJ68" i="14" s="1"/>
  <c r="AN67" i="14"/>
  <c r="AL67" i="14" s="1"/>
  <c r="AN66" i="14"/>
  <c r="AN65" i="14"/>
  <c r="AN64" i="14"/>
  <c r="AM64" i="14" s="1"/>
  <c r="AN63" i="14"/>
  <c r="AN62" i="14"/>
  <c r="AN61" i="14"/>
  <c r="AF61" i="14" s="1"/>
  <c r="AN153" i="29"/>
  <c r="AM153" i="29" s="1"/>
  <c r="AN152" i="29"/>
  <c r="AH152" i="29" s="1"/>
  <c r="AN151" i="29"/>
  <c r="AM151" i="29" s="1"/>
  <c r="AN150" i="29"/>
  <c r="AJ150" i="29" s="1"/>
  <c r="AN149" i="29"/>
  <c r="AL149" i="29" s="1"/>
  <c r="AN148" i="29"/>
  <c r="AM148" i="29" s="1"/>
  <c r="AN147" i="29"/>
  <c r="AN146" i="29"/>
  <c r="AK146" i="29" s="1"/>
  <c r="AN145" i="29"/>
  <c r="AN132" i="29"/>
  <c r="AK132" i="29" s="1"/>
  <c r="AN131" i="29"/>
  <c r="AG131" i="29" s="1"/>
  <c r="AN130" i="29"/>
  <c r="AN129" i="29"/>
  <c r="AH129" i="29" s="1"/>
  <c r="AN128" i="29"/>
  <c r="AH128" i="29" s="1"/>
  <c r="AN127" i="29"/>
  <c r="AK127" i="29" s="1"/>
  <c r="AN126" i="29"/>
  <c r="AG126" i="29" s="1"/>
  <c r="AN125" i="29"/>
  <c r="AH125" i="29" s="1"/>
  <c r="AN124" i="29"/>
  <c r="AK124" i="29" s="1"/>
  <c r="AN111" i="29"/>
  <c r="AI111" i="29" s="1"/>
  <c r="AN110" i="29"/>
  <c r="AN109" i="29"/>
  <c r="AH109" i="29" s="1"/>
  <c r="AN108" i="29"/>
  <c r="AK108" i="29" s="1"/>
  <c r="AN107" i="29"/>
  <c r="AM107" i="29" s="1"/>
  <c r="AN106" i="29"/>
  <c r="AH106" i="29" s="1"/>
  <c r="AN105" i="29"/>
  <c r="AN104" i="29"/>
  <c r="AM104" i="29" s="1"/>
  <c r="AN103" i="29"/>
  <c r="AG103" i="29" s="1"/>
  <c r="AN90" i="29"/>
  <c r="AN89" i="29"/>
  <c r="AK89" i="29" s="1"/>
  <c r="AN88" i="29"/>
  <c r="AM88" i="29" s="1"/>
  <c r="AN87" i="29"/>
  <c r="AD87" i="29" s="1"/>
  <c r="AN86" i="29"/>
  <c r="AN85" i="29"/>
  <c r="AH85" i="29" s="1"/>
  <c r="AN84" i="29"/>
  <c r="AL84" i="29" s="1"/>
  <c r="AN83" i="29"/>
  <c r="AM83" i="29" s="1"/>
  <c r="AN82" i="29"/>
  <c r="AN69" i="29"/>
  <c r="AM69" i="29" s="1"/>
  <c r="AN68" i="29"/>
  <c r="AN67" i="29"/>
  <c r="AK67" i="29" s="1"/>
  <c r="AN66" i="29"/>
  <c r="AK66" i="29" s="1"/>
  <c r="AN65" i="29"/>
  <c r="AN64" i="29"/>
  <c r="AN63" i="29"/>
  <c r="AF63" i="29" s="1"/>
  <c r="AN62" i="29"/>
  <c r="AK62" i="29" s="1"/>
  <c r="AN61" i="29"/>
  <c r="AG61" i="29" s="1"/>
  <c r="AN153" i="28"/>
  <c r="AM153" i="28" s="1"/>
  <c r="AN152" i="28"/>
  <c r="AK152" i="28" s="1"/>
  <c r="AN151" i="28"/>
  <c r="AL151" i="28" s="1"/>
  <c r="AN150" i="28"/>
  <c r="AN149" i="28"/>
  <c r="AK149" i="28" s="1"/>
  <c r="AN148" i="28"/>
  <c r="AN147" i="28"/>
  <c r="AN146" i="28"/>
  <c r="AK146" i="28" s="1"/>
  <c r="AN145" i="28"/>
  <c r="AM145" i="28" s="1"/>
  <c r="AN132" i="28"/>
  <c r="AL132" i="28" s="1"/>
  <c r="AN131" i="28"/>
  <c r="AN130" i="28"/>
  <c r="AK130" i="28" s="1"/>
  <c r="AN129" i="28"/>
  <c r="AM129" i="28" s="1"/>
  <c r="AN128" i="28"/>
  <c r="AL128" i="28" s="1"/>
  <c r="AN127" i="28"/>
  <c r="AH127" i="28" s="1"/>
  <c r="AN126" i="28"/>
  <c r="AM126" i="28" s="1"/>
  <c r="AN125" i="28"/>
  <c r="AI125" i="28" s="1"/>
  <c r="AN124" i="28"/>
  <c r="AL124" i="28" s="1"/>
  <c r="AN111" i="28"/>
  <c r="AL111" i="28" s="1"/>
  <c r="AN110" i="28"/>
  <c r="AM110" i="28" s="1"/>
  <c r="AN109" i="28"/>
  <c r="AL109" i="28" s="1"/>
  <c r="AN108" i="28"/>
  <c r="AI108" i="28" s="1"/>
  <c r="AN107" i="28"/>
  <c r="AN106" i="28"/>
  <c r="AN105" i="28"/>
  <c r="AN104" i="28"/>
  <c r="AN103" i="28"/>
  <c r="AN90" i="28"/>
  <c r="AH90" i="28" s="1"/>
  <c r="AN89" i="28"/>
  <c r="AE89" i="28" s="1"/>
  <c r="AN88" i="28"/>
  <c r="AM88" i="28" s="1"/>
  <c r="AN87" i="28"/>
  <c r="AI87" i="28" s="1"/>
  <c r="AN86" i="28"/>
  <c r="AL86" i="28" s="1"/>
  <c r="AN85" i="28"/>
  <c r="AG85" i="28" s="1"/>
  <c r="AN84" i="28"/>
  <c r="AF84" i="28" s="1"/>
  <c r="AN83" i="28"/>
  <c r="AM83" i="28" s="1"/>
  <c r="AN82" i="28"/>
  <c r="AF82" i="28" s="1"/>
  <c r="AN69" i="28"/>
  <c r="AM69" i="28" s="1"/>
  <c r="AN68" i="28"/>
  <c r="AI68" i="28" s="1"/>
  <c r="AN67" i="28"/>
  <c r="AN66" i="28"/>
  <c r="AN65" i="28"/>
  <c r="AL65" i="28" s="1"/>
  <c r="AN64" i="28"/>
  <c r="AM64" i="28" s="1"/>
  <c r="AN63" i="28"/>
  <c r="AM63" i="28" s="1"/>
  <c r="AN62" i="28"/>
  <c r="AN61" i="28"/>
  <c r="AN153" i="27"/>
  <c r="AM153" i="27" s="1"/>
  <c r="AN152" i="27"/>
  <c r="AI152" i="27" s="1"/>
  <c r="AN151" i="27"/>
  <c r="AG151" i="27" s="1"/>
  <c r="AN150" i="27"/>
  <c r="AJ150" i="27" s="1"/>
  <c r="AN149" i="27"/>
  <c r="AL149" i="27" s="1"/>
  <c r="AN148" i="27"/>
  <c r="AM148" i="27" s="1"/>
  <c r="AN147" i="27"/>
  <c r="AG147" i="27" s="1"/>
  <c r="AN146" i="27"/>
  <c r="AK146" i="27" s="1"/>
  <c r="AN145" i="27"/>
  <c r="AM145" i="27" s="1"/>
  <c r="AN132" i="27"/>
  <c r="AD132" i="27" s="1"/>
  <c r="AN131" i="27"/>
  <c r="AM131" i="27" s="1"/>
  <c r="AN130" i="27"/>
  <c r="AN129" i="27"/>
  <c r="AN128" i="27"/>
  <c r="AI128" i="27" s="1"/>
  <c r="AN127" i="27"/>
  <c r="AL127" i="27" s="1"/>
  <c r="AN126" i="27"/>
  <c r="AN125" i="27"/>
  <c r="AF125" i="27" s="1"/>
  <c r="AN124" i="27"/>
  <c r="AN111" i="27"/>
  <c r="AN110" i="27"/>
  <c r="AM110" i="27" s="1"/>
  <c r="AN109" i="27"/>
  <c r="AG109" i="27" s="1"/>
  <c r="AN108" i="27"/>
  <c r="AK108" i="27" s="1"/>
  <c r="AN107" i="27"/>
  <c r="AN106" i="27"/>
  <c r="AH106" i="27" s="1"/>
  <c r="AN105" i="27"/>
  <c r="AK105" i="27" s="1"/>
  <c r="AN104" i="27"/>
  <c r="AI104" i="27" s="1"/>
  <c r="AN103" i="27"/>
  <c r="AN90" i="27"/>
  <c r="AG90" i="27" s="1"/>
  <c r="AN89" i="27"/>
  <c r="AK89" i="27" s="1"/>
  <c r="AN88" i="27"/>
  <c r="AM88" i="27" s="1"/>
  <c r="AN87" i="27"/>
  <c r="AI87" i="27" s="1"/>
  <c r="AN86" i="27"/>
  <c r="AK86" i="27" s="1"/>
  <c r="AN85" i="27"/>
  <c r="AJ85" i="27" s="1"/>
  <c r="AN84" i="27"/>
  <c r="AF84" i="27" s="1"/>
  <c r="AN83" i="27"/>
  <c r="AM83" i="27" s="1"/>
  <c r="AN82" i="27"/>
  <c r="AG82" i="27" s="1"/>
  <c r="AN69" i="27"/>
  <c r="AM69" i="27" s="1"/>
  <c r="AN68" i="27"/>
  <c r="AN67" i="27"/>
  <c r="AK67" i="27" s="1"/>
  <c r="AN66" i="27"/>
  <c r="AJ66" i="27" s="1"/>
  <c r="AN65" i="27"/>
  <c r="AJ65" i="27" s="1"/>
  <c r="AN64" i="27"/>
  <c r="AN63" i="27"/>
  <c r="AG63" i="27" s="1"/>
  <c r="AN62" i="27"/>
  <c r="AK62" i="27" s="1"/>
  <c r="AN61" i="27"/>
  <c r="AM61" i="27" s="1"/>
  <c r="AN153" i="26"/>
  <c r="AF153" i="26" s="1"/>
  <c r="AN152" i="26"/>
  <c r="AM152" i="26" s="1"/>
  <c r="AN151" i="26"/>
  <c r="AH151" i="26" s="1"/>
  <c r="AN150" i="26"/>
  <c r="AG150" i="26" s="1"/>
  <c r="AN149" i="26"/>
  <c r="AN148" i="26"/>
  <c r="AM148" i="26" s="1"/>
  <c r="AN147" i="26"/>
  <c r="AH147" i="26" s="1"/>
  <c r="AN146" i="26"/>
  <c r="AJ146" i="26" s="1"/>
  <c r="AN145" i="26"/>
  <c r="AF145" i="26" s="1"/>
  <c r="AN132" i="26"/>
  <c r="AM132" i="26" s="1"/>
  <c r="AN131" i="26"/>
  <c r="AN130" i="26"/>
  <c r="AK130" i="26" s="1"/>
  <c r="AN129" i="26"/>
  <c r="AM129" i="26" s="1"/>
  <c r="AN128" i="26"/>
  <c r="AN127" i="26"/>
  <c r="AJ127" i="26" s="1"/>
  <c r="AN126" i="26"/>
  <c r="AL126" i="26" s="1"/>
  <c r="AN125" i="26"/>
  <c r="AM125" i="26" s="1"/>
  <c r="AN124" i="26"/>
  <c r="AG124" i="26" s="1"/>
  <c r="AN111" i="26"/>
  <c r="AI111" i="26" s="1"/>
  <c r="AN110" i="26"/>
  <c r="AM110" i="26" s="1"/>
  <c r="AN109" i="26"/>
  <c r="AH109" i="26" s="1"/>
  <c r="AN108" i="26"/>
  <c r="AH108" i="26" s="1"/>
  <c r="AN107" i="26"/>
  <c r="AG107" i="26" s="1"/>
  <c r="AN106" i="26"/>
  <c r="AK106" i="26" s="1"/>
  <c r="AN105" i="26"/>
  <c r="AJ105" i="26" s="1"/>
  <c r="AN104" i="26"/>
  <c r="AN103" i="26"/>
  <c r="AK103" i="26" s="1"/>
  <c r="AN90" i="26"/>
  <c r="AF90" i="26" s="1"/>
  <c r="AN89" i="26"/>
  <c r="AI89" i="26" s="1"/>
  <c r="AN88" i="26"/>
  <c r="AE88" i="26" s="1"/>
  <c r="AN87" i="26"/>
  <c r="AM87" i="26" s="1"/>
  <c r="AN86" i="26"/>
  <c r="AJ86" i="26" s="1"/>
  <c r="AN85" i="26"/>
  <c r="AG85" i="26" s="1"/>
  <c r="AN84" i="26"/>
  <c r="AN83" i="26"/>
  <c r="AM83" i="26" s="1"/>
  <c r="AN82" i="26"/>
  <c r="AN69" i="26"/>
  <c r="AM69" i="26" s="1"/>
  <c r="AN68" i="26"/>
  <c r="AH68" i="26" s="1"/>
  <c r="AN67" i="26"/>
  <c r="AK67" i="26" s="1"/>
  <c r="AN66" i="26"/>
  <c r="AH66" i="26" s="1"/>
  <c r="AN65" i="26"/>
  <c r="AG65" i="26" s="1"/>
  <c r="AN64" i="26"/>
  <c r="AM64" i="26" s="1"/>
  <c r="AN63" i="26"/>
  <c r="AH63" i="26" s="1"/>
  <c r="AN62" i="26"/>
  <c r="AL62" i="26" s="1"/>
  <c r="AN61" i="26"/>
  <c r="AK61" i="26" s="1"/>
  <c r="AN153" i="25"/>
  <c r="AM153" i="25" s="1"/>
  <c r="AN152" i="25"/>
  <c r="AI152" i="25" s="1"/>
  <c r="AN151" i="25"/>
  <c r="AD151" i="25" s="1"/>
  <c r="AN150" i="25"/>
  <c r="AM150" i="25" s="1"/>
  <c r="AN149" i="25"/>
  <c r="AG149" i="25" s="1"/>
  <c r="AN148" i="25"/>
  <c r="AN147" i="25"/>
  <c r="AH147" i="25" s="1"/>
  <c r="AN146" i="25"/>
  <c r="AM146" i="25" s="1"/>
  <c r="AN145" i="25"/>
  <c r="AM145" i="25" s="1"/>
  <c r="AN132" i="25"/>
  <c r="AM132" i="25" s="1"/>
  <c r="AN131" i="25"/>
  <c r="AM131" i="25" s="1"/>
  <c r="AN130" i="25"/>
  <c r="AN129" i="25"/>
  <c r="AM129" i="25" s="1"/>
  <c r="AN128" i="25"/>
  <c r="AM128" i="25" s="1"/>
  <c r="AN127" i="25"/>
  <c r="AI127" i="25" s="1"/>
  <c r="AN126" i="25"/>
  <c r="AM126" i="25" s="1"/>
  <c r="AN125" i="25"/>
  <c r="AH125" i="25" s="1"/>
  <c r="AN124" i="25"/>
  <c r="AM124" i="25" s="1"/>
  <c r="AN111" i="25"/>
  <c r="AN110" i="25"/>
  <c r="AM110" i="25" s="1"/>
  <c r="AN109" i="25"/>
  <c r="AM109" i="25" s="1"/>
  <c r="AN108" i="25"/>
  <c r="AL108" i="25" s="1"/>
  <c r="AN107" i="25"/>
  <c r="AM107" i="25" s="1"/>
  <c r="AN106" i="25"/>
  <c r="AJ106" i="25" s="1"/>
  <c r="AN105" i="25"/>
  <c r="AK105" i="25" s="1"/>
  <c r="AN104" i="25"/>
  <c r="AM104" i="25" s="1"/>
  <c r="AN103" i="25"/>
  <c r="AK103" i="25" s="1"/>
  <c r="AN90" i="25"/>
  <c r="AM90" i="25" s="1"/>
  <c r="AN89" i="25"/>
  <c r="AN88" i="25"/>
  <c r="AM88" i="25" s="1"/>
  <c r="AN87" i="25"/>
  <c r="AM87" i="25" s="1"/>
  <c r="AN86" i="25"/>
  <c r="AM86" i="25" s="1"/>
  <c r="AN85" i="25"/>
  <c r="AL85" i="25" s="1"/>
  <c r="AN84" i="25"/>
  <c r="AN83" i="25"/>
  <c r="AM83" i="25" s="1"/>
  <c r="AN82" i="25"/>
  <c r="AG82" i="25" s="1"/>
  <c r="AN69" i="25"/>
  <c r="AM69" i="25" s="1"/>
  <c r="AN68" i="25"/>
  <c r="AL68" i="25" s="1"/>
  <c r="AN67" i="25"/>
  <c r="AJ67" i="25" s="1"/>
  <c r="AN66" i="25"/>
  <c r="AL66" i="25" s="1"/>
  <c r="AN65" i="25"/>
  <c r="AG65" i="25" s="1"/>
  <c r="AN64" i="25"/>
  <c r="AM64" i="25" s="1"/>
  <c r="AN63" i="25"/>
  <c r="AG63" i="25" s="1"/>
  <c r="AN62" i="25"/>
  <c r="AM62" i="25" s="1"/>
  <c r="AN61" i="25"/>
  <c r="AN153" i="24"/>
  <c r="AM153" i="24" s="1"/>
  <c r="AN152" i="24"/>
  <c r="AH152" i="24" s="1"/>
  <c r="AN151" i="24"/>
  <c r="AK151" i="24" s="1"/>
  <c r="AN150" i="24"/>
  <c r="AK150" i="24" s="1"/>
  <c r="AN149" i="24"/>
  <c r="AJ149" i="24" s="1"/>
  <c r="AN148" i="24"/>
  <c r="AM148" i="24" s="1"/>
  <c r="AN147" i="24"/>
  <c r="AM147" i="24" s="1"/>
  <c r="AN146" i="24"/>
  <c r="AK146" i="24" s="1"/>
  <c r="AN145" i="24"/>
  <c r="AI145" i="24" s="1"/>
  <c r="AN132" i="24"/>
  <c r="AL132" i="24" s="1"/>
  <c r="AN131" i="24"/>
  <c r="AM131" i="24" s="1"/>
  <c r="AN130" i="24"/>
  <c r="AE130" i="24" s="1"/>
  <c r="AN129" i="24"/>
  <c r="AM129" i="24" s="1"/>
  <c r="AN128" i="24"/>
  <c r="AG128" i="24" s="1"/>
  <c r="AN127" i="24"/>
  <c r="AK127" i="24" s="1"/>
  <c r="AN126" i="24"/>
  <c r="AM126" i="24" s="1"/>
  <c r="AN125" i="24"/>
  <c r="AH125" i="24" s="1"/>
  <c r="AN124" i="24"/>
  <c r="AN111" i="24"/>
  <c r="AJ111" i="24" s="1"/>
  <c r="AN110" i="24"/>
  <c r="AM110" i="24" s="1"/>
  <c r="AN109" i="24"/>
  <c r="AI109" i="24" s="1"/>
  <c r="AN108" i="24"/>
  <c r="AN107" i="24"/>
  <c r="AM107" i="24" s="1"/>
  <c r="AN106" i="24"/>
  <c r="AM106" i="24" s="1"/>
  <c r="AN105" i="24"/>
  <c r="AH105" i="24" s="1"/>
  <c r="AN104" i="24"/>
  <c r="AM104" i="24" s="1"/>
  <c r="AN103" i="24"/>
  <c r="AJ103" i="24" s="1"/>
  <c r="AN90" i="24"/>
  <c r="AM90" i="24" s="1"/>
  <c r="AN89" i="24"/>
  <c r="AK89" i="24" s="1"/>
  <c r="AN88" i="24"/>
  <c r="AM88" i="24" s="1"/>
  <c r="AN87" i="24"/>
  <c r="AH87" i="24" s="1"/>
  <c r="AN86" i="24"/>
  <c r="AK86" i="24" s="1"/>
  <c r="AN85" i="24"/>
  <c r="AF85" i="24" s="1"/>
  <c r="AN84" i="24"/>
  <c r="AJ84" i="24" s="1"/>
  <c r="AN83" i="24"/>
  <c r="AM83" i="24" s="1"/>
  <c r="AN82" i="24"/>
  <c r="AJ82" i="24" s="1"/>
  <c r="AN69" i="24"/>
  <c r="AM69" i="24" s="1"/>
  <c r="AN68" i="24"/>
  <c r="AH68" i="24" s="1"/>
  <c r="AN67" i="24"/>
  <c r="AK67" i="24" s="1"/>
  <c r="AN66" i="24"/>
  <c r="AN65" i="24"/>
  <c r="AJ65" i="24" s="1"/>
  <c r="AN64" i="24"/>
  <c r="AM64" i="24" s="1"/>
  <c r="AN63" i="24"/>
  <c r="AD63" i="24" s="1"/>
  <c r="AN62" i="24"/>
  <c r="AK62" i="24" s="1"/>
  <c r="AN61" i="24"/>
  <c r="AM61" i="24" s="1"/>
  <c r="AN153" i="23"/>
  <c r="AM153" i="23" s="1"/>
  <c r="AN152" i="23"/>
  <c r="AN151" i="23"/>
  <c r="AD151" i="23" s="1"/>
  <c r="AN150" i="23"/>
  <c r="AM150" i="23" s="1"/>
  <c r="AN149" i="23"/>
  <c r="AI149" i="23" s="1"/>
  <c r="AN148" i="23"/>
  <c r="AN147" i="23"/>
  <c r="AL147" i="23" s="1"/>
  <c r="AN146" i="23"/>
  <c r="AN145" i="23"/>
  <c r="AN132" i="23"/>
  <c r="AN131" i="23"/>
  <c r="AN130" i="23"/>
  <c r="AI130" i="23" s="1"/>
  <c r="AN129" i="23"/>
  <c r="AN128" i="23"/>
  <c r="AN127" i="23"/>
  <c r="AL127" i="23" s="1"/>
  <c r="AN126" i="23"/>
  <c r="AM126" i="23" s="1"/>
  <c r="AN125" i="23"/>
  <c r="AM125" i="23" s="1"/>
  <c r="AN124" i="23"/>
  <c r="AD124" i="23" s="1"/>
  <c r="AN111" i="23"/>
  <c r="AF111" i="23" s="1"/>
  <c r="AN110" i="23"/>
  <c r="AM110" i="23" s="1"/>
  <c r="AN109" i="23"/>
  <c r="AN108" i="23"/>
  <c r="AJ108" i="23" s="1"/>
  <c r="AN107" i="23"/>
  <c r="AF107" i="23" s="1"/>
  <c r="AN106" i="23"/>
  <c r="AH106" i="23" s="1"/>
  <c r="AN105" i="23"/>
  <c r="AM105" i="23" s="1"/>
  <c r="AN104" i="23"/>
  <c r="AN103" i="23"/>
  <c r="AI103" i="23" s="1"/>
  <c r="AN90" i="23"/>
  <c r="AK90" i="23" s="1"/>
  <c r="AN89" i="23"/>
  <c r="AN88" i="23"/>
  <c r="AN87" i="23"/>
  <c r="AH87" i="23" s="1"/>
  <c r="AN86" i="23"/>
  <c r="AM86" i="23" s="1"/>
  <c r="AN85" i="23"/>
  <c r="AL85" i="23" s="1"/>
  <c r="AN84" i="23"/>
  <c r="AI84" i="23" s="1"/>
  <c r="AN83" i="23"/>
  <c r="AM83" i="23" s="1"/>
  <c r="AN82" i="23"/>
  <c r="AD82" i="23" s="1"/>
  <c r="AN69" i="23"/>
  <c r="AN68" i="23"/>
  <c r="AH68" i="23" s="1"/>
  <c r="AN67" i="23"/>
  <c r="AK67" i="23" s="1"/>
  <c r="AN66" i="23"/>
  <c r="AM66" i="23" s="1"/>
  <c r="AN65" i="23"/>
  <c r="AI65" i="23" s="1"/>
  <c r="AN64" i="23"/>
  <c r="AM64" i="23" s="1"/>
  <c r="AN63" i="23"/>
  <c r="AJ63" i="23" s="1"/>
  <c r="AN62" i="23"/>
  <c r="AN61" i="23"/>
  <c r="AM61" i="23" s="1"/>
  <c r="AN153" i="22"/>
  <c r="AM153" i="22" s="1"/>
  <c r="AN152" i="22"/>
  <c r="AM152" i="22" s="1"/>
  <c r="AN151" i="22"/>
  <c r="AN150" i="22"/>
  <c r="AM150" i="22" s="1"/>
  <c r="AN149" i="22"/>
  <c r="AF149" i="22" s="1"/>
  <c r="AN148" i="22"/>
  <c r="AM148" i="22" s="1"/>
  <c r="AN147" i="22"/>
  <c r="AK147" i="22" s="1"/>
  <c r="AN146" i="22"/>
  <c r="AJ146" i="22" s="1"/>
  <c r="AN145" i="22"/>
  <c r="AN132" i="22"/>
  <c r="AM132" i="22" s="1"/>
  <c r="AN131" i="22"/>
  <c r="AF131" i="22" s="1"/>
  <c r="AN130" i="22"/>
  <c r="AJ130" i="22" s="1"/>
  <c r="AN129" i="22"/>
  <c r="AM129" i="22" s="1"/>
  <c r="AN128" i="22"/>
  <c r="AM128" i="22" s="1"/>
  <c r="AN127" i="22"/>
  <c r="AJ127" i="22" s="1"/>
  <c r="AN126" i="22"/>
  <c r="AN125" i="22"/>
  <c r="AM125" i="22" s="1"/>
  <c r="AN124" i="22"/>
  <c r="AM124" i="22" s="1"/>
  <c r="AN111" i="22"/>
  <c r="AL111" i="22" s="1"/>
  <c r="AN110" i="22"/>
  <c r="AM110" i="22" s="1"/>
  <c r="AN109" i="22"/>
  <c r="AM109" i="22" s="1"/>
  <c r="AN108" i="22"/>
  <c r="AL108" i="22" s="1"/>
  <c r="AN107" i="22"/>
  <c r="AN106" i="22"/>
  <c r="AL106" i="22" s="1"/>
  <c r="AN105" i="22"/>
  <c r="AD105" i="22" s="1"/>
  <c r="AN104" i="22"/>
  <c r="AM104" i="22" s="1"/>
  <c r="AN103" i="22"/>
  <c r="AN90" i="22"/>
  <c r="AM90" i="22" s="1"/>
  <c r="AN89" i="22"/>
  <c r="AD89" i="22" s="1"/>
  <c r="AN88" i="22"/>
  <c r="AM88" i="22" s="1"/>
  <c r="AN87" i="22"/>
  <c r="AH87" i="22" s="1"/>
  <c r="AN86" i="22"/>
  <c r="AJ86" i="22" s="1"/>
  <c r="AN85" i="22"/>
  <c r="AN84" i="22"/>
  <c r="AN83" i="22"/>
  <c r="AM83" i="22" s="1"/>
  <c r="AN82" i="22"/>
  <c r="AF82" i="22" s="1"/>
  <c r="AN69" i="22"/>
  <c r="AN68" i="22"/>
  <c r="AJ68" i="22" s="1"/>
  <c r="AN67" i="22"/>
  <c r="AI67" i="22" s="1"/>
  <c r="AN66" i="22"/>
  <c r="AH66" i="22" s="1"/>
  <c r="AN65" i="22"/>
  <c r="AJ65" i="22" s="1"/>
  <c r="AN64" i="22"/>
  <c r="AM64" i="22" s="1"/>
  <c r="AN63" i="22"/>
  <c r="AN62" i="22"/>
  <c r="AD62" i="22" s="1"/>
  <c r="AN61" i="22"/>
  <c r="AG61" i="22" s="1"/>
  <c r="AN153" i="21"/>
  <c r="AI153" i="21" s="1"/>
  <c r="AN152" i="21"/>
  <c r="AM152" i="21" s="1"/>
  <c r="AN151" i="21"/>
  <c r="AM151" i="21" s="1"/>
  <c r="AN150" i="21"/>
  <c r="AH150" i="21" s="1"/>
  <c r="AN149" i="21"/>
  <c r="AN148" i="21"/>
  <c r="AM148" i="21" s="1"/>
  <c r="AN147" i="21"/>
  <c r="AL147" i="21" s="1"/>
  <c r="AN146" i="21"/>
  <c r="AL146" i="21" s="1"/>
  <c r="AN145" i="21"/>
  <c r="AI145" i="21" s="1"/>
  <c r="AN132" i="21"/>
  <c r="AL132" i="21" s="1"/>
  <c r="AN131" i="21"/>
  <c r="AH131" i="21" s="1"/>
  <c r="AN130" i="21"/>
  <c r="AM130" i="21" s="1"/>
  <c r="AN129" i="21"/>
  <c r="AN128" i="21"/>
  <c r="AK128" i="21" s="1"/>
  <c r="AN127" i="21"/>
  <c r="AN126" i="21"/>
  <c r="AI126" i="21" s="1"/>
  <c r="AN125" i="21"/>
  <c r="AM125" i="21" s="1"/>
  <c r="AN124" i="21"/>
  <c r="AM124" i="21" s="1"/>
  <c r="AN111" i="21"/>
  <c r="AK111" i="21" s="1"/>
  <c r="AN110" i="21"/>
  <c r="AN109" i="21"/>
  <c r="AN108" i="21"/>
  <c r="AK108" i="21" s="1"/>
  <c r="AN107" i="21"/>
  <c r="AG107" i="21" s="1"/>
  <c r="AN106" i="21"/>
  <c r="AL106" i="21" s="1"/>
  <c r="AN105" i="21"/>
  <c r="AL105" i="21" s="1"/>
  <c r="AN104" i="21"/>
  <c r="AL104" i="21" s="1"/>
  <c r="AN103" i="21"/>
  <c r="AM103" i="21" s="1"/>
  <c r="AN90" i="21"/>
  <c r="AM90" i="21" s="1"/>
  <c r="AN89" i="21"/>
  <c r="AD89" i="21" s="1"/>
  <c r="AN88" i="21"/>
  <c r="AJ88" i="21" s="1"/>
  <c r="AN87" i="21"/>
  <c r="AN86" i="21"/>
  <c r="AL86" i="21" s="1"/>
  <c r="AN85" i="21"/>
  <c r="AJ85" i="21" s="1"/>
  <c r="AN84" i="21"/>
  <c r="AJ84" i="21" s="1"/>
  <c r="AN83" i="21"/>
  <c r="AM83" i="21" s="1"/>
  <c r="AN82" i="21"/>
  <c r="AN69" i="21"/>
  <c r="AI69" i="21" s="1"/>
  <c r="AN68" i="21"/>
  <c r="AM68" i="21" s="1"/>
  <c r="AN67" i="21"/>
  <c r="AD67" i="21" s="1"/>
  <c r="AN66" i="21"/>
  <c r="AN65" i="21"/>
  <c r="AK65" i="21" s="1"/>
  <c r="AN64" i="21"/>
  <c r="AM64" i="21" s="1"/>
  <c r="AN63" i="21"/>
  <c r="AM63" i="21" s="1"/>
  <c r="AN62" i="21"/>
  <c r="AD62" i="21" s="1"/>
  <c r="AN61" i="21"/>
  <c r="AJ61" i="21" s="1"/>
  <c r="AN153" i="20"/>
  <c r="AN152" i="20"/>
  <c r="AI152" i="20" s="1"/>
  <c r="AN151" i="20"/>
  <c r="AE151" i="20" s="1"/>
  <c r="AN150" i="20"/>
  <c r="AL150" i="20" s="1"/>
  <c r="AN149" i="20"/>
  <c r="AL149" i="20" s="1"/>
  <c r="AN148" i="20"/>
  <c r="AM148" i="20" s="1"/>
  <c r="AN147" i="20"/>
  <c r="AI147" i="20" s="1"/>
  <c r="AN146" i="20"/>
  <c r="AJ146" i="20" s="1"/>
  <c r="AN145" i="20"/>
  <c r="AF145" i="20" s="1"/>
  <c r="AN132" i="20"/>
  <c r="AE132" i="20" s="1"/>
  <c r="AN131" i="20"/>
  <c r="AM131" i="20" s="1"/>
  <c r="AN130" i="20"/>
  <c r="AN129" i="20"/>
  <c r="AM129" i="20" s="1"/>
  <c r="AN128" i="20"/>
  <c r="AK128" i="20" s="1"/>
  <c r="AN127" i="20"/>
  <c r="AI127" i="20" s="1"/>
  <c r="AN126" i="20"/>
  <c r="AM126" i="20" s="1"/>
  <c r="AN125" i="20"/>
  <c r="AI125" i="20" s="1"/>
  <c r="AN124" i="20"/>
  <c r="AL124" i="20" s="1"/>
  <c r="AN111" i="20"/>
  <c r="AH111" i="20" s="1"/>
  <c r="AN110" i="20"/>
  <c r="AM110" i="20" s="1"/>
  <c r="AN109" i="20"/>
  <c r="AG109" i="20" s="1"/>
  <c r="AN108" i="20"/>
  <c r="AH108" i="20" s="1"/>
  <c r="AN107" i="20"/>
  <c r="AH107" i="20" s="1"/>
  <c r="AN106" i="20"/>
  <c r="AI106" i="20" s="1"/>
  <c r="AN105" i="20"/>
  <c r="AL105" i="20" s="1"/>
  <c r="AN104" i="20"/>
  <c r="AF104" i="20" s="1"/>
  <c r="AN103" i="20"/>
  <c r="AN90" i="20"/>
  <c r="AL90" i="20" s="1"/>
  <c r="AN89" i="20"/>
  <c r="AN88" i="20"/>
  <c r="AN87" i="20"/>
  <c r="AI87" i="20" s="1"/>
  <c r="AN86" i="20"/>
  <c r="AL86" i="20" s="1"/>
  <c r="AN85" i="20"/>
  <c r="AM85" i="20" s="1"/>
  <c r="AN84" i="20"/>
  <c r="AH84" i="20" s="1"/>
  <c r="AN83" i="20"/>
  <c r="AM83" i="20" s="1"/>
  <c r="AN82" i="20"/>
  <c r="AD82" i="20" s="1"/>
  <c r="AN69" i="20"/>
  <c r="AM69" i="20" s="1"/>
  <c r="AN68" i="20"/>
  <c r="AI68" i="20" s="1"/>
  <c r="AN67" i="20"/>
  <c r="AL67" i="20" s="1"/>
  <c r="AN66" i="20"/>
  <c r="AL66" i="20" s="1"/>
  <c r="AN65" i="20"/>
  <c r="AL65" i="20" s="1"/>
  <c r="AN64" i="20"/>
  <c r="AM64" i="20" s="1"/>
  <c r="AN63" i="20"/>
  <c r="AK63" i="20" s="1"/>
  <c r="AN62" i="20"/>
  <c r="AN61" i="20"/>
  <c r="AM61" i="20" s="1"/>
  <c r="AN153" i="7"/>
  <c r="AK153" i="7" s="1"/>
  <c r="AN152" i="7"/>
  <c r="AM152" i="7" s="1"/>
  <c r="AN151" i="7"/>
  <c r="AN150" i="7"/>
  <c r="AG150" i="7" s="1"/>
  <c r="AN149" i="7"/>
  <c r="AK149" i="7" s="1"/>
  <c r="AN148" i="7"/>
  <c r="AM148" i="7" s="1"/>
  <c r="AN147" i="7"/>
  <c r="AH147" i="7" s="1"/>
  <c r="AN146" i="7"/>
  <c r="AH146" i="7" s="1"/>
  <c r="AN145" i="7"/>
  <c r="AK145" i="7" s="1"/>
  <c r="AN132" i="7"/>
  <c r="AN131" i="7"/>
  <c r="AG131" i="7" s="1"/>
  <c r="AN130" i="7"/>
  <c r="AN129" i="7"/>
  <c r="AM129" i="7" s="1"/>
  <c r="AN128" i="7"/>
  <c r="AN127" i="7"/>
  <c r="AH127" i="7" s="1"/>
  <c r="AN126" i="7"/>
  <c r="AK126" i="7" s="1"/>
  <c r="AN125" i="7"/>
  <c r="AM125" i="7" s="1"/>
  <c r="AN124" i="7"/>
  <c r="AN111" i="7"/>
  <c r="AK111" i="7" s="1"/>
  <c r="AN110" i="7"/>
  <c r="AM110" i="7" s="1"/>
  <c r="AN109" i="7"/>
  <c r="AH109" i="7" s="1"/>
  <c r="AN108" i="7"/>
  <c r="AN107" i="7"/>
  <c r="AK107" i="7" s="1"/>
  <c r="AN106" i="7"/>
  <c r="AN105" i="7"/>
  <c r="AN104" i="7"/>
  <c r="AG104" i="7" s="1"/>
  <c r="AN103" i="7"/>
  <c r="AL103" i="7" s="1"/>
  <c r="AN90" i="7"/>
  <c r="AH90" i="7" s="1"/>
  <c r="AN89" i="7"/>
  <c r="AH89" i="7" s="1"/>
  <c r="AN88" i="7"/>
  <c r="AK88" i="7" s="1"/>
  <c r="AN87" i="7"/>
  <c r="AL87" i="7" s="1"/>
  <c r="AN86" i="7"/>
  <c r="AM86" i="7" s="1"/>
  <c r="AN85" i="7"/>
  <c r="AG85" i="7" s="1"/>
  <c r="AN84" i="7"/>
  <c r="AL84" i="7" s="1"/>
  <c r="AN83" i="7"/>
  <c r="AM83" i="7" s="1"/>
  <c r="AN82" i="7"/>
  <c r="Q7" i="20"/>
  <c r="Q7" i="21"/>
  <c r="Q7" i="22"/>
  <c r="Q7" i="23"/>
  <c r="Q7" i="24"/>
  <c r="Q7" i="25"/>
  <c r="Q7" i="26"/>
  <c r="Q7" i="27"/>
  <c r="Q7" i="28"/>
  <c r="Q7" i="29"/>
  <c r="Q7" i="14"/>
  <c r="AD125" i="29" l="1"/>
  <c r="AL82" i="23"/>
  <c r="AD124" i="22"/>
  <c r="AJ85" i="23"/>
  <c r="AM145" i="23"/>
  <c r="AG145" i="23"/>
  <c r="AE90" i="23"/>
  <c r="AL152" i="7"/>
  <c r="AD151" i="26"/>
  <c r="AF84" i="20"/>
  <c r="AG105" i="26"/>
  <c r="AG151" i="26"/>
  <c r="AM124" i="20"/>
  <c r="AF147" i="23"/>
  <c r="AF69" i="24"/>
  <c r="AG89" i="28"/>
  <c r="AJ108" i="20"/>
  <c r="AI128" i="21"/>
  <c r="AM149" i="23"/>
  <c r="AD105" i="23"/>
  <c r="AM109" i="24"/>
  <c r="AG85" i="24"/>
  <c r="AD86" i="24"/>
  <c r="AE124" i="25"/>
  <c r="AG61" i="27"/>
  <c r="AK147" i="27"/>
  <c r="AI105" i="27"/>
  <c r="AF62" i="29"/>
  <c r="AL69" i="29"/>
  <c r="AI153" i="29"/>
  <c r="AE86" i="14"/>
  <c r="AG131" i="21"/>
  <c r="AM82" i="23"/>
  <c r="AF63" i="25"/>
  <c r="AE151" i="25"/>
  <c r="AG68" i="26"/>
  <c r="AD105" i="26"/>
  <c r="AD89" i="27"/>
  <c r="AG106" i="27"/>
  <c r="AI125" i="29"/>
  <c r="AJ132" i="29"/>
  <c r="AE149" i="29"/>
  <c r="AE85" i="7"/>
  <c r="AF109" i="7"/>
  <c r="AK131" i="21"/>
  <c r="AE65" i="22"/>
  <c r="AD131" i="24"/>
  <c r="AI63" i="25"/>
  <c r="AJ151" i="25"/>
  <c r="AG63" i="26"/>
  <c r="AF105" i="26"/>
  <c r="AE111" i="26"/>
  <c r="AL132" i="29"/>
  <c r="AF149" i="29"/>
  <c r="AE61" i="14"/>
  <c r="AG67" i="14"/>
  <c r="AE104" i="7"/>
  <c r="AD108" i="21"/>
  <c r="AG107" i="24"/>
  <c r="AG131" i="24"/>
  <c r="AI109" i="25"/>
  <c r="AK151" i="25"/>
  <c r="AI63" i="26"/>
  <c r="AL66" i="27"/>
  <c r="AF84" i="29"/>
  <c r="AF109" i="29"/>
  <c r="AM132" i="29"/>
  <c r="AH149" i="29"/>
  <c r="AH67" i="14"/>
  <c r="AM104" i="7"/>
  <c r="AM82" i="20"/>
  <c r="AE124" i="20"/>
  <c r="AD104" i="21"/>
  <c r="AL108" i="21"/>
  <c r="AH104" i="25"/>
  <c r="AM151" i="25"/>
  <c r="AF61" i="27"/>
  <c r="AM66" i="27"/>
  <c r="AE85" i="27"/>
  <c r="AK67" i="14"/>
  <c r="AE151" i="14"/>
  <c r="AF108" i="20"/>
  <c r="AF104" i="21"/>
  <c r="AF85" i="23"/>
  <c r="AJ68" i="24"/>
  <c r="AD85" i="24"/>
  <c r="AF149" i="25"/>
  <c r="AG132" i="26"/>
  <c r="AH109" i="27"/>
  <c r="AH147" i="27"/>
  <c r="AK104" i="29"/>
  <c r="AI151" i="14"/>
  <c r="AJ152" i="7"/>
  <c r="AG108" i="20"/>
  <c r="AG104" i="21"/>
  <c r="AF88" i="22"/>
  <c r="AH85" i="23"/>
  <c r="AM68" i="24"/>
  <c r="AL105" i="25"/>
  <c r="AH149" i="25"/>
  <c r="AK132" i="26"/>
  <c r="AE105" i="27"/>
  <c r="AI147" i="27"/>
  <c r="AF125" i="7"/>
  <c r="AH69" i="20"/>
  <c r="AM108" i="20"/>
  <c r="AJ125" i="20"/>
  <c r="AD90" i="21"/>
  <c r="AM111" i="21"/>
  <c r="AJ128" i="21"/>
  <c r="AG153" i="21"/>
  <c r="AG66" i="22"/>
  <c r="AF90" i="22"/>
  <c r="AH66" i="23"/>
  <c r="AG105" i="23"/>
  <c r="AF130" i="23"/>
  <c r="AG86" i="24"/>
  <c r="AJ103" i="25"/>
  <c r="AJ149" i="25"/>
  <c r="AL105" i="26"/>
  <c r="AM151" i="26"/>
  <c r="AH63" i="27"/>
  <c r="AE86" i="27"/>
  <c r="AG125" i="27"/>
  <c r="AJ125" i="28"/>
  <c r="AD111" i="29"/>
  <c r="AE84" i="7"/>
  <c r="AJ125" i="7"/>
  <c r="AF152" i="7"/>
  <c r="AE90" i="21"/>
  <c r="AG90" i="22"/>
  <c r="AF153" i="22"/>
  <c r="AJ130" i="23"/>
  <c r="AF61" i="24"/>
  <c r="AH86" i="25"/>
  <c r="AF145" i="25"/>
  <c r="AF83" i="26"/>
  <c r="AF147" i="26"/>
  <c r="AF86" i="27"/>
  <c r="AD108" i="27"/>
  <c r="AF132" i="28"/>
  <c r="AH83" i="29"/>
  <c r="AF88" i="29"/>
  <c r="AI106" i="29"/>
  <c r="AH152" i="7"/>
  <c r="AI82" i="20"/>
  <c r="AK106" i="20"/>
  <c r="AE146" i="20"/>
  <c r="AF86" i="22"/>
  <c r="AI90" i="22"/>
  <c r="AE85" i="23"/>
  <c r="AG61" i="24"/>
  <c r="AI68" i="24"/>
  <c r="AE111" i="24"/>
  <c r="AE68" i="25"/>
  <c r="AF132" i="26"/>
  <c r="AF82" i="27"/>
  <c r="AF145" i="27"/>
  <c r="AF126" i="28"/>
  <c r="AE106" i="14"/>
  <c r="AL103" i="20"/>
  <c r="AG103" i="20"/>
  <c r="AK103" i="20"/>
  <c r="AJ103" i="20"/>
  <c r="AH147" i="29"/>
  <c r="AF147" i="29"/>
  <c r="AM147" i="22"/>
  <c r="AI147" i="22"/>
  <c r="AH147" i="22"/>
  <c r="AF147" i="22"/>
  <c r="AM111" i="27"/>
  <c r="AJ111" i="27"/>
  <c r="AG111" i="27"/>
  <c r="AL87" i="21"/>
  <c r="AJ87" i="21"/>
  <c r="AE87" i="21"/>
  <c r="AG132" i="23"/>
  <c r="AF132" i="23"/>
  <c r="AM107" i="27"/>
  <c r="AG107" i="27"/>
  <c r="AG66" i="14"/>
  <c r="AF66" i="14"/>
  <c r="AM106" i="7"/>
  <c r="AL106" i="7"/>
  <c r="AF85" i="22"/>
  <c r="AH85" i="22"/>
  <c r="AG103" i="25"/>
  <c r="AI103" i="25"/>
  <c r="AF103" i="25"/>
  <c r="AH151" i="7"/>
  <c r="AM151" i="7"/>
  <c r="AI151" i="7"/>
  <c r="AG151" i="7"/>
  <c r="AH90" i="20"/>
  <c r="AD82" i="21"/>
  <c r="AK82" i="21"/>
  <c r="AI82" i="21"/>
  <c r="AE82" i="21"/>
  <c r="AG126" i="21"/>
  <c r="AK151" i="22"/>
  <c r="AI151" i="22"/>
  <c r="AG151" i="22"/>
  <c r="AD151" i="22"/>
  <c r="AL109" i="23"/>
  <c r="AF109" i="23"/>
  <c r="AL106" i="24"/>
  <c r="AG109" i="24"/>
  <c r="AE109" i="24"/>
  <c r="AK104" i="27"/>
  <c r="AF104" i="27"/>
  <c r="AE104" i="27"/>
  <c r="AL131" i="27"/>
  <c r="AD67" i="29"/>
  <c r="AG88" i="29"/>
  <c r="AK145" i="14"/>
  <c r="AD145" i="14"/>
  <c r="AM84" i="27"/>
  <c r="AE84" i="27"/>
  <c r="AJ84" i="27"/>
  <c r="AI84" i="27"/>
  <c r="AL84" i="27"/>
  <c r="AD84" i="27"/>
  <c r="AK84" i="27"/>
  <c r="AM62" i="28"/>
  <c r="AG62" i="28"/>
  <c r="AF62" i="28"/>
  <c r="AM66" i="21"/>
  <c r="AL66" i="21"/>
  <c r="AK66" i="24"/>
  <c r="AF66" i="24"/>
  <c r="AH87" i="14"/>
  <c r="AF87" i="14"/>
  <c r="AK149" i="14"/>
  <c r="AG149" i="14"/>
  <c r="AF149" i="14"/>
  <c r="AD149" i="14"/>
  <c r="AM129" i="21"/>
  <c r="AF129" i="21"/>
  <c r="AH132" i="22"/>
  <c r="AL132" i="22"/>
  <c r="AD132" i="22"/>
  <c r="AG132" i="22"/>
  <c r="AE132" i="22"/>
  <c r="AH103" i="7"/>
  <c r="AF85" i="20"/>
  <c r="AD127" i="20"/>
  <c r="AF150" i="20"/>
  <c r="AG150" i="20"/>
  <c r="AM150" i="24"/>
  <c r="AD150" i="24"/>
  <c r="AL87" i="25"/>
  <c r="AJ87" i="25"/>
  <c r="AF87" i="25"/>
  <c r="AD125" i="26"/>
  <c r="AG84" i="27"/>
  <c r="AF67" i="29"/>
  <c r="AD124" i="29"/>
  <c r="AK61" i="14"/>
  <c r="AD61" i="14"/>
  <c r="AG128" i="14"/>
  <c r="AG130" i="25"/>
  <c r="AJ130" i="25"/>
  <c r="AM64" i="27"/>
  <c r="AF64" i="27"/>
  <c r="AK153" i="14"/>
  <c r="AF153" i="14"/>
  <c r="AM61" i="25"/>
  <c r="AG61" i="25"/>
  <c r="AK86" i="7"/>
  <c r="AL86" i="7"/>
  <c r="AJ86" i="7"/>
  <c r="AI86" i="7"/>
  <c r="AL85" i="20"/>
  <c r="AK90" i="20"/>
  <c r="AG90" i="20"/>
  <c r="AL127" i="20"/>
  <c r="AE111" i="21"/>
  <c r="AL68" i="22"/>
  <c r="AI68" i="22"/>
  <c r="AD68" i="22"/>
  <c r="AM103" i="22"/>
  <c r="AL103" i="22"/>
  <c r="AH103" i="22"/>
  <c r="AE111" i="22"/>
  <c r="AH106" i="24"/>
  <c r="AJ106" i="24"/>
  <c r="AF106" i="24"/>
  <c r="AE106" i="24"/>
  <c r="AH125" i="26"/>
  <c r="AF69" i="27"/>
  <c r="AH84" i="27"/>
  <c r="AK131" i="27"/>
  <c r="AG131" i="27"/>
  <c r="AD131" i="27"/>
  <c r="AJ62" i="28"/>
  <c r="AK147" i="29"/>
  <c r="AH104" i="14"/>
  <c r="AI89" i="7"/>
  <c r="AG65" i="20"/>
  <c r="AG84" i="20"/>
  <c r="AK90" i="21"/>
  <c r="AJ104" i="21"/>
  <c r="AM128" i="21"/>
  <c r="AE132" i="21"/>
  <c r="AG88" i="22"/>
  <c r="AD67" i="23"/>
  <c r="AE103" i="23"/>
  <c r="AF111" i="24"/>
  <c r="AE128" i="24"/>
  <c r="AH82" i="25"/>
  <c r="AM152" i="25"/>
  <c r="AG153" i="26"/>
  <c r="AI63" i="27"/>
  <c r="AD67" i="27"/>
  <c r="AG86" i="27"/>
  <c r="AI125" i="27"/>
  <c r="AJ65" i="28"/>
  <c r="AG107" i="29"/>
  <c r="AK111" i="29"/>
  <c r="AI126" i="29"/>
  <c r="AD132" i="29"/>
  <c r="AH111" i="7"/>
  <c r="AF145" i="7"/>
  <c r="AJ65" i="20"/>
  <c r="AL84" i="20"/>
  <c r="AF107" i="20"/>
  <c r="AK126" i="20"/>
  <c r="AK104" i="21"/>
  <c r="AE125" i="21"/>
  <c r="AF132" i="21"/>
  <c r="AK84" i="23"/>
  <c r="AI82" i="25"/>
  <c r="AG86" i="26"/>
  <c r="AH124" i="26"/>
  <c r="AL125" i="27"/>
  <c r="AI145" i="27"/>
  <c r="AE103" i="29"/>
  <c r="AI107" i="29"/>
  <c r="AL126" i="29"/>
  <c r="AG132" i="29"/>
  <c r="AI132" i="29"/>
  <c r="AM69" i="22"/>
  <c r="AF69" i="22"/>
  <c r="AH105" i="7"/>
  <c r="AI105" i="7"/>
  <c r="AM105" i="7"/>
  <c r="AH146" i="26"/>
  <c r="AD146" i="26"/>
  <c r="AI146" i="26"/>
  <c r="AK63" i="28"/>
  <c r="AE63" i="28"/>
  <c r="AD63" i="28"/>
  <c r="AI63" i="28"/>
  <c r="AH63" i="28"/>
  <c r="AJ63" i="28"/>
  <c r="AM109" i="21"/>
  <c r="AI109" i="21"/>
  <c r="AE109" i="21"/>
  <c r="AD109" i="21"/>
  <c r="AF109" i="21"/>
  <c r="AM63" i="22"/>
  <c r="AF63" i="22"/>
  <c r="AG84" i="26"/>
  <c r="AF84" i="26"/>
  <c r="AE84" i="26"/>
  <c r="AH84" i="26"/>
  <c r="AM84" i="26"/>
  <c r="AL105" i="29"/>
  <c r="AD105" i="29"/>
  <c r="AM105" i="14"/>
  <c r="AF105" i="14"/>
  <c r="AJ105" i="14"/>
  <c r="AG105" i="14"/>
  <c r="AH105" i="14"/>
  <c r="AK105" i="14"/>
  <c r="AM84" i="22"/>
  <c r="AJ84" i="22"/>
  <c r="AI84" i="22"/>
  <c r="AK84" i="22"/>
  <c r="AK86" i="23"/>
  <c r="AG86" i="23"/>
  <c r="AF86" i="23"/>
  <c r="AL86" i="23"/>
  <c r="AD86" i="23"/>
  <c r="AK132" i="24"/>
  <c r="AF132" i="24"/>
  <c r="AD132" i="24"/>
  <c r="AE132" i="24"/>
  <c r="AK103" i="27"/>
  <c r="AI103" i="27"/>
  <c r="AF103" i="27"/>
  <c r="AE103" i="27"/>
  <c r="AM61" i="28"/>
  <c r="AF61" i="28"/>
  <c r="AH61" i="28"/>
  <c r="AI130" i="29"/>
  <c r="AE130" i="29"/>
  <c r="AM88" i="20"/>
  <c r="AK88" i="20"/>
  <c r="AK89" i="20"/>
  <c r="AF89" i="20"/>
  <c r="AF65" i="21"/>
  <c r="AE65" i="21"/>
  <c r="AL124" i="21"/>
  <c r="AF124" i="21"/>
  <c r="AH124" i="21"/>
  <c r="AM89" i="25"/>
  <c r="AD89" i="25"/>
  <c r="AG128" i="27"/>
  <c r="AH128" i="27"/>
  <c r="AH124" i="7"/>
  <c r="AE124" i="7"/>
  <c r="AH108" i="7"/>
  <c r="AJ108" i="7"/>
  <c r="AF108" i="7"/>
  <c r="AI108" i="7"/>
  <c r="AL108" i="7"/>
  <c r="AM66" i="20"/>
  <c r="AI66" i="20"/>
  <c r="AI104" i="23"/>
  <c r="AJ104" i="23"/>
  <c r="AH90" i="29"/>
  <c r="AF90" i="29"/>
  <c r="AK90" i="29"/>
  <c r="AL105" i="28"/>
  <c r="AF105" i="28"/>
  <c r="AM108" i="25"/>
  <c r="AG108" i="25"/>
  <c r="AD108" i="25"/>
  <c r="AI108" i="25"/>
  <c r="AJ108" i="25"/>
  <c r="AH128" i="7"/>
  <c r="AF128" i="7"/>
  <c r="AH153" i="20"/>
  <c r="AF153" i="20"/>
  <c r="AJ67" i="22"/>
  <c r="AE67" i="22"/>
  <c r="AF67" i="22"/>
  <c r="AI124" i="23"/>
  <c r="AM124" i="23"/>
  <c r="AK108" i="24"/>
  <c r="AL108" i="24"/>
  <c r="AK130" i="7"/>
  <c r="AL130" i="7"/>
  <c r="AH130" i="7"/>
  <c r="AE130" i="7"/>
  <c r="AD130" i="7"/>
  <c r="AM130" i="7"/>
  <c r="AF130" i="7"/>
  <c r="AM87" i="7"/>
  <c r="AF87" i="7"/>
  <c r="AH87" i="7"/>
  <c r="AG87" i="7"/>
  <c r="AH132" i="7"/>
  <c r="AK132" i="7"/>
  <c r="AE132" i="7"/>
  <c r="AI132" i="7"/>
  <c r="AM132" i="7"/>
  <c r="AG132" i="7"/>
  <c r="AD132" i="7"/>
  <c r="AJ149" i="7"/>
  <c r="AG62" i="20"/>
  <c r="AF62" i="20"/>
  <c r="AJ62" i="20"/>
  <c r="AI62" i="20"/>
  <c r="AD62" i="20"/>
  <c r="AL62" i="20"/>
  <c r="AH62" i="20"/>
  <c r="AM69" i="23"/>
  <c r="AF69" i="23"/>
  <c r="AG69" i="23"/>
  <c r="AK69" i="26"/>
  <c r="AL69" i="26"/>
  <c r="AF69" i="26"/>
  <c r="AE69" i="26"/>
  <c r="AH68" i="27"/>
  <c r="AF68" i="27"/>
  <c r="AD68" i="27"/>
  <c r="AJ68" i="27"/>
  <c r="AI68" i="27"/>
  <c r="AL68" i="27"/>
  <c r="AM149" i="27"/>
  <c r="AK149" i="27"/>
  <c r="AJ149" i="27"/>
  <c r="AI149" i="27"/>
  <c r="AG149" i="27"/>
  <c r="AD149" i="27"/>
  <c r="AF149" i="27"/>
  <c r="AH149" i="27"/>
  <c r="AH152" i="28"/>
  <c r="AI152" i="28"/>
  <c r="AL85" i="21"/>
  <c r="AD85" i="21"/>
  <c r="AE85" i="21"/>
  <c r="AM105" i="20"/>
  <c r="AG69" i="22"/>
  <c r="AJ89" i="23"/>
  <c r="AK89" i="23"/>
  <c r="AF89" i="23"/>
  <c r="AL89" i="23"/>
  <c r="AD89" i="23"/>
  <c r="AI128" i="23"/>
  <c r="AK128" i="23"/>
  <c r="AH128" i="23"/>
  <c r="AF128" i="23"/>
  <c r="AJ128" i="23"/>
  <c r="AK124" i="24"/>
  <c r="AF124" i="24"/>
  <c r="AD124" i="24"/>
  <c r="AI124" i="24"/>
  <c r="AM67" i="25"/>
  <c r="AF67" i="25"/>
  <c r="AG67" i="25"/>
  <c r="AM105" i="28"/>
  <c r="AG146" i="28"/>
  <c r="AH146" i="28"/>
  <c r="AF146" i="28"/>
  <c r="AK86" i="29"/>
  <c r="AJ86" i="29"/>
  <c r="AF86" i="29"/>
  <c r="AE86" i="29"/>
  <c r="AL86" i="29"/>
  <c r="AD86" i="29"/>
  <c r="AM86" i="29"/>
  <c r="AK151" i="29"/>
  <c r="AG151" i="29"/>
  <c r="AD151" i="29"/>
  <c r="AJ66" i="21"/>
  <c r="AF66" i="21"/>
  <c r="AG86" i="25"/>
  <c r="AL86" i="25"/>
  <c r="AK86" i="25"/>
  <c r="AI86" i="25"/>
  <c r="AJ103" i="22"/>
  <c r="AE103" i="22"/>
  <c r="AE82" i="23"/>
  <c r="AM88" i="23"/>
  <c r="AG88" i="23"/>
  <c r="AG130" i="27"/>
  <c r="AF130" i="27"/>
  <c r="AM107" i="28"/>
  <c r="AH107" i="28"/>
  <c r="AG107" i="28"/>
  <c r="AK87" i="14"/>
  <c r="AE87" i="14"/>
  <c r="AL124" i="14"/>
  <c r="AE124" i="14"/>
  <c r="AD86" i="7"/>
  <c r="AH103" i="20"/>
  <c r="AF103" i="20"/>
  <c r="AH90" i="21"/>
  <c r="AI90" i="21"/>
  <c r="AG82" i="23"/>
  <c r="AK105" i="23"/>
  <c r="AE105" i="23"/>
  <c r="AG84" i="25"/>
  <c r="AF84" i="25"/>
  <c r="AG103" i="26"/>
  <c r="AH103" i="26"/>
  <c r="AK149" i="29"/>
  <c r="AD149" i="29"/>
  <c r="AF86" i="7"/>
  <c r="AH86" i="7"/>
  <c r="AD103" i="20"/>
  <c r="AM104" i="20"/>
  <c r="AI104" i="20"/>
  <c r="AE108" i="20"/>
  <c r="AK66" i="21"/>
  <c r="AE128" i="21"/>
  <c r="AD131" i="21"/>
  <c r="AD103" i="22"/>
  <c r="AK82" i="23"/>
  <c r="AM131" i="23"/>
  <c r="AI131" i="23"/>
  <c r="AJ146" i="23"/>
  <c r="AD146" i="23"/>
  <c r="AE68" i="24"/>
  <c r="AM85" i="24"/>
  <c r="AH85" i="24"/>
  <c r="AE86" i="25"/>
  <c r="AK68" i="26"/>
  <c r="AE68" i="26"/>
  <c r="AM149" i="26"/>
  <c r="AG149" i="26"/>
  <c r="AF149" i="26"/>
  <c r="AK124" i="27"/>
  <c r="AE124" i="27"/>
  <c r="AD124" i="27"/>
  <c r="AM61" i="29"/>
  <c r="AD61" i="29"/>
  <c r="AJ151" i="29"/>
  <c r="AD66" i="21"/>
  <c r="AJ82" i="23"/>
  <c r="AF82" i="23"/>
  <c r="AJ130" i="24"/>
  <c r="AM130" i="24"/>
  <c r="AK66" i="27"/>
  <c r="AI66" i="27"/>
  <c r="AG66" i="27"/>
  <c r="AF66" i="27"/>
  <c r="AM126" i="29"/>
  <c r="AD126" i="29"/>
  <c r="AE66" i="21"/>
  <c r="AE86" i="7"/>
  <c r="AF90" i="7"/>
  <c r="AI127" i="7"/>
  <c r="AJ151" i="7"/>
  <c r="AE153" i="7"/>
  <c r="AK69" i="20"/>
  <c r="AD104" i="20"/>
  <c r="AH130" i="20"/>
  <c r="AG130" i="20"/>
  <c r="AK152" i="20"/>
  <c r="AH66" i="21"/>
  <c r="AD150" i="21"/>
  <c r="AL62" i="22"/>
  <c r="AE130" i="22"/>
  <c r="AK62" i="23"/>
  <c r="AL62" i="23"/>
  <c r="AH82" i="23"/>
  <c r="AM84" i="23"/>
  <c r="AK103" i="23"/>
  <c r="AI106" i="23"/>
  <c r="AK111" i="23"/>
  <c r="AD131" i="23"/>
  <c r="AI85" i="24"/>
  <c r="AK105" i="24"/>
  <c r="AD105" i="24"/>
  <c r="AJ107" i="24"/>
  <c r="AL109" i="24"/>
  <c r="AH109" i="24"/>
  <c r="AH128" i="24"/>
  <c r="AH131" i="24"/>
  <c r="AG111" i="25"/>
  <c r="AI111" i="25"/>
  <c r="AE127" i="25"/>
  <c r="AD132" i="25"/>
  <c r="AM147" i="25"/>
  <c r="AG147" i="25"/>
  <c r="AE65" i="26"/>
  <c r="AI68" i="26"/>
  <c r="AK87" i="26"/>
  <c r="AL87" i="26"/>
  <c r="AE87" i="26"/>
  <c r="AH149" i="26"/>
  <c r="AG152" i="26"/>
  <c r="AD66" i="27"/>
  <c r="AI82" i="27"/>
  <c r="AI65" i="28"/>
  <c r="AG65" i="28"/>
  <c r="AF65" i="28"/>
  <c r="AJ87" i="28"/>
  <c r="AH103" i="28"/>
  <c r="AG103" i="28"/>
  <c r="AF103" i="28"/>
  <c r="AD103" i="28"/>
  <c r="AG126" i="28"/>
  <c r="AM150" i="28"/>
  <c r="AL150" i="28"/>
  <c r="AG150" i="28"/>
  <c r="AD150" i="28"/>
  <c r="AI61" i="29"/>
  <c r="AF66" i="29"/>
  <c r="AL107" i="29"/>
  <c r="AM111" i="29"/>
  <c r="AK88" i="14"/>
  <c r="AL88" i="14"/>
  <c r="AF88" i="14"/>
  <c r="AE88" i="14"/>
  <c r="AK126" i="26"/>
  <c r="AE126" i="26"/>
  <c r="AD126" i="26"/>
  <c r="AI89" i="28"/>
  <c r="AD89" i="28"/>
  <c r="AM110" i="29"/>
  <c r="AH110" i="29"/>
  <c r="AH82" i="21"/>
  <c r="AM82" i="21"/>
  <c r="AI84" i="29"/>
  <c r="AD84" i="29"/>
  <c r="AK82" i="20"/>
  <c r="AH82" i="20"/>
  <c r="AG66" i="21"/>
  <c r="AK149" i="21"/>
  <c r="AJ149" i="21"/>
  <c r="AH132" i="26"/>
  <c r="AD132" i="26"/>
  <c r="AH65" i="20"/>
  <c r="AF65" i="20"/>
  <c r="AM107" i="20"/>
  <c r="AK107" i="20"/>
  <c r="AI66" i="21"/>
  <c r="AM104" i="21"/>
  <c r="AE104" i="21"/>
  <c r="AF127" i="21"/>
  <c r="AL127" i="21"/>
  <c r="AK132" i="21"/>
  <c r="AG132" i="21"/>
  <c r="AM68" i="22"/>
  <c r="AF68" i="22"/>
  <c r="AH151" i="22"/>
  <c r="AM151" i="22"/>
  <c r="AI82" i="23"/>
  <c r="AM106" i="23"/>
  <c r="AF131" i="23"/>
  <c r="AF146" i="23"/>
  <c r="AF62" i="24"/>
  <c r="AD68" i="24"/>
  <c r="AL85" i="24"/>
  <c r="AF90" i="24"/>
  <c r="AF110" i="24"/>
  <c r="AI128" i="24"/>
  <c r="AM145" i="24"/>
  <c r="AJ145" i="24"/>
  <c r="AG145" i="24"/>
  <c r="AD151" i="24"/>
  <c r="AE62" i="25"/>
  <c r="AD86" i="25"/>
  <c r="AJ127" i="25"/>
  <c r="AE132" i="25"/>
  <c r="AG61" i="26"/>
  <c r="AK65" i="26"/>
  <c r="AL68" i="26"/>
  <c r="AM88" i="26"/>
  <c r="AF109" i="26"/>
  <c r="AK149" i="26"/>
  <c r="AE66" i="27"/>
  <c r="AK82" i="27"/>
  <c r="AI124" i="27"/>
  <c r="AK127" i="27"/>
  <c r="AD127" i="27"/>
  <c r="AL61" i="29"/>
  <c r="AJ104" i="29"/>
  <c r="AF104" i="29"/>
  <c r="AE104" i="29"/>
  <c r="AF126" i="29"/>
  <c r="AM129" i="29"/>
  <c r="AF129" i="29"/>
  <c r="AI151" i="29"/>
  <c r="AI67" i="14"/>
  <c r="AF67" i="14"/>
  <c r="AE67" i="14"/>
  <c r="AF110" i="14"/>
  <c r="AH68" i="25"/>
  <c r="AG69" i="27"/>
  <c r="AL86" i="27"/>
  <c r="AF68" i="28"/>
  <c r="AF88" i="28"/>
  <c r="AJ67" i="29"/>
  <c r="AL106" i="29"/>
  <c r="AE132" i="29"/>
  <c r="AL153" i="29"/>
  <c r="AM61" i="14"/>
  <c r="AI69" i="14"/>
  <c r="AL149" i="14"/>
  <c r="AF132" i="29"/>
  <c r="AD111" i="7"/>
  <c r="AH131" i="20"/>
  <c r="AG69" i="21"/>
  <c r="AF107" i="21"/>
  <c r="AL65" i="22"/>
  <c r="AG67" i="22"/>
  <c r="AH104" i="22"/>
  <c r="AL130" i="22"/>
  <c r="AJ152" i="22"/>
  <c r="AL63" i="23"/>
  <c r="AF66" i="23"/>
  <c r="AL87" i="23"/>
  <c r="AG131" i="23"/>
  <c r="AD66" i="24"/>
  <c r="AL66" i="24"/>
  <c r="AI67" i="24"/>
  <c r="AE82" i="24"/>
  <c r="AF105" i="24"/>
  <c r="AF147" i="24"/>
  <c r="AJ65" i="25"/>
  <c r="AH67" i="25"/>
  <c r="AF68" i="25"/>
  <c r="AF90" i="25"/>
  <c r="AE106" i="25"/>
  <c r="AI125" i="25"/>
  <c r="AG127" i="25"/>
  <c r="AG128" i="25"/>
  <c r="AG131" i="25"/>
  <c r="AL106" i="26"/>
  <c r="AE124" i="26"/>
  <c r="AF125" i="26"/>
  <c r="AE151" i="26"/>
  <c r="AD152" i="26"/>
  <c r="AG103" i="27"/>
  <c r="AM130" i="27"/>
  <c r="AJ130" i="27"/>
  <c r="AL67" i="28"/>
  <c r="AE67" i="28"/>
  <c r="AG111" i="14"/>
  <c r="AH111" i="14"/>
  <c r="AF111" i="14"/>
  <c r="AE111" i="14"/>
  <c r="AD111" i="14"/>
  <c r="AK111" i="14"/>
  <c r="AF103" i="7"/>
  <c r="AI63" i="20"/>
  <c r="AG111" i="20"/>
  <c r="AL146" i="20"/>
  <c r="AJ147" i="20"/>
  <c r="AJ87" i="7"/>
  <c r="AG103" i="7"/>
  <c r="AF104" i="7"/>
  <c r="AG106" i="7"/>
  <c r="AK108" i="7"/>
  <c r="AE111" i="7"/>
  <c r="AD124" i="7"/>
  <c r="AG125" i="7"/>
  <c r="AG130" i="7"/>
  <c r="AH131" i="7"/>
  <c r="AL132" i="7"/>
  <c r="AE145" i="7"/>
  <c r="AF149" i="7"/>
  <c r="AL151" i="7"/>
  <c r="AK62" i="20"/>
  <c r="AM63" i="20"/>
  <c r="AK65" i="20"/>
  <c r="AM67" i="20"/>
  <c r="AE82" i="20"/>
  <c r="AK84" i="20"/>
  <c r="AI108" i="20"/>
  <c r="AL111" i="20"/>
  <c r="AH127" i="20"/>
  <c r="AF130" i="20"/>
  <c r="AL131" i="20"/>
  <c r="AD146" i="20"/>
  <c r="AM146" i="20"/>
  <c r="AM147" i="20"/>
  <c r="AH150" i="20"/>
  <c r="AH85" i="21"/>
  <c r="AH104" i="21"/>
  <c r="AH109" i="21"/>
  <c r="AF111" i="21"/>
  <c r="AI131" i="21"/>
  <c r="AI132" i="21"/>
  <c r="AD146" i="21"/>
  <c r="AD65" i="22"/>
  <c r="AM65" i="22"/>
  <c r="AH67" i="22"/>
  <c r="AG68" i="22"/>
  <c r="AF84" i="22"/>
  <c r="AE86" i="22"/>
  <c r="AF103" i="22"/>
  <c r="AJ104" i="22"/>
  <c r="AD111" i="22"/>
  <c r="AL127" i="22"/>
  <c r="AD130" i="22"/>
  <c r="AM130" i="22"/>
  <c r="AG147" i="22"/>
  <c r="AJ150" i="22"/>
  <c r="AL151" i="22"/>
  <c r="AL152" i="22"/>
  <c r="AD62" i="23"/>
  <c r="AM63" i="23"/>
  <c r="AG66" i="23"/>
  <c r="AH86" i="23"/>
  <c r="AM87" i="23"/>
  <c r="AJ103" i="23"/>
  <c r="AH105" i="23"/>
  <c r="AF110" i="23"/>
  <c r="AH131" i="23"/>
  <c r="AE147" i="23"/>
  <c r="AJ149" i="23"/>
  <c r="AE66" i="24"/>
  <c r="AM66" i="24"/>
  <c r="AM67" i="24"/>
  <c r="AH82" i="24"/>
  <c r="AF87" i="24"/>
  <c r="AG105" i="24"/>
  <c r="AI106" i="24"/>
  <c r="AD108" i="24"/>
  <c r="AJ109" i="24"/>
  <c r="AH124" i="24"/>
  <c r="AI132" i="24"/>
  <c r="AF145" i="24"/>
  <c r="AG147" i="24"/>
  <c r="AF150" i="24"/>
  <c r="AD62" i="25"/>
  <c r="AH63" i="25"/>
  <c r="AK65" i="25"/>
  <c r="AI67" i="25"/>
  <c r="AG68" i="25"/>
  <c r="AG90" i="25"/>
  <c r="AF106" i="25"/>
  <c r="AK108" i="25"/>
  <c r="AF111" i="25"/>
  <c r="AD124" i="25"/>
  <c r="AM125" i="25"/>
  <c r="AH127" i="25"/>
  <c r="AI128" i="25"/>
  <c r="AH131" i="25"/>
  <c r="AI146" i="25"/>
  <c r="AI149" i="25"/>
  <c r="AJ68" i="26"/>
  <c r="AK84" i="26"/>
  <c r="AD87" i="26"/>
  <c r="AI103" i="26"/>
  <c r="AK105" i="26"/>
  <c r="AM106" i="26"/>
  <c r="AF124" i="26"/>
  <c r="AG125" i="26"/>
  <c r="AF126" i="26"/>
  <c r="AL132" i="26"/>
  <c r="AJ149" i="26"/>
  <c r="AF151" i="26"/>
  <c r="AF152" i="26"/>
  <c r="AD62" i="27"/>
  <c r="AG68" i="27"/>
  <c r="AI86" i="27"/>
  <c r="AF90" i="27"/>
  <c r="AH103" i="27"/>
  <c r="AG104" i="27"/>
  <c r="AD106" i="27"/>
  <c r="AI82" i="28"/>
  <c r="AD82" i="28"/>
  <c r="AG82" i="28"/>
  <c r="AF85" i="29"/>
  <c r="AM145" i="29"/>
  <c r="AI145" i="29"/>
  <c r="AG145" i="29"/>
  <c r="AD145" i="29"/>
  <c r="AK62" i="14"/>
  <c r="AJ62" i="14"/>
  <c r="AI62" i="14"/>
  <c r="AF62" i="14"/>
  <c r="AD62" i="14"/>
  <c r="AL127" i="28"/>
  <c r="AG127" i="28"/>
  <c r="AF127" i="28"/>
  <c r="AE127" i="28"/>
  <c r="AM127" i="28"/>
  <c r="AG130" i="14"/>
  <c r="AE130" i="14"/>
  <c r="AM85" i="7"/>
  <c r="AI103" i="7"/>
  <c r="AI111" i="7"/>
  <c r="AG124" i="7"/>
  <c r="AL125" i="7"/>
  <c r="AI128" i="7"/>
  <c r="AI130" i="7"/>
  <c r="AM145" i="7"/>
  <c r="AM153" i="7"/>
  <c r="AE62" i="20"/>
  <c r="AM62" i="20"/>
  <c r="AF64" i="20"/>
  <c r="AK68" i="20"/>
  <c r="AI130" i="20"/>
  <c r="AF146" i="20"/>
  <c r="AD147" i="20"/>
  <c r="AF84" i="21"/>
  <c r="AM85" i="21"/>
  <c r="AJ109" i="21"/>
  <c r="AF125" i="21"/>
  <c r="AL131" i="21"/>
  <c r="AM132" i="21"/>
  <c r="AF147" i="21"/>
  <c r="AF150" i="21"/>
  <c r="AG63" i="22"/>
  <c r="AF65" i="22"/>
  <c r="AK67" i="22"/>
  <c r="AG86" i="22"/>
  <c r="AE105" i="22"/>
  <c r="AF109" i="22"/>
  <c r="AG111" i="22"/>
  <c r="AF128" i="22"/>
  <c r="AF130" i="22"/>
  <c r="AJ66" i="23"/>
  <c r="AE84" i="23"/>
  <c r="AH90" i="23"/>
  <c r="AD108" i="23"/>
  <c r="AJ131" i="23"/>
  <c r="AG147" i="23"/>
  <c r="AG66" i="24"/>
  <c r="AD67" i="24"/>
  <c r="AG69" i="24"/>
  <c r="AF88" i="24"/>
  <c r="AI105" i="24"/>
  <c r="AM132" i="24"/>
  <c r="AF148" i="24"/>
  <c r="AF62" i="25"/>
  <c r="AK67" i="25"/>
  <c r="AI68" i="25"/>
  <c r="AH84" i="25"/>
  <c r="AG87" i="25"/>
  <c r="AE89" i="25"/>
  <c r="AJ111" i="25"/>
  <c r="AJ124" i="25"/>
  <c r="AG126" i="25"/>
  <c r="AK127" i="25"/>
  <c r="AL61" i="26"/>
  <c r="AF65" i="26"/>
  <c r="AD68" i="26"/>
  <c r="AM68" i="26"/>
  <c r="AF87" i="26"/>
  <c r="AM103" i="26"/>
  <c r="AI124" i="26"/>
  <c r="AI125" i="26"/>
  <c r="AM126" i="26"/>
  <c r="AG147" i="26"/>
  <c r="AI151" i="26"/>
  <c r="AH152" i="26"/>
  <c r="AE67" i="27"/>
  <c r="AM86" i="27"/>
  <c r="AJ103" i="27"/>
  <c r="AJ104" i="27"/>
  <c r="AI106" i="27"/>
  <c r="AI109" i="27"/>
  <c r="AH82" i="14"/>
  <c r="AI82" i="14"/>
  <c r="AK108" i="14"/>
  <c r="AI108" i="14"/>
  <c r="AF108" i="14"/>
  <c r="AG131" i="14"/>
  <c r="AH131" i="14"/>
  <c r="AH147" i="14"/>
  <c r="AF147" i="14"/>
  <c r="AG126" i="20"/>
  <c r="AE128" i="20"/>
  <c r="AK130" i="20"/>
  <c r="AG146" i="20"/>
  <c r="AE147" i="20"/>
  <c r="AF149" i="20"/>
  <c r="AK84" i="21"/>
  <c r="AL109" i="21"/>
  <c r="AI125" i="21"/>
  <c r="AE130" i="21"/>
  <c r="AH147" i="21"/>
  <c r="AI150" i="21"/>
  <c r="AH63" i="22"/>
  <c r="AG65" i="22"/>
  <c r="AL67" i="22"/>
  <c r="AG82" i="22"/>
  <c r="AI105" i="22"/>
  <c r="AH109" i="22"/>
  <c r="AK111" i="22"/>
  <c r="AH128" i="22"/>
  <c r="AG130" i="22"/>
  <c r="AE151" i="22"/>
  <c r="AD152" i="22"/>
  <c r="AD63" i="23"/>
  <c r="AK65" i="23"/>
  <c r="AK66" i="23"/>
  <c r="AF84" i="23"/>
  <c r="AJ90" i="23"/>
  <c r="AD106" i="23"/>
  <c r="AF108" i="23"/>
  <c r="AK131" i="23"/>
  <c r="AH147" i="23"/>
  <c r="AD150" i="23"/>
  <c r="AH66" i="24"/>
  <c r="AE67" i="24"/>
  <c r="AI69" i="24"/>
  <c r="AE84" i="24"/>
  <c r="AG88" i="24"/>
  <c r="AL105" i="24"/>
  <c r="AE125" i="24"/>
  <c r="AG62" i="25"/>
  <c r="AD67" i="25"/>
  <c r="AL67" i="25"/>
  <c r="AJ68" i="25"/>
  <c r="AI84" i="25"/>
  <c r="AH87" i="25"/>
  <c r="AF89" i="25"/>
  <c r="AD105" i="25"/>
  <c r="AF109" i="25"/>
  <c r="AK124" i="25"/>
  <c r="AL127" i="25"/>
  <c r="AF130" i="25"/>
  <c r="AF150" i="25"/>
  <c r="AH65" i="26"/>
  <c r="AF85" i="26"/>
  <c r="AG87" i="26"/>
  <c r="AD106" i="26"/>
  <c r="AJ108" i="26"/>
  <c r="AK124" i="26"/>
  <c r="AJ125" i="26"/>
  <c r="AE150" i="26"/>
  <c r="AJ151" i="26"/>
  <c r="AJ152" i="26"/>
  <c r="AJ67" i="27"/>
  <c r="AL103" i="27"/>
  <c r="AD151" i="27"/>
  <c r="AK105" i="29"/>
  <c r="AJ105" i="29"/>
  <c r="AI105" i="29"/>
  <c r="AG105" i="29"/>
  <c r="AF105" i="29"/>
  <c r="AE105" i="29"/>
  <c r="AM105" i="29"/>
  <c r="AG65" i="14"/>
  <c r="AM65" i="14"/>
  <c r="AK65" i="14"/>
  <c r="AJ65" i="14"/>
  <c r="AF65" i="14"/>
  <c r="AE65" i="14"/>
  <c r="AH132" i="14"/>
  <c r="AL132" i="14"/>
  <c r="AK132" i="14"/>
  <c r="AI132" i="14"/>
  <c r="AG132" i="14"/>
  <c r="AE132" i="14"/>
  <c r="AD83" i="7"/>
  <c r="AE88" i="7"/>
  <c r="AJ103" i="7"/>
  <c r="AD105" i="7"/>
  <c r="AJ111" i="7"/>
  <c r="AI124" i="7"/>
  <c r="AJ130" i="7"/>
  <c r="AD66" i="20"/>
  <c r="AK83" i="7"/>
  <c r="AF88" i="7"/>
  <c r="AK103" i="7"/>
  <c r="AE105" i="7"/>
  <c r="AD108" i="7"/>
  <c r="AL111" i="7"/>
  <c r="AL124" i="7"/>
  <c r="AE126" i="7"/>
  <c r="AF132" i="7"/>
  <c r="AI146" i="7"/>
  <c r="AD151" i="7"/>
  <c r="AG152" i="7"/>
  <c r="AD63" i="20"/>
  <c r="AD65" i="20"/>
  <c r="AF66" i="20"/>
  <c r="AF69" i="20"/>
  <c r="AG85" i="20"/>
  <c r="AF109" i="20"/>
  <c r="AH126" i="20"/>
  <c r="AI128" i="20"/>
  <c r="AL130" i="20"/>
  <c r="AH146" i="20"/>
  <c r="AF147" i="20"/>
  <c r="AG149" i="20"/>
  <c r="AM84" i="21"/>
  <c r="AE86" i="21"/>
  <c r="AL125" i="21"/>
  <c r="AG128" i="21"/>
  <c r="AJ130" i="21"/>
  <c r="AD132" i="21"/>
  <c r="AK147" i="21"/>
  <c r="AJ150" i="21"/>
  <c r="AI63" i="22"/>
  <c r="AH65" i="22"/>
  <c r="AD67" i="22"/>
  <c r="AM67" i="22"/>
  <c r="AH82" i="22"/>
  <c r="AM105" i="22"/>
  <c r="AI109" i="22"/>
  <c r="AM111" i="22"/>
  <c r="AG125" i="22"/>
  <c r="AI128" i="22"/>
  <c r="AH130" i="22"/>
  <c r="AF151" i="22"/>
  <c r="AF152" i="22"/>
  <c r="AE63" i="23"/>
  <c r="AM65" i="23"/>
  <c r="AL66" i="23"/>
  <c r="AJ84" i="23"/>
  <c r="AE87" i="23"/>
  <c r="AF106" i="23"/>
  <c r="AL108" i="23"/>
  <c r="AL131" i="23"/>
  <c r="AK147" i="23"/>
  <c r="AF150" i="23"/>
  <c r="AI66" i="24"/>
  <c r="AF67" i="24"/>
  <c r="AF68" i="24"/>
  <c r="AJ69" i="24"/>
  <c r="AF84" i="24"/>
  <c r="AI88" i="24"/>
  <c r="AD104" i="24"/>
  <c r="AM105" i="24"/>
  <c r="AF109" i="24"/>
  <c r="AI125" i="24"/>
  <c r="AF149" i="24"/>
  <c r="AJ62" i="25"/>
  <c r="AF65" i="25"/>
  <c r="AE67" i="25"/>
  <c r="AM68" i="25"/>
  <c r="AF82" i="25"/>
  <c r="AJ84" i="25"/>
  <c r="AJ86" i="25"/>
  <c r="AI87" i="25"/>
  <c r="AG89" i="25"/>
  <c r="AH103" i="25"/>
  <c r="AF105" i="25"/>
  <c r="AF108" i="25"/>
  <c r="AG109" i="25"/>
  <c r="AD127" i="25"/>
  <c r="AM127" i="25"/>
  <c r="AI130" i="25"/>
  <c r="AG150" i="25"/>
  <c r="AJ65" i="26"/>
  <c r="AF68" i="26"/>
  <c r="AH85" i="26"/>
  <c r="AH87" i="26"/>
  <c r="AE106" i="26"/>
  <c r="AK108" i="26"/>
  <c r="AL124" i="26"/>
  <c r="AL125" i="26"/>
  <c r="AI127" i="26"/>
  <c r="AE132" i="26"/>
  <c r="AF150" i="26"/>
  <c r="AL151" i="26"/>
  <c r="AL152" i="26"/>
  <c r="AL67" i="27"/>
  <c r="AD86" i="27"/>
  <c r="AD103" i="27"/>
  <c r="AM103" i="27"/>
  <c r="AD105" i="27"/>
  <c r="AF107" i="27"/>
  <c r="AF110" i="27"/>
  <c r="AH125" i="27"/>
  <c r="AD125" i="27"/>
  <c r="AJ125" i="27"/>
  <c r="AM129" i="27"/>
  <c r="AF129" i="27"/>
  <c r="AE151" i="27"/>
  <c r="AM85" i="28"/>
  <c r="AF85" i="28"/>
  <c r="AD85" i="28"/>
  <c r="AH85" i="28"/>
  <c r="AD130" i="28"/>
  <c r="AH63" i="29"/>
  <c r="AI63" i="29"/>
  <c r="AL83" i="7"/>
  <c r="AM88" i="7"/>
  <c r="AD103" i="7"/>
  <c r="AM103" i="7"/>
  <c r="AK110" i="7"/>
  <c r="AM111" i="7"/>
  <c r="AM124" i="7"/>
  <c r="AM126" i="7"/>
  <c r="AE63" i="20"/>
  <c r="AI146" i="20"/>
  <c r="AH147" i="20"/>
  <c r="AK149" i="20"/>
  <c r="AF145" i="21"/>
  <c r="AL150" i="21"/>
  <c r="AK63" i="22"/>
  <c r="AI65" i="22"/>
  <c r="AK82" i="22"/>
  <c r="AF104" i="22"/>
  <c r="AK109" i="22"/>
  <c r="AL125" i="22"/>
  <c r="AK128" i="22"/>
  <c r="AI130" i="22"/>
  <c r="AL146" i="22"/>
  <c r="AF148" i="22"/>
  <c r="AG152" i="22"/>
  <c r="AF63" i="23"/>
  <c r="AF87" i="23"/>
  <c r="AM147" i="23"/>
  <c r="AK150" i="23"/>
  <c r="AK65" i="24"/>
  <c r="AJ66" i="24"/>
  <c r="AG67" i="24"/>
  <c r="AJ125" i="24"/>
  <c r="AL146" i="24"/>
  <c r="AM149" i="24"/>
  <c r="AL62" i="25"/>
  <c r="AH65" i="25"/>
  <c r="AK84" i="25"/>
  <c r="AL89" i="25"/>
  <c r="AH150" i="25"/>
  <c r="AH106" i="26"/>
  <c r="AM126" i="27"/>
  <c r="AG126" i="27"/>
  <c r="AF126" i="27"/>
  <c r="AH68" i="29"/>
  <c r="AL68" i="29"/>
  <c r="AJ68" i="29"/>
  <c r="AI68" i="29"/>
  <c r="AF68" i="29"/>
  <c r="AK150" i="29"/>
  <c r="AE150" i="29"/>
  <c r="AD150" i="29"/>
  <c r="AM150" i="29"/>
  <c r="AG84" i="14"/>
  <c r="AM84" i="14"/>
  <c r="AK84" i="14"/>
  <c r="AI84" i="14"/>
  <c r="AH84" i="14"/>
  <c r="AF84" i="14"/>
  <c r="AE103" i="7"/>
  <c r="AH63" i="20"/>
  <c r="AF129" i="20"/>
  <c r="AF131" i="20"/>
  <c r="AG145" i="20"/>
  <c r="AK146" i="20"/>
  <c r="AK65" i="22"/>
  <c r="AG104" i="22"/>
  <c r="AK130" i="22"/>
  <c r="AI152" i="22"/>
  <c r="AH63" i="23"/>
  <c r="AD66" i="23"/>
  <c r="AI87" i="23"/>
  <c r="AH67" i="24"/>
  <c r="AI65" i="25"/>
  <c r="AF127" i="25"/>
  <c r="AF128" i="25"/>
  <c r="AI106" i="26"/>
  <c r="AD124" i="26"/>
  <c r="AK132" i="27"/>
  <c r="AL132" i="27"/>
  <c r="AJ132" i="27"/>
  <c r="AE132" i="27"/>
  <c r="AK151" i="27"/>
  <c r="AM151" i="27"/>
  <c r="AL151" i="27"/>
  <c r="AI151" i="27"/>
  <c r="AF151" i="27"/>
  <c r="AM66" i="28"/>
  <c r="AK66" i="28"/>
  <c r="AI66" i="28"/>
  <c r="AE66" i="28"/>
  <c r="AD66" i="28"/>
  <c r="AM131" i="28"/>
  <c r="AL131" i="28"/>
  <c r="AH131" i="28"/>
  <c r="AG131" i="28"/>
  <c r="AF131" i="28"/>
  <c r="AD131" i="28"/>
  <c r="AJ65" i="29"/>
  <c r="AM65" i="29"/>
  <c r="AK65" i="29"/>
  <c r="AF65" i="29"/>
  <c r="AE65" i="29"/>
  <c r="AK68" i="14"/>
  <c r="AE68" i="14"/>
  <c r="AD68" i="14"/>
  <c r="AM68" i="14"/>
  <c r="AM152" i="14"/>
  <c r="AH152" i="14"/>
  <c r="AG152" i="14"/>
  <c r="AD152" i="14"/>
  <c r="AF111" i="27"/>
  <c r="AG145" i="27"/>
  <c r="AL63" i="28"/>
  <c r="AK65" i="28"/>
  <c r="AF89" i="28"/>
  <c r="AE132" i="28"/>
  <c r="AJ146" i="28"/>
  <c r="AH150" i="28"/>
  <c r="AF61" i="29"/>
  <c r="AE66" i="29"/>
  <c r="AI67" i="29"/>
  <c r="AG69" i="29"/>
  <c r="AE84" i="29"/>
  <c r="AE111" i="29"/>
  <c r="AG125" i="29"/>
  <c r="AG149" i="29"/>
  <c r="AL151" i="29"/>
  <c r="AG61" i="14"/>
  <c r="AE66" i="14"/>
  <c r="AJ67" i="14"/>
  <c r="AG87" i="14"/>
  <c r="AI88" i="14"/>
  <c r="AE145" i="14"/>
  <c r="AJ149" i="14"/>
  <c r="AF151" i="14"/>
  <c r="AD153" i="14"/>
  <c r="AE86" i="28"/>
  <c r="AG88" i="28"/>
  <c r="AH89" i="28"/>
  <c r="AE128" i="28"/>
  <c r="AH66" i="29"/>
  <c r="AG84" i="29"/>
  <c r="AE124" i="29"/>
  <c r="AF128" i="29"/>
  <c r="AF130" i="29"/>
  <c r="AF86" i="14"/>
  <c r="AI128" i="14"/>
  <c r="AG145" i="14"/>
  <c r="AM149" i="14"/>
  <c r="AJ151" i="14"/>
  <c r="AG153" i="14"/>
  <c r="AE131" i="27"/>
  <c r="AE149" i="27"/>
  <c r="AK61" i="28"/>
  <c r="AF63" i="28"/>
  <c r="AD84" i="28"/>
  <c r="AF86" i="28"/>
  <c r="AH88" i="28"/>
  <c r="AJ89" i="28"/>
  <c r="AL103" i="28"/>
  <c r="AF128" i="28"/>
  <c r="AD151" i="28"/>
  <c r="AJ66" i="29"/>
  <c r="AH84" i="29"/>
  <c r="AG124" i="29"/>
  <c r="AI128" i="29"/>
  <c r="AG130" i="29"/>
  <c r="AM149" i="29"/>
  <c r="AE151" i="29"/>
  <c r="AI152" i="29"/>
  <c r="AD67" i="14"/>
  <c r="AM67" i="14"/>
  <c r="AM69" i="14"/>
  <c r="AK86" i="14"/>
  <c r="AL87" i="14"/>
  <c r="AI89" i="14"/>
  <c r="AI145" i="14"/>
  <c r="AF131" i="27"/>
  <c r="AF147" i="27"/>
  <c r="AG63" i="28"/>
  <c r="AD65" i="28"/>
  <c r="AF69" i="28"/>
  <c r="AI86" i="28"/>
  <c r="AK88" i="28"/>
  <c r="AK89" i="28"/>
  <c r="AE124" i="28"/>
  <c r="AM128" i="28"/>
  <c r="AG145" i="28"/>
  <c r="AE151" i="28"/>
  <c r="AL66" i="29"/>
  <c r="AK84" i="29"/>
  <c r="AF110" i="29"/>
  <c r="AI124" i="29"/>
  <c r="AK128" i="29"/>
  <c r="AJ130" i="29"/>
  <c r="AF151" i="29"/>
  <c r="AL152" i="29"/>
  <c r="AM86" i="14"/>
  <c r="AL89" i="14"/>
  <c r="AF129" i="14"/>
  <c r="AL145" i="14"/>
  <c r="AE149" i="14"/>
  <c r="AE150" i="14"/>
  <c r="AM86" i="28"/>
  <c r="AF108" i="28"/>
  <c r="AF124" i="28"/>
  <c r="AM124" i="29"/>
  <c r="AK130" i="29"/>
  <c r="AM145" i="14"/>
  <c r="AF150" i="14"/>
  <c r="AJ105" i="7"/>
  <c r="AK84" i="7"/>
  <c r="AD89" i="7"/>
  <c r="AI106" i="7"/>
  <c r="AL107" i="7"/>
  <c r="AF111" i="7"/>
  <c r="AJ124" i="7"/>
  <c r="AH125" i="7"/>
  <c r="AG126" i="7"/>
  <c r="AK127" i="7"/>
  <c r="AK146" i="7"/>
  <c r="AD149" i="7"/>
  <c r="AL149" i="7"/>
  <c r="AE151" i="7"/>
  <c r="AJ63" i="20"/>
  <c r="AJ82" i="20"/>
  <c r="AH85" i="20"/>
  <c r="AJ87" i="20"/>
  <c r="AD89" i="20"/>
  <c r="AL89" i="20"/>
  <c r="AI90" i="20"/>
  <c r="AG104" i="20"/>
  <c r="AK108" i="20"/>
  <c r="AH109" i="20"/>
  <c r="AD111" i="20"/>
  <c r="AJ127" i="20"/>
  <c r="AG128" i="20"/>
  <c r="AM84" i="7"/>
  <c r="AG86" i="7"/>
  <c r="AD87" i="7"/>
  <c r="AD88" i="7"/>
  <c r="AF89" i="7"/>
  <c r="AL105" i="7"/>
  <c r="AJ106" i="7"/>
  <c r="AM107" i="7"/>
  <c r="AG111" i="7"/>
  <c r="AK124" i="7"/>
  <c r="AI125" i="7"/>
  <c r="AL126" i="7"/>
  <c r="AL127" i="7"/>
  <c r="AJ132" i="7"/>
  <c r="AL145" i="7"/>
  <c r="AL146" i="7"/>
  <c r="AE149" i="7"/>
  <c r="AM149" i="7"/>
  <c r="AF151" i="7"/>
  <c r="AD152" i="7"/>
  <c r="AD153" i="7"/>
  <c r="AL63" i="20"/>
  <c r="AI65" i="20"/>
  <c r="AH66" i="20"/>
  <c r="AJ68" i="20"/>
  <c r="AL82" i="20"/>
  <c r="AJ84" i="20"/>
  <c r="AI85" i="20"/>
  <c r="AK87" i="20"/>
  <c r="AE89" i="20"/>
  <c r="AM89" i="20"/>
  <c r="AJ90" i="20"/>
  <c r="AI103" i="20"/>
  <c r="AH104" i="20"/>
  <c r="AJ106" i="20"/>
  <c r="AD108" i="20"/>
  <c r="AL108" i="20"/>
  <c r="AI109" i="20"/>
  <c r="AF111" i="20"/>
  <c r="AF125" i="20"/>
  <c r="AK127" i="20"/>
  <c r="AH128" i="20"/>
  <c r="AD130" i="20"/>
  <c r="AD131" i="20"/>
  <c r="AL132" i="20"/>
  <c r="AM132" i="20"/>
  <c r="AK147" i="20"/>
  <c r="AG147" i="20"/>
  <c r="AL147" i="20"/>
  <c r="AI63" i="21"/>
  <c r="AJ65" i="21"/>
  <c r="AM65" i="21"/>
  <c r="AJ67" i="21"/>
  <c r="AF88" i="21"/>
  <c r="AF103" i="21"/>
  <c r="AH105" i="21"/>
  <c r="AK109" i="21"/>
  <c r="AG109" i="21"/>
  <c r="AH125" i="21"/>
  <c r="AJ125" i="21"/>
  <c r="AD125" i="21"/>
  <c r="AF128" i="21"/>
  <c r="AD147" i="21"/>
  <c r="AF148" i="21"/>
  <c r="AH151" i="21"/>
  <c r="AG84" i="22"/>
  <c r="AM85" i="22"/>
  <c r="AJ85" i="22"/>
  <c r="AG85" i="22"/>
  <c r="AM107" i="22"/>
  <c r="AG107" i="22"/>
  <c r="AF107" i="22"/>
  <c r="AF61" i="20"/>
  <c r="AJ109" i="20"/>
  <c r="AM61" i="21"/>
  <c r="AI61" i="21"/>
  <c r="AL63" i="21"/>
  <c r="AL67" i="21"/>
  <c r="AH68" i="21"/>
  <c r="AJ68" i="21"/>
  <c r="AD68" i="21"/>
  <c r="AK86" i="21"/>
  <c r="AH86" i="21"/>
  <c r="AM86" i="21"/>
  <c r="AD86" i="21"/>
  <c r="AG88" i="21"/>
  <c r="AJ103" i="21"/>
  <c r="AI105" i="21"/>
  <c r="AH106" i="21"/>
  <c r="AM106" i="21"/>
  <c r="AF106" i="21"/>
  <c r="AM110" i="21"/>
  <c r="AF110" i="21"/>
  <c r="AL151" i="21"/>
  <c r="AH152" i="21"/>
  <c r="AJ152" i="21"/>
  <c r="AD152" i="21"/>
  <c r="AM87" i="22"/>
  <c r="AJ87" i="22"/>
  <c r="AI87" i="22"/>
  <c r="AG87" i="22"/>
  <c r="AL87" i="22"/>
  <c r="AM145" i="22"/>
  <c r="AG145" i="22"/>
  <c r="AF145" i="22"/>
  <c r="AF84" i="7"/>
  <c r="AJ89" i="7"/>
  <c r="AF147" i="7"/>
  <c r="AG149" i="7"/>
  <c r="AE150" i="7"/>
  <c r="AF153" i="7"/>
  <c r="AG61" i="20"/>
  <c r="AF88" i="20"/>
  <c r="AG89" i="20"/>
  <c r="AD90" i="20"/>
  <c r="AM90" i="20"/>
  <c r="AL104" i="20"/>
  <c r="AK109" i="20"/>
  <c r="AI111" i="20"/>
  <c r="AK125" i="20"/>
  <c r="AE127" i="20"/>
  <c r="AM127" i="20"/>
  <c r="AJ128" i="20"/>
  <c r="AG131" i="20"/>
  <c r="AH152" i="20"/>
  <c r="AJ152" i="20"/>
  <c r="AM67" i="21"/>
  <c r="AK85" i="21"/>
  <c r="AG85" i="21"/>
  <c r="AD87" i="21"/>
  <c r="AK124" i="21"/>
  <c r="AI124" i="21"/>
  <c r="AE124" i="21"/>
  <c r="AF130" i="21"/>
  <c r="AG147" i="21"/>
  <c r="AF149" i="21"/>
  <c r="AJ62" i="22"/>
  <c r="AK62" i="22"/>
  <c r="AJ108" i="22"/>
  <c r="AF108" i="22"/>
  <c r="AD108" i="22"/>
  <c r="AK108" i="22"/>
  <c r="AF105" i="7"/>
  <c r="AD146" i="7"/>
  <c r="AG153" i="7"/>
  <c r="AH61" i="20"/>
  <c r="AF82" i="20"/>
  <c r="AG88" i="20"/>
  <c r="AH89" i="20"/>
  <c r="AE90" i="20"/>
  <c r="AF127" i="20"/>
  <c r="AK62" i="21"/>
  <c r="AL62" i="21"/>
  <c r="AM88" i="21"/>
  <c r="AI88" i="21"/>
  <c r="AI103" i="21"/>
  <c r="AK103" i="21"/>
  <c r="AK105" i="21"/>
  <c r="AM105" i="21"/>
  <c r="AG105" i="21"/>
  <c r="AM126" i="21"/>
  <c r="AF126" i="21"/>
  <c r="AK151" i="21"/>
  <c r="AI151" i="21"/>
  <c r="AE151" i="21"/>
  <c r="AM126" i="22"/>
  <c r="AG126" i="22"/>
  <c r="AF126" i="22"/>
  <c r="AG84" i="7"/>
  <c r="AG88" i="7"/>
  <c r="AK89" i="7"/>
  <c r="AD106" i="7"/>
  <c r="AD107" i="7"/>
  <c r="AD127" i="7"/>
  <c r="AG147" i="7"/>
  <c r="AH149" i="7"/>
  <c r="AF150" i="7"/>
  <c r="AF63" i="20"/>
  <c r="AE86" i="20"/>
  <c r="AD109" i="20"/>
  <c r="AL109" i="20"/>
  <c r="AJ111" i="20"/>
  <c r="AL128" i="20"/>
  <c r="AJ63" i="21"/>
  <c r="AF63" i="21"/>
  <c r="AK63" i="21"/>
  <c r="AK67" i="21"/>
  <c r="AG67" i="21"/>
  <c r="AH84" i="7"/>
  <c r="AI87" i="7"/>
  <c r="AL88" i="7"/>
  <c r="AL89" i="7"/>
  <c r="AG105" i="7"/>
  <c r="AF106" i="7"/>
  <c r="AE107" i="7"/>
  <c r="AF124" i="7"/>
  <c r="AD125" i="7"/>
  <c r="AD126" i="7"/>
  <c r="AF127" i="7"/>
  <c r="AD145" i="7"/>
  <c r="AF146" i="7"/>
  <c r="AI147" i="7"/>
  <c r="AI149" i="7"/>
  <c r="AH150" i="7"/>
  <c r="AK151" i="7"/>
  <c r="AI152" i="7"/>
  <c r="AL153" i="7"/>
  <c r="AK61" i="20"/>
  <c r="AG63" i="20"/>
  <c r="AE67" i="20"/>
  <c r="AG69" i="20"/>
  <c r="AG82" i="20"/>
  <c r="AD84" i="20"/>
  <c r="AD85" i="20"/>
  <c r="AM86" i="20"/>
  <c r="AH88" i="20"/>
  <c r="AI89" i="20"/>
  <c r="AF90" i="20"/>
  <c r="AE105" i="20"/>
  <c r="AG107" i="20"/>
  <c r="AE109" i="20"/>
  <c r="AM109" i="20"/>
  <c r="AK111" i="20"/>
  <c r="AF126" i="20"/>
  <c r="AG127" i="20"/>
  <c r="AD128" i="20"/>
  <c r="AM128" i="20"/>
  <c r="AJ130" i="20"/>
  <c r="AI131" i="20"/>
  <c r="AI149" i="20"/>
  <c r="AM150" i="20"/>
  <c r="AD150" i="20"/>
  <c r="AI150" i="20"/>
  <c r="AD63" i="21"/>
  <c r="AE67" i="21"/>
  <c r="AE68" i="21"/>
  <c r="AM69" i="21"/>
  <c r="AF69" i="21"/>
  <c r="AG82" i="21"/>
  <c r="AL82" i="21"/>
  <c r="AF82" i="21"/>
  <c r="AF85" i="21"/>
  <c r="AF86" i="21"/>
  <c r="AI87" i="21"/>
  <c r="AG90" i="21"/>
  <c r="AF90" i="21"/>
  <c r="AL90" i="21"/>
  <c r="AD106" i="21"/>
  <c r="AM107" i="21"/>
  <c r="AI107" i="21"/>
  <c r="AD124" i="21"/>
  <c r="AM131" i="21"/>
  <c r="AF131" i="21"/>
  <c r="AJ131" i="21"/>
  <c r="AM145" i="21"/>
  <c r="AG145" i="21"/>
  <c r="AJ147" i="21"/>
  <c r="AM150" i="21"/>
  <c r="AK150" i="21"/>
  <c r="AG150" i="21"/>
  <c r="AE152" i="21"/>
  <c r="AM153" i="21"/>
  <c r="AF153" i="21"/>
  <c r="AF66" i="22"/>
  <c r="AM82" i="22"/>
  <c r="AI82" i="22"/>
  <c r="AH105" i="22"/>
  <c r="AK105" i="22"/>
  <c r="AJ105" i="22"/>
  <c r="AG105" i="22"/>
  <c r="AF105" i="22"/>
  <c r="AL105" i="22"/>
  <c r="AE124" i="22"/>
  <c r="AI84" i="7"/>
  <c r="AJ89" i="20"/>
  <c r="AM153" i="20"/>
  <c r="AG153" i="20"/>
  <c r="AE63" i="21"/>
  <c r="AF67" i="21"/>
  <c r="AF68" i="21"/>
  <c r="AG86" i="21"/>
  <c r="AK89" i="21"/>
  <c r="AL89" i="21"/>
  <c r="AD105" i="21"/>
  <c r="AE106" i="21"/>
  <c r="AI130" i="21"/>
  <c r="AK130" i="21"/>
  <c r="AI149" i="21"/>
  <c r="AM149" i="21"/>
  <c r="AE149" i="21"/>
  <c r="AD151" i="21"/>
  <c r="AF152" i="21"/>
  <c r="AH84" i="22"/>
  <c r="AL84" i="22"/>
  <c r="AD84" i="22"/>
  <c r="AH86" i="22"/>
  <c r="AL86" i="22"/>
  <c r="AK86" i="22"/>
  <c r="AI86" i="22"/>
  <c r="AM86" i="22"/>
  <c r="AD86" i="22"/>
  <c r="AG106" i="22"/>
  <c r="AI124" i="22"/>
  <c r="AH149" i="22"/>
  <c r="AG149" i="22"/>
  <c r="AM149" i="22"/>
  <c r="AE149" i="22"/>
  <c r="AL149" i="22"/>
  <c r="AD149" i="22"/>
  <c r="AK149" i="22"/>
  <c r="AJ149" i="22"/>
  <c r="AI149" i="22"/>
  <c r="AF107" i="7"/>
  <c r="AJ84" i="7"/>
  <c r="AG107" i="7"/>
  <c r="AF126" i="7"/>
  <c r="AJ146" i="7"/>
  <c r="AF87" i="20"/>
  <c r="AF128" i="20"/>
  <c r="AM145" i="20"/>
  <c r="AH145" i="20"/>
  <c r="AL151" i="20"/>
  <c r="AM151" i="20"/>
  <c r="AF61" i="21"/>
  <c r="AG63" i="21"/>
  <c r="AH67" i="21"/>
  <c r="AI68" i="21"/>
  <c r="AI85" i="21"/>
  <c r="AI86" i="21"/>
  <c r="AE105" i="21"/>
  <c r="AI106" i="21"/>
  <c r="AI111" i="21"/>
  <c r="AJ111" i="21"/>
  <c r="AG124" i="21"/>
  <c r="AK127" i="21"/>
  <c r="AD127" i="21"/>
  <c r="AH128" i="21"/>
  <c r="AL128" i="21"/>
  <c r="AD128" i="21"/>
  <c r="AF151" i="21"/>
  <c r="AI152" i="21"/>
  <c r="AE84" i="22"/>
  <c r="AD87" i="22"/>
  <c r="AJ89" i="22"/>
  <c r="AK89" i="22"/>
  <c r="AF89" i="22"/>
  <c r="AL89" i="22"/>
  <c r="AH106" i="7"/>
  <c r="AJ127" i="7"/>
  <c r="AK105" i="7"/>
  <c r="AG145" i="7"/>
  <c r="AG66" i="20"/>
  <c r="AF68" i="20"/>
  <c r="AI84" i="20"/>
  <c r="AF106" i="20"/>
  <c r="AH149" i="20"/>
  <c r="AD149" i="20"/>
  <c r="AJ149" i="20"/>
  <c r="AF152" i="20"/>
  <c r="AG61" i="21"/>
  <c r="AH63" i="21"/>
  <c r="AI67" i="21"/>
  <c r="AL68" i="21"/>
  <c r="AJ86" i="21"/>
  <c r="AH87" i="21"/>
  <c r="AF87" i="21"/>
  <c r="AM87" i="21"/>
  <c r="AE103" i="21"/>
  <c r="AF105" i="21"/>
  <c r="AJ106" i="21"/>
  <c r="AK146" i="21"/>
  <c r="AF146" i="21"/>
  <c r="AM147" i="21"/>
  <c r="AE147" i="21"/>
  <c r="AI147" i="21"/>
  <c r="AG151" i="21"/>
  <c r="AL152" i="21"/>
  <c r="AM61" i="22"/>
  <c r="AF61" i="22"/>
  <c r="AM66" i="22"/>
  <c r="AJ66" i="22"/>
  <c r="AF87" i="22"/>
  <c r="AM106" i="22"/>
  <c r="AI106" i="22"/>
  <c r="AH106" i="22"/>
  <c r="AF106" i="22"/>
  <c r="AD106" i="22"/>
  <c r="AJ106" i="22"/>
  <c r="AH124" i="22"/>
  <c r="AK124" i="22"/>
  <c r="AJ124" i="22"/>
  <c r="AG124" i="22"/>
  <c r="AF124" i="22"/>
  <c r="AL124" i="22"/>
  <c r="AM131" i="22"/>
  <c r="AH131" i="22"/>
  <c r="AG131" i="22"/>
  <c r="AJ131" i="22"/>
  <c r="AE84" i="21"/>
  <c r="AI104" i="21"/>
  <c r="AH132" i="21"/>
  <c r="AK103" i="22"/>
  <c r="AJ111" i="22"/>
  <c r="AJ125" i="22"/>
  <c r="AK127" i="22"/>
  <c r="AK132" i="22"/>
  <c r="AK146" i="22"/>
  <c r="AH150" i="22"/>
  <c r="AJ151" i="22"/>
  <c r="AH152" i="22"/>
  <c r="AK63" i="23"/>
  <c r="AJ65" i="23"/>
  <c r="AI66" i="23"/>
  <c r="AG67" i="23"/>
  <c r="AF68" i="23"/>
  <c r="AD85" i="23"/>
  <c r="AG90" i="23"/>
  <c r="AI90" i="23"/>
  <c r="AF90" i="23"/>
  <c r="AM90" i="23"/>
  <c r="AD90" i="23"/>
  <c r="AL90" i="23"/>
  <c r="AD132" i="23"/>
  <c r="AH67" i="23"/>
  <c r="AI68" i="23"/>
  <c r="AM109" i="23"/>
  <c r="AE109" i="23"/>
  <c r="AK109" i="23"/>
  <c r="AI109" i="23"/>
  <c r="AH109" i="23"/>
  <c r="AH125" i="23"/>
  <c r="AL125" i="23"/>
  <c r="AI125" i="23"/>
  <c r="AF125" i="23"/>
  <c r="AE125" i="23"/>
  <c r="AD125" i="23"/>
  <c r="AG63" i="24"/>
  <c r="AM63" i="24"/>
  <c r="AL63" i="24"/>
  <c r="AK63" i="24"/>
  <c r="AI63" i="24"/>
  <c r="AH63" i="24"/>
  <c r="AF63" i="24"/>
  <c r="AE63" i="24"/>
  <c r="AI67" i="23"/>
  <c r="AJ68" i="23"/>
  <c r="AM104" i="23"/>
  <c r="AH104" i="23"/>
  <c r="AF104" i="23"/>
  <c r="AL104" i="23"/>
  <c r="AK104" i="23"/>
  <c r="AD125" i="22"/>
  <c r="AF61" i="23"/>
  <c r="AL67" i="23"/>
  <c r="AL68" i="23"/>
  <c r="AF127" i="23"/>
  <c r="AM129" i="23"/>
  <c r="AF129" i="23"/>
  <c r="AK132" i="23"/>
  <c r="AE132" i="23"/>
  <c r="AM132" i="23"/>
  <c r="AL132" i="23"/>
  <c r="AI132" i="23"/>
  <c r="AH132" i="23"/>
  <c r="AM148" i="23"/>
  <c r="AF148" i="23"/>
  <c r="AH68" i="22"/>
  <c r="AH90" i="22"/>
  <c r="AG103" i="22"/>
  <c r="AG109" i="22"/>
  <c r="AF111" i="22"/>
  <c r="AF125" i="22"/>
  <c r="AG128" i="22"/>
  <c r="AF132" i="22"/>
  <c r="AG61" i="23"/>
  <c r="AG63" i="23"/>
  <c r="AF64" i="23"/>
  <c r="AM67" i="23"/>
  <c r="AM68" i="23"/>
  <c r="AI85" i="23"/>
  <c r="AD109" i="23"/>
  <c r="AK151" i="23"/>
  <c r="AM151" i="23"/>
  <c r="AL151" i="23"/>
  <c r="AI151" i="23"/>
  <c r="AH151" i="23"/>
  <c r="AG151" i="23"/>
  <c r="AF151" i="23"/>
  <c r="AE151" i="23"/>
  <c r="AJ127" i="23"/>
  <c r="AK127" i="23"/>
  <c r="AD127" i="23"/>
  <c r="AH152" i="23"/>
  <c r="AM152" i="23"/>
  <c r="AL152" i="23"/>
  <c r="AJ152" i="23"/>
  <c r="AI152" i="23"/>
  <c r="AF152" i="23"/>
  <c r="AE152" i="23"/>
  <c r="AD152" i="23"/>
  <c r="AK90" i="22"/>
  <c r="AI103" i="22"/>
  <c r="AH111" i="22"/>
  <c r="AH125" i="22"/>
  <c r="AD127" i="22"/>
  <c r="AI132" i="22"/>
  <c r="AD146" i="22"/>
  <c r="AF150" i="22"/>
  <c r="AG153" i="22"/>
  <c r="AI63" i="23"/>
  <c r="AE65" i="23"/>
  <c r="AE67" i="23"/>
  <c r="AD68" i="23"/>
  <c r="AD104" i="23"/>
  <c r="AG109" i="23"/>
  <c r="AI111" i="23"/>
  <c r="AM111" i="23"/>
  <c r="AJ111" i="23"/>
  <c r="AE111" i="23"/>
  <c r="AK124" i="23"/>
  <c r="AL124" i="23"/>
  <c r="AH124" i="23"/>
  <c r="AG124" i="23"/>
  <c r="AF124" i="23"/>
  <c r="AE124" i="23"/>
  <c r="AI111" i="22"/>
  <c r="AI125" i="22"/>
  <c r="AF127" i="22"/>
  <c r="AJ132" i="22"/>
  <c r="AF146" i="22"/>
  <c r="AG150" i="22"/>
  <c r="AF65" i="23"/>
  <c r="AF67" i="23"/>
  <c r="AE68" i="23"/>
  <c r="AM85" i="23"/>
  <c r="AK85" i="23"/>
  <c r="AG85" i="23"/>
  <c r="AG104" i="23"/>
  <c r="AM107" i="23"/>
  <c r="AG107" i="23"/>
  <c r="AJ109" i="23"/>
  <c r="AJ125" i="23"/>
  <c r="AH82" i="26"/>
  <c r="AI82" i="26"/>
  <c r="AG82" i="26"/>
  <c r="AF82" i="26"/>
  <c r="AG131" i="26"/>
  <c r="AH131" i="26"/>
  <c r="AF131" i="26"/>
  <c r="AE131" i="26"/>
  <c r="AM104" i="28"/>
  <c r="AL104" i="28"/>
  <c r="AI104" i="28"/>
  <c r="AH104" i="28"/>
  <c r="AG104" i="28"/>
  <c r="AF104" i="28"/>
  <c r="AD104" i="28"/>
  <c r="AM103" i="23"/>
  <c r="AI105" i="23"/>
  <c r="AJ106" i="23"/>
  <c r="AF126" i="23"/>
  <c r="AD128" i="23"/>
  <c r="AL128" i="23"/>
  <c r="AK130" i="23"/>
  <c r="AK146" i="23"/>
  <c r="AI147" i="23"/>
  <c r="AE149" i="23"/>
  <c r="AG150" i="23"/>
  <c r="AF153" i="23"/>
  <c r="AI61" i="24"/>
  <c r="AF64" i="24"/>
  <c r="AJ67" i="24"/>
  <c r="AI82" i="24"/>
  <c r="AK84" i="24"/>
  <c r="AJ85" i="24"/>
  <c r="AH86" i="24"/>
  <c r="AI87" i="24"/>
  <c r="AJ88" i="24"/>
  <c r="AG90" i="24"/>
  <c r="AF104" i="24"/>
  <c r="AK109" i="24"/>
  <c r="AK111" i="24"/>
  <c r="AL124" i="24"/>
  <c r="AL125" i="24"/>
  <c r="AD127" i="24"/>
  <c r="AJ128" i="24"/>
  <c r="AF130" i="24"/>
  <c r="AI131" i="24"/>
  <c r="AG132" i="24"/>
  <c r="AH147" i="24"/>
  <c r="AG150" i="24"/>
  <c r="AE151" i="24"/>
  <c r="AD152" i="24"/>
  <c r="AF153" i="24"/>
  <c r="AH62" i="25"/>
  <c r="AH89" i="25"/>
  <c r="AH90" i="25"/>
  <c r="AG105" i="25"/>
  <c r="AG106" i="25"/>
  <c r="AJ132" i="25"/>
  <c r="AG66" i="26"/>
  <c r="AF66" i="26"/>
  <c r="AH127" i="26"/>
  <c r="AF127" i="26"/>
  <c r="AD127" i="26"/>
  <c r="AL127" i="26"/>
  <c r="AK127" i="26"/>
  <c r="AK153" i="26"/>
  <c r="AE153" i="26"/>
  <c r="AD153" i="26"/>
  <c r="AM153" i="26"/>
  <c r="AL153" i="26"/>
  <c r="AK85" i="27"/>
  <c r="AI85" i="27"/>
  <c r="AH85" i="27"/>
  <c r="AG85" i="27"/>
  <c r="AF85" i="27"/>
  <c r="AM85" i="27"/>
  <c r="AD85" i="27"/>
  <c r="AL85" i="27"/>
  <c r="AE86" i="23"/>
  <c r="AD87" i="23"/>
  <c r="AF88" i="23"/>
  <c r="AL105" i="23"/>
  <c r="AL106" i="23"/>
  <c r="AK108" i="23"/>
  <c r="AG126" i="23"/>
  <c r="AE128" i="23"/>
  <c r="AM128" i="23"/>
  <c r="AM130" i="23"/>
  <c r="AL146" i="23"/>
  <c r="AJ147" i="23"/>
  <c r="AF149" i="23"/>
  <c r="AH150" i="23"/>
  <c r="AG153" i="23"/>
  <c r="AJ61" i="24"/>
  <c r="AL67" i="24"/>
  <c r="AL68" i="24"/>
  <c r="AK82" i="24"/>
  <c r="AM84" i="24"/>
  <c r="AK85" i="24"/>
  <c r="AI86" i="24"/>
  <c r="AJ87" i="24"/>
  <c r="AH90" i="24"/>
  <c r="AG104" i="24"/>
  <c r="AE105" i="24"/>
  <c r="AD106" i="24"/>
  <c r="AF107" i="24"/>
  <c r="AD109" i="24"/>
  <c r="AM111" i="24"/>
  <c r="AM124" i="24"/>
  <c r="AM125" i="24"/>
  <c r="AL127" i="24"/>
  <c r="AK128" i="24"/>
  <c r="AK130" i="24"/>
  <c r="AJ131" i="24"/>
  <c r="AH132" i="24"/>
  <c r="AD146" i="24"/>
  <c r="AI147" i="24"/>
  <c r="AE149" i="24"/>
  <c r="AH150" i="24"/>
  <c r="AF151" i="24"/>
  <c r="AE152" i="24"/>
  <c r="AG153" i="24"/>
  <c r="AF61" i="25"/>
  <c r="AI62" i="25"/>
  <c r="AE66" i="25"/>
  <c r="AE85" i="25"/>
  <c r="AF86" i="25"/>
  <c r="AE87" i="25"/>
  <c r="AF88" i="25"/>
  <c r="AI89" i="25"/>
  <c r="AI90" i="25"/>
  <c r="AH105" i="25"/>
  <c r="AI106" i="25"/>
  <c r="AG124" i="25"/>
  <c r="AI124" i="25"/>
  <c r="AH124" i="25"/>
  <c r="AF124" i="25"/>
  <c r="AL124" i="25"/>
  <c r="AK132" i="25"/>
  <c r="AE146" i="25"/>
  <c r="AG151" i="25"/>
  <c r="AI151" i="25"/>
  <c r="AH151" i="25"/>
  <c r="AF151" i="25"/>
  <c r="AL151" i="25"/>
  <c r="AF67" i="26"/>
  <c r="AK88" i="26"/>
  <c r="AL88" i="26"/>
  <c r="AG88" i="26"/>
  <c r="AF88" i="26"/>
  <c r="AD88" i="26"/>
  <c r="AH128" i="26"/>
  <c r="AI128" i="26"/>
  <c r="AG128" i="26"/>
  <c r="AF128" i="26"/>
  <c r="AF65" i="27"/>
  <c r="AI150" i="23"/>
  <c r="AE65" i="24"/>
  <c r="AL82" i="24"/>
  <c r="AL86" i="24"/>
  <c r="AL87" i="24"/>
  <c r="AD89" i="24"/>
  <c r="AI90" i="24"/>
  <c r="AE103" i="24"/>
  <c r="AH104" i="24"/>
  <c r="AL128" i="24"/>
  <c r="AK131" i="24"/>
  <c r="AJ147" i="24"/>
  <c r="AI150" i="24"/>
  <c r="AG151" i="24"/>
  <c r="AF152" i="24"/>
  <c r="AI153" i="24"/>
  <c r="AF66" i="25"/>
  <c r="AF69" i="25"/>
  <c r="AF85" i="25"/>
  <c r="AG88" i="25"/>
  <c r="AJ89" i="25"/>
  <c r="AF104" i="25"/>
  <c r="AI105" i="25"/>
  <c r="AF146" i="25"/>
  <c r="AM148" i="25"/>
  <c r="AF148" i="25"/>
  <c r="AH152" i="25"/>
  <c r="AD62" i="26"/>
  <c r="AJ67" i="26"/>
  <c r="AF107" i="26"/>
  <c r="AG65" i="27"/>
  <c r="AH87" i="27"/>
  <c r="AG87" i="27"/>
  <c r="AF87" i="27"/>
  <c r="AD87" i="27"/>
  <c r="AL87" i="27"/>
  <c r="AJ87" i="27"/>
  <c r="AE150" i="27"/>
  <c r="AG128" i="23"/>
  <c r="AF145" i="23"/>
  <c r="AD147" i="23"/>
  <c r="AK149" i="23"/>
  <c r="AJ150" i="23"/>
  <c r="AD62" i="24"/>
  <c r="AF65" i="24"/>
  <c r="AD82" i="24"/>
  <c r="AM82" i="24"/>
  <c r="AM86" i="24"/>
  <c r="AM87" i="24"/>
  <c r="AL89" i="24"/>
  <c r="AJ90" i="24"/>
  <c r="AF103" i="24"/>
  <c r="AI104" i="24"/>
  <c r="AI107" i="24"/>
  <c r="AE124" i="24"/>
  <c r="AD125" i="24"/>
  <c r="AF126" i="24"/>
  <c r="AD128" i="24"/>
  <c r="AM128" i="24"/>
  <c r="AL131" i="24"/>
  <c r="AK147" i="24"/>
  <c r="AK149" i="24"/>
  <c r="AJ150" i="24"/>
  <c r="AH151" i="24"/>
  <c r="AI152" i="24"/>
  <c r="AJ153" i="24"/>
  <c r="AK62" i="25"/>
  <c r="AG66" i="25"/>
  <c r="AG69" i="25"/>
  <c r="AG85" i="25"/>
  <c r="AK89" i="25"/>
  <c r="AG104" i="25"/>
  <c r="AL106" i="25"/>
  <c r="AM106" i="25"/>
  <c r="AH106" i="25"/>
  <c r="AG132" i="25"/>
  <c r="AI132" i="25"/>
  <c r="AH132" i="25"/>
  <c r="AF132" i="25"/>
  <c r="AL132" i="25"/>
  <c r="AH146" i="25"/>
  <c r="AF86" i="26"/>
  <c r="AH89" i="26"/>
  <c r="AL89" i="26"/>
  <c r="AK89" i="26"/>
  <c r="AJ89" i="26"/>
  <c r="AF89" i="26"/>
  <c r="AD89" i="26"/>
  <c r="AF130" i="26"/>
  <c r="AH109" i="14"/>
  <c r="AF109" i="14"/>
  <c r="AI109" i="14"/>
  <c r="AG109" i="14"/>
  <c r="AK90" i="24"/>
  <c r="AK103" i="24"/>
  <c r="AJ104" i="24"/>
  <c r="AG126" i="24"/>
  <c r="AD147" i="24"/>
  <c r="AL147" i="24"/>
  <c r="AI151" i="24"/>
  <c r="AJ152" i="24"/>
  <c r="AH66" i="25"/>
  <c r="AH85" i="25"/>
  <c r="AF107" i="25"/>
  <c r="AK62" i="26"/>
  <c r="AJ62" i="26"/>
  <c r="AI62" i="26"/>
  <c r="AF62" i="26"/>
  <c r="AI67" i="26"/>
  <c r="AH67" i="26"/>
  <c r="AG67" i="26"/>
  <c r="AM67" i="26"/>
  <c r="AE67" i="26"/>
  <c r="AL67" i="26"/>
  <c r="AD67" i="26"/>
  <c r="AG104" i="26"/>
  <c r="AH104" i="26"/>
  <c r="AF104" i="26"/>
  <c r="AK107" i="26"/>
  <c r="AE107" i="26"/>
  <c r="AD107" i="26"/>
  <c r="AM107" i="26"/>
  <c r="AL107" i="26"/>
  <c r="AJ130" i="26"/>
  <c r="AK145" i="26"/>
  <c r="AM145" i="26"/>
  <c r="AL145" i="26"/>
  <c r="AG145" i="26"/>
  <c r="AE145" i="26"/>
  <c r="AD145" i="26"/>
  <c r="AM65" i="27"/>
  <c r="AE65" i="27"/>
  <c r="AL65" i="27"/>
  <c r="AD65" i="27"/>
  <c r="AK65" i="27"/>
  <c r="AI65" i="27"/>
  <c r="AH65" i="27"/>
  <c r="AK150" i="27"/>
  <c r="AI150" i="27"/>
  <c r="AH150" i="27"/>
  <c r="AG150" i="27"/>
  <c r="AF150" i="27"/>
  <c r="AM150" i="27"/>
  <c r="AD150" i="27"/>
  <c r="AL150" i="27"/>
  <c r="AI86" i="23"/>
  <c r="AJ87" i="23"/>
  <c r="AF103" i="23"/>
  <c r="AF105" i="23"/>
  <c r="AE106" i="23"/>
  <c r="AE130" i="23"/>
  <c r="AL150" i="23"/>
  <c r="AL62" i="24"/>
  <c r="AM65" i="24"/>
  <c r="AF82" i="24"/>
  <c r="AE86" i="24"/>
  <c r="AD87" i="24"/>
  <c r="AD90" i="24"/>
  <c r="AL90" i="24"/>
  <c r="AM103" i="24"/>
  <c r="AK104" i="24"/>
  <c r="AG124" i="24"/>
  <c r="AF125" i="24"/>
  <c r="AI126" i="24"/>
  <c r="AF128" i="24"/>
  <c r="AF129" i="24"/>
  <c r="AF131" i="24"/>
  <c r="AE147" i="24"/>
  <c r="AL150" i="24"/>
  <c r="AL151" i="24"/>
  <c r="AL152" i="24"/>
  <c r="AM66" i="25"/>
  <c r="AM85" i="25"/>
  <c r="AM105" i="25"/>
  <c r="AE105" i="25"/>
  <c r="AJ105" i="25"/>
  <c r="AG107" i="25"/>
  <c r="AL125" i="25"/>
  <c r="AG125" i="25"/>
  <c r="AF125" i="25"/>
  <c r="AE125" i="25"/>
  <c r="AJ125" i="25"/>
  <c r="AL152" i="25"/>
  <c r="AG152" i="25"/>
  <c r="AF152" i="25"/>
  <c r="AE152" i="25"/>
  <c r="AJ152" i="25"/>
  <c r="AH90" i="26"/>
  <c r="AI90" i="26"/>
  <c r="AG90" i="26"/>
  <c r="AG111" i="26"/>
  <c r="AM111" i="26"/>
  <c r="AK111" i="26"/>
  <c r="AJ111" i="26"/>
  <c r="AH111" i="26"/>
  <c r="AF111" i="26"/>
  <c r="AK147" i="28"/>
  <c r="AM147" i="28"/>
  <c r="AD147" i="28"/>
  <c r="AL147" i="28"/>
  <c r="AJ147" i="28"/>
  <c r="AI147" i="28"/>
  <c r="AH147" i="28"/>
  <c r="AF147" i="28"/>
  <c r="AG147" i="28"/>
  <c r="AE147" i="28"/>
  <c r="AG82" i="24"/>
  <c r="AF86" i="24"/>
  <c r="AE87" i="24"/>
  <c r="AE90" i="24"/>
  <c r="AL104" i="24"/>
  <c r="AJ126" i="24"/>
  <c r="AM151" i="24"/>
  <c r="AM152" i="24"/>
  <c r="AL146" i="25"/>
  <c r="AD146" i="25"/>
  <c r="AK146" i="25"/>
  <c r="AJ146" i="25"/>
  <c r="AG146" i="25"/>
  <c r="AM86" i="26"/>
  <c r="AE86" i="26"/>
  <c r="AL86" i="26"/>
  <c r="AD86" i="26"/>
  <c r="AK86" i="26"/>
  <c r="AI86" i="26"/>
  <c r="AH86" i="26"/>
  <c r="AI130" i="26"/>
  <c r="AH130" i="26"/>
  <c r="AG130" i="26"/>
  <c r="AM130" i="26"/>
  <c r="AE130" i="26"/>
  <c r="AL130" i="26"/>
  <c r="AD130" i="26"/>
  <c r="AH152" i="27"/>
  <c r="AG152" i="27"/>
  <c r="AF152" i="27"/>
  <c r="AD152" i="27"/>
  <c r="AL152" i="27"/>
  <c r="AJ152" i="27"/>
  <c r="AH111" i="25"/>
  <c r="AH130" i="25"/>
  <c r="AF147" i="25"/>
  <c r="AM61" i="26"/>
  <c r="AF63" i="26"/>
  <c r="AI65" i="26"/>
  <c r="AG69" i="26"/>
  <c r="AJ103" i="26"/>
  <c r="AE105" i="26"/>
  <c r="AM105" i="26"/>
  <c r="AJ106" i="26"/>
  <c r="AL108" i="26"/>
  <c r="AJ124" i="26"/>
  <c r="AG126" i="26"/>
  <c r="AF146" i="26"/>
  <c r="AI147" i="26"/>
  <c r="AI149" i="26"/>
  <c r="AH150" i="26"/>
  <c r="AK151" i="26"/>
  <c r="AI152" i="26"/>
  <c r="AI61" i="27"/>
  <c r="AK63" i="27"/>
  <c r="AM67" i="27"/>
  <c r="AH82" i="27"/>
  <c r="AJ86" i="27"/>
  <c r="AL89" i="27"/>
  <c r="AH104" i="27"/>
  <c r="AF105" i="27"/>
  <c r="AF106" i="27"/>
  <c r="AI107" i="27"/>
  <c r="AK109" i="27"/>
  <c r="AH111" i="27"/>
  <c r="AF124" i="27"/>
  <c r="AI126" i="27"/>
  <c r="AK128" i="27"/>
  <c r="AH130" i="27"/>
  <c r="AM132" i="27"/>
  <c r="AJ151" i="27"/>
  <c r="AG61" i="28"/>
  <c r="AH62" i="28"/>
  <c r="AL66" i="28"/>
  <c r="AJ68" i="28"/>
  <c r="AE82" i="28"/>
  <c r="AH108" i="28"/>
  <c r="AJ111" i="28"/>
  <c r="AM148" i="28"/>
  <c r="AF148" i="28"/>
  <c r="AM85" i="29"/>
  <c r="AE85" i="29"/>
  <c r="AL85" i="29"/>
  <c r="AD85" i="29"/>
  <c r="AK85" i="29"/>
  <c r="AJ85" i="29"/>
  <c r="AI85" i="29"/>
  <c r="AG85" i="29"/>
  <c r="AE131" i="29"/>
  <c r="AK106" i="14"/>
  <c r="AM106" i="14"/>
  <c r="AD106" i="14"/>
  <c r="AL106" i="14"/>
  <c r="AJ106" i="14"/>
  <c r="AI106" i="14"/>
  <c r="AH106" i="14"/>
  <c r="AF106" i="14"/>
  <c r="AK126" i="14"/>
  <c r="AI126" i="14"/>
  <c r="AG126" i="14"/>
  <c r="AF126" i="14"/>
  <c r="AE126" i="14"/>
  <c r="AD126" i="14"/>
  <c r="AM126" i="14"/>
  <c r="AG105" i="27"/>
  <c r="AI111" i="27"/>
  <c r="AG124" i="27"/>
  <c r="AI130" i="27"/>
  <c r="AI62" i="28"/>
  <c r="AI84" i="28"/>
  <c r="AL84" i="28"/>
  <c r="AK84" i="28"/>
  <c r="AJ84" i="28"/>
  <c r="AG84" i="28"/>
  <c r="AM64" i="29"/>
  <c r="AH64" i="29"/>
  <c r="AF64" i="29"/>
  <c r="AH87" i="29"/>
  <c r="AL87" i="29"/>
  <c r="AJ87" i="29"/>
  <c r="AI87" i="29"/>
  <c r="AG87" i="29"/>
  <c r="AF87" i="29"/>
  <c r="AK127" i="14"/>
  <c r="AL127" i="14"/>
  <c r="AJ127" i="14"/>
  <c r="AI127" i="14"/>
  <c r="AF127" i="14"/>
  <c r="AD127" i="14"/>
  <c r="AL130" i="14"/>
  <c r="AM130" i="14"/>
  <c r="AD130" i="14"/>
  <c r="AK130" i="14"/>
  <c r="AJ130" i="14"/>
  <c r="AI130" i="14"/>
  <c r="AH130" i="14"/>
  <c r="AF130" i="14"/>
  <c r="AM108" i="28"/>
  <c r="AE108" i="28"/>
  <c r="AL108" i="28"/>
  <c r="AD108" i="28"/>
  <c r="AK108" i="28"/>
  <c r="AJ108" i="28"/>
  <c r="AG108" i="28"/>
  <c r="AH111" i="28"/>
  <c r="AI111" i="28"/>
  <c r="AG111" i="28"/>
  <c r="AF111" i="28"/>
  <c r="AD111" i="28"/>
  <c r="AK111" i="28"/>
  <c r="AH149" i="28"/>
  <c r="AJ149" i="28"/>
  <c r="AI149" i="28"/>
  <c r="AG149" i="28"/>
  <c r="AF149" i="28"/>
  <c r="AD149" i="28"/>
  <c r="AL149" i="28"/>
  <c r="AK131" i="29"/>
  <c r="AM131" i="29"/>
  <c r="AD131" i="29"/>
  <c r="AL131" i="29"/>
  <c r="AJ131" i="29"/>
  <c r="AI131" i="29"/>
  <c r="AH131" i="29"/>
  <c r="AF131" i="29"/>
  <c r="AK107" i="14"/>
  <c r="AM107" i="14"/>
  <c r="AL107" i="14"/>
  <c r="AI107" i="14"/>
  <c r="AG107" i="14"/>
  <c r="AF107" i="14"/>
  <c r="AD107" i="14"/>
  <c r="AK146" i="14"/>
  <c r="AI146" i="14"/>
  <c r="AF146" i="14"/>
  <c r="AD146" i="14"/>
  <c r="AL146" i="14"/>
  <c r="AH108" i="25"/>
  <c r="AH109" i="25"/>
  <c r="AK111" i="25"/>
  <c r="AF126" i="25"/>
  <c r="AH128" i="25"/>
  <c r="AK130" i="25"/>
  <c r="AG145" i="25"/>
  <c r="AI147" i="25"/>
  <c r="AK149" i="25"/>
  <c r="AF153" i="25"/>
  <c r="AD61" i="26"/>
  <c r="AM65" i="26"/>
  <c r="AH105" i="26"/>
  <c r="AD108" i="26"/>
  <c r="AG109" i="26"/>
  <c r="AM124" i="26"/>
  <c r="AI132" i="26"/>
  <c r="AK146" i="26"/>
  <c r="AD149" i="26"/>
  <c r="AL149" i="26"/>
  <c r="AL62" i="27"/>
  <c r="AH66" i="27"/>
  <c r="AF67" i="27"/>
  <c r="AI69" i="27"/>
  <c r="AF88" i="27"/>
  <c r="AH90" i="27"/>
  <c r="AL104" i="27"/>
  <c r="AJ105" i="27"/>
  <c r="AJ106" i="27"/>
  <c r="AL108" i="27"/>
  <c r="AK111" i="27"/>
  <c r="AJ124" i="27"/>
  <c r="AK130" i="27"/>
  <c r="AH131" i="27"/>
  <c r="AF132" i="27"/>
  <c r="AF153" i="27"/>
  <c r="AK62" i="28"/>
  <c r="AF66" i="28"/>
  <c r="AF67" i="28"/>
  <c r="AG69" i="28"/>
  <c r="AH82" i="28"/>
  <c r="AE90" i="28"/>
  <c r="AI106" i="28"/>
  <c r="AK106" i="28"/>
  <c r="AJ106" i="28"/>
  <c r="AF106" i="28"/>
  <c r="AE109" i="28"/>
  <c r="AH130" i="28"/>
  <c r="AJ130" i="28"/>
  <c r="AI130" i="28"/>
  <c r="AG130" i="28"/>
  <c r="AF130" i="28"/>
  <c r="AL130" i="28"/>
  <c r="AH82" i="29"/>
  <c r="AK82" i="29"/>
  <c r="AI82" i="29"/>
  <c r="AF82" i="29"/>
  <c r="AG153" i="25"/>
  <c r="AE61" i="26"/>
  <c r="AI84" i="26"/>
  <c r="AI87" i="26"/>
  <c r="AE103" i="26"/>
  <c r="AI105" i="26"/>
  <c r="AF106" i="26"/>
  <c r="AF108" i="26"/>
  <c r="AI109" i="26"/>
  <c r="AJ132" i="26"/>
  <c r="AL146" i="26"/>
  <c r="AE149" i="26"/>
  <c r="AG67" i="27"/>
  <c r="AF83" i="27"/>
  <c r="AG88" i="27"/>
  <c r="AI90" i="27"/>
  <c r="AD104" i="27"/>
  <c r="AM104" i="27"/>
  <c r="AL105" i="27"/>
  <c r="AL106" i="27"/>
  <c r="AD111" i="27"/>
  <c r="AL111" i="27"/>
  <c r="AL124" i="27"/>
  <c r="AD130" i="27"/>
  <c r="AL130" i="27"/>
  <c r="AI131" i="27"/>
  <c r="AG132" i="27"/>
  <c r="AD146" i="27"/>
  <c r="AF148" i="27"/>
  <c r="AG153" i="27"/>
  <c r="AD62" i="28"/>
  <c r="AL62" i="28"/>
  <c r="AG66" i="28"/>
  <c r="AI67" i="28"/>
  <c r="AH69" i="28"/>
  <c r="AG90" i="28"/>
  <c r="AF109" i="28"/>
  <c r="AI103" i="29"/>
  <c r="AM103" i="29"/>
  <c r="AD103" i="29"/>
  <c r="AL103" i="29"/>
  <c r="AK103" i="29"/>
  <c r="AJ103" i="29"/>
  <c r="AH103" i="29"/>
  <c r="AF103" i="29"/>
  <c r="AH63" i="14"/>
  <c r="AI63" i="14"/>
  <c r="AF63" i="14"/>
  <c r="AG85" i="14"/>
  <c r="AH85" i="14"/>
  <c r="AF85" i="14"/>
  <c r="AE85" i="14"/>
  <c r="AH124" i="14"/>
  <c r="AK124" i="14"/>
  <c r="AJ124" i="14"/>
  <c r="AI124" i="14"/>
  <c r="AG124" i="14"/>
  <c r="AF124" i="14"/>
  <c r="AM124" i="14"/>
  <c r="AD124" i="14"/>
  <c r="AF131" i="25"/>
  <c r="AF61" i="26"/>
  <c r="AD69" i="26"/>
  <c r="AJ84" i="26"/>
  <c r="AJ87" i="26"/>
  <c r="AF103" i="26"/>
  <c r="AG106" i="26"/>
  <c r="AI108" i="26"/>
  <c r="AF63" i="27"/>
  <c r="AI67" i="27"/>
  <c r="AI88" i="27"/>
  <c r="AK90" i="27"/>
  <c r="AM105" i="27"/>
  <c r="AF109" i="27"/>
  <c r="AE111" i="27"/>
  <c r="AM124" i="27"/>
  <c r="AF128" i="27"/>
  <c r="AE130" i="27"/>
  <c r="AJ131" i="27"/>
  <c r="AI132" i="27"/>
  <c r="AL146" i="27"/>
  <c r="AI153" i="27"/>
  <c r="AE62" i="28"/>
  <c r="AH66" i="28"/>
  <c r="AM67" i="28"/>
  <c r="AK69" i="28"/>
  <c r="AK82" i="28"/>
  <c r="AM82" i="28"/>
  <c r="AL82" i="28"/>
  <c r="AJ82" i="28"/>
  <c r="AG103" i="14"/>
  <c r="AM103" i="14"/>
  <c r="AK103" i="14"/>
  <c r="AJ103" i="14"/>
  <c r="AI103" i="14"/>
  <c r="AH103" i="14"/>
  <c r="AE103" i="14"/>
  <c r="AK90" i="28"/>
  <c r="AM90" i="28"/>
  <c r="AD90" i="28"/>
  <c r="AL90" i="28"/>
  <c r="AJ90" i="28"/>
  <c r="AI90" i="28"/>
  <c r="AF90" i="28"/>
  <c r="AK109" i="28"/>
  <c r="AJ109" i="28"/>
  <c r="AI109" i="28"/>
  <c r="AH109" i="28"/>
  <c r="AG109" i="28"/>
  <c r="AM109" i="28"/>
  <c r="AD109" i="28"/>
  <c r="AM125" i="14"/>
  <c r="AI125" i="14"/>
  <c r="AH125" i="14"/>
  <c r="AG125" i="14"/>
  <c r="AF125" i="14"/>
  <c r="AD125" i="14"/>
  <c r="AL125" i="14"/>
  <c r="AE105" i="28"/>
  <c r="AF107" i="28"/>
  <c r="AF145" i="28"/>
  <c r="AI146" i="28"/>
  <c r="AJ152" i="28"/>
  <c r="AD65" i="29"/>
  <c r="AL65" i="29"/>
  <c r="AI66" i="29"/>
  <c r="AG67" i="29"/>
  <c r="AG68" i="29"/>
  <c r="AI69" i="29"/>
  <c r="AF83" i="29"/>
  <c r="AJ84" i="29"/>
  <c r="AD88" i="29"/>
  <c r="AI90" i="29"/>
  <c r="AD104" i="29"/>
  <c r="AL104" i="29"/>
  <c r="AJ106" i="29"/>
  <c r="AL111" i="29"/>
  <c r="AF124" i="29"/>
  <c r="AF125" i="29"/>
  <c r="AH130" i="29"/>
  <c r="AF145" i="29"/>
  <c r="AI147" i="29"/>
  <c r="AL150" i="29"/>
  <c r="AJ152" i="29"/>
  <c r="AL68" i="14"/>
  <c r="AL69" i="14"/>
  <c r="AF82" i="14"/>
  <c r="AJ84" i="14"/>
  <c r="AD86" i="14"/>
  <c r="AL86" i="14"/>
  <c r="AI87" i="14"/>
  <c r="AG88" i="14"/>
  <c r="AJ89" i="14"/>
  <c r="AF104" i="14"/>
  <c r="AI105" i="14"/>
  <c r="AD108" i="14"/>
  <c r="AI111" i="14"/>
  <c r="AF128" i="14"/>
  <c r="AF131" i="14"/>
  <c r="AJ132" i="14"/>
  <c r="AG151" i="14"/>
  <c r="AF152" i="14"/>
  <c r="AE153" i="14"/>
  <c r="AL89" i="28"/>
  <c r="AK107" i="28"/>
  <c r="AI124" i="28"/>
  <c r="AH126" i="28"/>
  <c r="AI127" i="28"/>
  <c r="AG128" i="28"/>
  <c r="AM132" i="28"/>
  <c r="AD146" i="28"/>
  <c r="AL146" i="28"/>
  <c r="AF150" i="28"/>
  <c r="AF151" i="28"/>
  <c r="AF153" i="28"/>
  <c r="AK63" i="29"/>
  <c r="AG65" i="29"/>
  <c r="AD66" i="29"/>
  <c r="AM66" i="29"/>
  <c r="AL67" i="29"/>
  <c r="AM84" i="29"/>
  <c r="AG86" i="29"/>
  <c r="AI88" i="29"/>
  <c r="AG104" i="29"/>
  <c r="AD107" i="29"/>
  <c r="AI109" i="29"/>
  <c r="AF111" i="29"/>
  <c r="AJ124" i="29"/>
  <c r="AJ125" i="29"/>
  <c r="AL130" i="29"/>
  <c r="AL145" i="29"/>
  <c r="AF148" i="29"/>
  <c r="AI149" i="29"/>
  <c r="AF150" i="29"/>
  <c r="AD153" i="29"/>
  <c r="AI61" i="14"/>
  <c r="AL62" i="14"/>
  <c r="AH65" i="14"/>
  <c r="AH66" i="14"/>
  <c r="AF68" i="14"/>
  <c r="AD69" i="14"/>
  <c r="AG86" i="14"/>
  <c r="AD87" i="14"/>
  <c r="AM87" i="14"/>
  <c r="AM88" i="14"/>
  <c r="AF90" i="14"/>
  <c r="AD105" i="14"/>
  <c r="AL105" i="14"/>
  <c r="AJ108" i="14"/>
  <c r="AM111" i="14"/>
  <c r="AD132" i="14"/>
  <c r="AM132" i="14"/>
  <c r="AI147" i="14"/>
  <c r="AI149" i="14"/>
  <c r="AH150" i="14"/>
  <c r="AK151" i="14"/>
  <c r="AI152" i="14"/>
  <c r="AI153" i="14"/>
  <c r="AI85" i="28"/>
  <c r="AF87" i="28"/>
  <c r="AM89" i="28"/>
  <c r="AI103" i="28"/>
  <c r="AM124" i="28"/>
  <c r="AK126" i="28"/>
  <c r="AJ127" i="28"/>
  <c r="AH128" i="28"/>
  <c r="AE146" i="28"/>
  <c r="AM146" i="28"/>
  <c r="AM151" i="28"/>
  <c r="AG153" i="28"/>
  <c r="AH65" i="29"/>
  <c r="AM67" i="29"/>
  <c r="AI86" i="29"/>
  <c r="AL88" i="29"/>
  <c r="AH104" i="29"/>
  <c r="AD106" i="29"/>
  <c r="AF107" i="29"/>
  <c r="AK109" i="29"/>
  <c r="AG111" i="29"/>
  <c r="AL124" i="29"/>
  <c r="AL125" i="29"/>
  <c r="AD130" i="29"/>
  <c r="AM130" i="29"/>
  <c r="AH148" i="29"/>
  <c r="AJ149" i="29"/>
  <c r="AG150" i="29"/>
  <c r="AD152" i="29"/>
  <c r="AF153" i="29"/>
  <c r="AL61" i="14"/>
  <c r="AI65" i="14"/>
  <c r="AM66" i="14"/>
  <c r="AG68" i="14"/>
  <c r="AE69" i="14"/>
  <c r="AH86" i="14"/>
  <c r="AG90" i="14"/>
  <c r="AE105" i="14"/>
  <c r="AL108" i="14"/>
  <c r="AL151" i="14"/>
  <c r="AJ152" i="14"/>
  <c r="AL153" i="14"/>
  <c r="AL85" i="28"/>
  <c r="AJ103" i="28"/>
  <c r="AK127" i="28"/>
  <c r="AI128" i="28"/>
  <c r="AI65" i="29"/>
  <c r="AD69" i="29"/>
  <c r="AI104" i="29"/>
  <c r="AF106" i="29"/>
  <c r="AH111" i="29"/>
  <c r="AF146" i="29"/>
  <c r="AH150" i="29"/>
  <c r="AF152" i="29"/>
  <c r="AG153" i="29"/>
  <c r="AH68" i="14"/>
  <c r="AF69" i="14"/>
  <c r="AI86" i="14"/>
  <c r="AD89" i="14"/>
  <c r="AI90" i="14"/>
  <c r="AF132" i="14"/>
  <c r="AD151" i="14"/>
  <c r="AM151" i="14"/>
  <c r="AL152" i="14"/>
  <c r="AM153" i="14"/>
  <c r="AK103" i="28"/>
  <c r="AF125" i="28"/>
  <c r="AD127" i="28"/>
  <c r="AJ128" i="28"/>
  <c r="AI131" i="28"/>
  <c r="AI150" i="28"/>
  <c r="AF152" i="28"/>
  <c r="AG66" i="29"/>
  <c r="AE67" i="29"/>
  <c r="AD68" i="29"/>
  <c r="AF69" i="29"/>
  <c r="AG106" i="29"/>
  <c r="AJ111" i="29"/>
  <c r="AI150" i="29"/>
  <c r="AG152" i="29"/>
  <c r="AI68" i="14"/>
  <c r="AG69" i="14"/>
  <c r="AF89" i="14"/>
  <c r="AF148" i="14"/>
  <c r="AH61" i="14"/>
  <c r="AE62" i="14"/>
  <c r="AM62" i="14"/>
  <c r="AJ63" i="14"/>
  <c r="AG64" i="14"/>
  <c r="AD65" i="14"/>
  <c r="AL65" i="14"/>
  <c r="AI66" i="14"/>
  <c r="AH69" i="14"/>
  <c r="AJ82" i="14"/>
  <c r="AG83" i="14"/>
  <c r="AD84" i="14"/>
  <c r="AL84" i="14"/>
  <c r="AI85" i="14"/>
  <c r="AH88" i="14"/>
  <c r="AE89" i="14"/>
  <c r="AM89" i="14"/>
  <c r="AJ90" i="14"/>
  <c r="AD103" i="14"/>
  <c r="AL103" i="14"/>
  <c r="AI104" i="14"/>
  <c r="AH107" i="14"/>
  <c r="AE108" i="14"/>
  <c r="AM108" i="14"/>
  <c r="AJ109" i="14"/>
  <c r="AG110" i="14"/>
  <c r="AL111" i="14"/>
  <c r="AK125" i="14"/>
  <c r="AH126" i="14"/>
  <c r="AE127" i="14"/>
  <c r="AM127" i="14"/>
  <c r="AJ128" i="14"/>
  <c r="AG129" i="14"/>
  <c r="AI131" i="14"/>
  <c r="AH145" i="14"/>
  <c r="AE146" i="14"/>
  <c r="AM146" i="14"/>
  <c r="AJ147" i="14"/>
  <c r="AG148" i="14"/>
  <c r="AI150" i="14"/>
  <c r="AK152" i="14"/>
  <c r="AH153" i="14"/>
  <c r="AK63" i="14"/>
  <c r="AH64" i="14"/>
  <c r="AJ66" i="14"/>
  <c r="AK82" i="14"/>
  <c r="AH83" i="14"/>
  <c r="AJ85" i="14"/>
  <c r="AK90" i="14"/>
  <c r="AJ104" i="14"/>
  <c r="AK109" i="14"/>
  <c r="AH110" i="14"/>
  <c r="AK128" i="14"/>
  <c r="AH129" i="14"/>
  <c r="AJ131" i="14"/>
  <c r="AK147" i="14"/>
  <c r="AH148" i="14"/>
  <c r="AJ150" i="14"/>
  <c r="AJ61" i="14"/>
  <c r="AG62" i="14"/>
  <c r="AD63" i="14"/>
  <c r="AL63" i="14"/>
  <c r="AI64" i="14"/>
  <c r="AK66" i="14"/>
  <c r="AJ69" i="14"/>
  <c r="AD82" i="14"/>
  <c r="AL82" i="14"/>
  <c r="AI83" i="14"/>
  <c r="AK85" i="14"/>
  <c r="AJ88" i="14"/>
  <c r="AG89" i="14"/>
  <c r="AD90" i="14"/>
  <c r="AL90" i="14"/>
  <c r="AK104" i="14"/>
  <c r="AJ107" i="14"/>
  <c r="AG108" i="14"/>
  <c r="AD109" i="14"/>
  <c r="AL109" i="14"/>
  <c r="AI110" i="14"/>
  <c r="AE125" i="14"/>
  <c r="AJ126" i="14"/>
  <c r="AG127" i="14"/>
  <c r="AD128" i="14"/>
  <c r="AL128" i="14"/>
  <c r="AI129" i="14"/>
  <c r="AK131" i="14"/>
  <c r="AJ145" i="14"/>
  <c r="AG146" i="14"/>
  <c r="AD147" i="14"/>
  <c r="AL147" i="14"/>
  <c r="AI148" i="14"/>
  <c r="AK150" i="14"/>
  <c r="AE152" i="14"/>
  <c r="AJ153" i="14"/>
  <c r="AH62" i="14"/>
  <c r="AE63" i="14"/>
  <c r="AM63" i="14"/>
  <c r="AJ64" i="14"/>
  <c r="AD66" i="14"/>
  <c r="AL66" i="14"/>
  <c r="AE82" i="14"/>
  <c r="AM82" i="14"/>
  <c r="AJ83" i="14"/>
  <c r="AD85" i="14"/>
  <c r="AL85" i="14"/>
  <c r="AH89" i="14"/>
  <c r="AE90" i="14"/>
  <c r="AM90" i="14"/>
  <c r="AD104" i="14"/>
  <c r="AL104" i="14"/>
  <c r="AH108" i="14"/>
  <c r="AE109" i="14"/>
  <c r="AM109" i="14"/>
  <c r="AJ110" i="14"/>
  <c r="AH127" i="14"/>
  <c r="AE128" i="14"/>
  <c r="AM128" i="14"/>
  <c r="AJ129" i="14"/>
  <c r="AD131" i="14"/>
  <c r="AL131" i="14"/>
  <c r="AH146" i="14"/>
  <c r="AE147" i="14"/>
  <c r="AM147" i="14"/>
  <c r="AJ148" i="14"/>
  <c r="AD150" i="14"/>
  <c r="AL150" i="14"/>
  <c r="AK64" i="14"/>
  <c r="AK83" i="14"/>
  <c r="AM85" i="14"/>
  <c r="AE104" i="14"/>
  <c r="AM104" i="14"/>
  <c r="AK110" i="14"/>
  <c r="AK129" i="14"/>
  <c r="AE131" i="14"/>
  <c r="AM131" i="14"/>
  <c r="AK148" i="14"/>
  <c r="AM150" i="14"/>
  <c r="AF64" i="14"/>
  <c r="AF83" i="14"/>
  <c r="AG63" i="14"/>
  <c r="AD64" i="14"/>
  <c r="AL64" i="14"/>
  <c r="AG82" i="14"/>
  <c r="AD83" i="14"/>
  <c r="AL83" i="14"/>
  <c r="AD110" i="14"/>
  <c r="AL110" i="14"/>
  <c r="AD129" i="14"/>
  <c r="AL129" i="14"/>
  <c r="AG147" i="14"/>
  <c r="AD148" i="14"/>
  <c r="AL148" i="14"/>
  <c r="AE64" i="14"/>
  <c r="AE83" i="14"/>
  <c r="AE110" i="14"/>
  <c r="AE129" i="14"/>
  <c r="AE148" i="14"/>
  <c r="AD62" i="29"/>
  <c r="AL62" i="29"/>
  <c r="AD89" i="29"/>
  <c r="AL89" i="29"/>
  <c r="AD108" i="29"/>
  <c r="AL108" i="29"/>
  <c r="AD127" i="29"/>
  <c r="AL127" i="29"/>
  <c r="AD146" i="29"/>
  <c r="AL146" i="29"/>
  <c r="AH61" i="29"/>
  <c r="AE62" i="29"/>
  <c r="AM62" i="29"/>
  <c r="AJ63" i="29"/>
  <c r="AG64" i="29"/>
  <c r="AK68" i="29"/>
  <c r="AH69" i="29"/>
  <c r="AJ82" i="29"/>
  <c r="AG83" i="29"/>
  <c r="AK87" i="29"/>
  <c r="AH88" i="29"/>
  <c r="AE89" i="29"/>
  <c r="AM89" i="29"/>
  <c r="AJ90" i="29"/>
  <c r="AK106" i="29"/>
  <c r="AH107" i="29"/>
  <c r="AE108" i="29"/>
  <c r="AM108" i="29"/>
  <c r="AJ109" i="29"/>
  <c r="AG110" i="29"/>
  <c r="AK125" i="29"/>
  <c r="AH126" i="29"/>
  <c r="AE127" i="29"/>
  <c r="AM127" i="29"/>
  <c r="AJ128" i="29"/>
  <c r="AG129" i="29"/>
  <c r="AH145" i="29"/>
  <c r="AE146" i="29"/>
  <c r="AM146" i="29"/>
  <c r="AJ147" i="29"/>
  <c r="AG148" i="29"/>
  <c r="AK152" i="29"/>
  <c r="AH153" i="29"/>
  <c r="AF108" i="29"/>
  <c r="AF127" i="29"/>
  <c r="AJ61" i="29"/>
  <c r="AG62" i="29"/>
  <c r="AD63" i="29"/>
  <c r="AL63" i="29"/>
  <c r="AI64" i="29"/>
  <c r="AH67" i="29"/>
  <c r="AE68" i="29"/>
  <c r="AM68" i="29"/>
  <c r="AJ69" i="29"/>
  <c r="AD82" i="29"/>
  <c r="AL82" i="29"/>
  <c r="AI83" i="29"/>
  <c r="AH86" i="29"/>
  <c r="AE87" i="29"/>
  <c r="AM87" i="29"/>
  <c r="AJ88" i="29"/>
  <c r="AG89" i="29"/>
  <c r="AD90" i="29"/>
  <c r="AL90" i="29"/>
  <c r="AH105" i="29"/>
  <c r="AE106" i="29"/>
  <c r="AM106" i="29"/>
  <c r="AJ107" i="29"/>
  <c r="AG108" i="29"/>
  <c r="AD109" i="29"/>
  <c r="AL109" i="29"/>
  <c r="AI110" i="29"/>
  <c r="AH124" i="29"/>
  <c r="AE125" i="29"/>
  <c r="AM125" i="29"/>
  <c r="AJ126" i="29"/>
  <c r="AG127" i="29"/>
  <c r="AD128" i="29"/>
  <c r="AL128" i="29"/>
  <c r="AI129" i="29"/>
  <c r="AH132" i="29"/>
  <c r="AJ145" i="29"/>
  <c r="AG146" i="29"/>
  <c r="AD147" i="29"/>
  <c r="AL147" i="29"/>
  <c r="AI148" i="29"/>
  <c r="AH151" i="29"/>
  <c r="AE152" i="29"/>
  <c r="AM152" i="29"/>
  <c r="AJ153" i="29"/>
  <c r="AF89" i="29"/>
  <c r="AK61" i="29"/>
  <c r="AH62" i="29"/>
  <c r="AE63" i="29"/>
  <c r="AM63" i="29"/>
  <c r="AJ64" i="29"/>
  <c r="AK69" i="29"/>
  <c r="AE82" i="29"/>
  <c r="AM82" i="29"/>
  <c r="AJ83" i="29"/>
  <c r="AK88" i="29"/>
  <c r="AH89" i="29"/>
  <c r="AE90" i="29"/>
  <c r="AM90" i="29"/>
  <c r="AK107" i="29"/>
  <c r="AH108" i="29"/>
  <c r="AE109" i="29"/>
  <c r="AM109" i="29"/>
  <c r="AJ110" i="29"/>
  <c r="AK126" i="29"/>
  <c r="AH127" i="29"/>
  <c r="AE128" i="29"/>
  <c r="AM128" i="29"/>
  <c r="AJ129" i="29"/>
  <c r="AK145" i="29"/>
  <c r="AH146" i="29"/>
  <c r="AE147" i="29"/>
  <c r="AM147" i="29"/>
  <c r="AJ148" i="29"/>
  <c r="AK153" i="29"/>
  <c r="AI62" i="29"/>
  <c r="AK64" i="29"/>
  <c r="AK83" i="29"/>
  <c r="AI89" i="29"/>
  <c r="AI108" i="29"/>
  <c r="AK110" i="29"/>
  <c r="AI127" i="29"/>
  <c r="AK129" i="29"/>
  <c r="AI146" i="29"/>
  <c r="AK148" i="29"/>
  <c r="AE61" i="29"/>
  <c r="AJ62" i="29"/>
  <c r="AG63" i="29"/>
  <c r="AD64" i="29"/>
  <c r="AL64" i="29"/>
  <c r="AE69" i="29"/>
  <c r="AG82" i="29"/>
  <c r="AD83" i="29"/>
  <c r="AL83" i="29"/>
  <c r="AE88" i="29"/>
  <c r="AJ89" i="29"/>
  <c r="AG90" i="29"/>
  <c r="AE107" i="29"/>
  <c r="AJ108" i="29"/>
  <c r="AG109" i="29"/>
  <c r="AD110" i="29"/>
  <c r="AL110" i="29"/>
  <c r="AE126" i="29"/>
  <c r="AJ127" i="29"/>
  <c r="AG128" i="29"/>
  <c r="AD129" i="29"/>
  <c r="AL129" i="29"/>
  <c r="AE145" i="29"/>
  <c r="AJ146" i="29"/>
  <c r="AG147" i="29"/>
  <c r="AD148" i="29"/>
  <c r="AL148" i="29"/>
  <c r="AE153" i="29"/>
  <c r="AE64" i="29"/>
  <c r="AE83" i="29"/>
  <c r="AE110" i="29"/>
  <c r="AE129" i="29"/>
  <c r="AE148" i="29"/>
  <c r="AF64" i="28"/>
  <c r="AF129" i="28"/>
  <c r="AG64" i="28"/>
  <c r="AK68" i="28"/>
  <c r="AG83" i="28"/>
  <c r="AK87" i="28"/>
  <c r="AG110" i="28"/>
  <c r="AK125" i="28"/>
  <c r="AG129" i="28"/>
  <c r="AH145" i="28"/>
  <c r="AG148" i="28"/>
  <c r="AH153" i="28"/>
  <c r="AI61" i="28"/>
  <c r="AH64" i="28"/>
  <c r="AE65" i="28"/>
  <c r="AM65" i="28"/>
  <c r="AJ66" i="28"/>
  <c r="AG67" i="28"/>
  <c r="AD68" i="28"/>
  <c r="AL68" i="28"/>
  <c r="AI69" i="28"/>
  <c r="AH83" i="28"/>
  <c r="AE84" i="28"/>
  <c r="AM84" i="28"/>
  <c r="AJ85" i="28"/>
  <c r="AG86" i="28"/>
  <c r="AD87" i="28"/>
  <c r="AL87" i="28"/>
  <c r="AI88" i="28"/>
  <c r="AE103" i="28"/>
  <c r="AM103" i="28"/>
  <c r="AJ104" i="28"/>
  <c r="AG105" i="28"/>
  <c r="AD106" i="28"/>
  <c r="AL106" i="28"/>
  <c r="AI107" i="28"/>
  <c r="AH110" i="28"/>
  <c r="AE111" i="28"/>
  <c r="AM111" i="28"/>
  <c r="AG124" i="28"/>
  <c r="AD125" i="28"/>
  <c r="AL125" i="28"/>
  <c r="AI126" i="28"/>
  <c r="AK128" i="28"/>
  <c r="AH129" i="28"/>
  <c r="AE130" i="28"/>
  <c r="AM130" i="28"/>
  <c r="AJ131" i="28"/>
  <c r="AG132" i="28"/>
  <c r="AI145" i="28"/>
  <c r="AH148" i="28"/>
  <c r="AE149" i="28"/>
  <c r="AM149" i="28"/>
  <c r="AJ150" i="28"/>
  <c r="AG151" i="28"/>
  <c r="AD152" i="28"/>
  <c r="AL152" i="28"/>
  <c r="AI153" i="28"/>
  <c r="AF83" i="28"/>
  <c r="AJ61" i="28"/>
  <c r="AI64" i="28"/>
  <c r="AH67" i="28"/>
  <c r="AE68" i="28"/>
  <c r="AM68" i="28"/>
  <c r="AJ69" i="28"/>
  <c r="AI83" i="28"/>
  <c r="AK85" i="28"/>
  <c r="AH86" i="28"/>
  <c r="AE87" i="28"/>
  <c r="AM87" i="28"/>
  <c r="AJ88" i="28"/>
  <c r="AK104" i="28"/>
  <c r="AH105" i="28"/>
  <c r="AE106" i="28"/>
  <c r="AM106" i="28"/>
  <c r="AJ107" i="28"/>
  <c r="AI110" i="28"/>
  <c r="AH124" i="28"/>
  <c r="AE125" i="28"/>
  <c r="AM125" i="28"/>
  <c r="AJ126" i="28"/>
  <c r="AD128" i="28"/>
  <c r="AI129" i="28"/>
  <c r="AK131" i="28"/>
  <c r="AH132" i="28"/>
  <c r="AJ145" i="28"/>
  <c r="AI148" i="28"/>
  <c r="AK150" i="28"/>
  <c r="AH151" i="28"/>
  <c r="AE152" i="28"/>
  <c r="AM152" i="28"/>
  <c r="AJ153" i="28"/>
  <c r="AF110" i="28"/>
  <c r="AJ64" i="28"/>
  <c r="AJ83" i="28"/>
  <c r="AI105" i="28"/>
  <c r="AJ110" i="28"/>
  <c r="AJ129" i="28"/>
  <c r="AI132" i="28"/>
  <c r="AK145" i="28"/>
  <c r="AJ148" i="28"/>
  <c r="AI151" i="28"/>
  <c r="AK153" i="28"/>
  <c r="AD61" i="28"/>
  <c r="AL61" i="28"/>
  <c r="AK64" i="28"/>
  <c r="AH65" i="28"/>
  <c r="AJ67" i="28"/>
  <c r="AG68" i="28"/>
  <c r="AD69" i="28"/>
  <c r="AL69" i="28"/>
  <c r="AK83" i="28"/>
  <c r="AH84" i="28"/>
  <c r="AE85" i="28"/>
  <c r="AJ86" i="28"/>
  <c r="AG87" i="28"/>
  <c r="AD88" i="28"/>
  <c r="AL88" i="28"/>
  <c r="AE104" i="28"/>
  <c r="AJ105" i="28"/>
  <c r="AG106" i="28"/>
  <c r="AD107" i="28"/>
  <c r="AL107" i="28"/>
  <c r="AK110" i="28"/>
  <c r="AJ124" i="28"/>
  <c r="AG125" i="28"/>
  <c r="AD126" i="28"/>
  <c r="AL126" i="28"/>
  <c r="AK129" i="28"/>
  <c r="AE131" i="28"/>
  <c r="AJ132" i="28"/>
  <c r="AD145" i="28"/>
  <c r="AL145" i="28"/>
  <c r="AK148" i="28"/>
  <c r="AE150" i="28"/>
  <c r="AJ151" i="28"/>
  <c r="AG152" i="28"/>
  <c r="AD153" i="28"/>
  <c r="AL153" i="28"/>
  <c r="AE61" i="28"/>
  <c r="AD64" i="28"/>
  <c r="AL64" i="28"/>
  <c r="AK67" i="28"/>
  <c r="AH68" i="28"/>
  <c r="AE69" i="28"/>
  <c r="AD83" i="28"/>
  <c r="AL83" i="28"/>
  <c r="AK86" i="28"/>
  <c r="AH87" i="28"/>
  <c r="AE88" i="28"/>
  <c r="AK105" i="28"/>
  <c r="AH106" i="28"/>
  <c r="AE107" i="28"/>
  <c r="AD110" i="28"/>
  <c r="AL110" i="28"/>
  <c r="AK124" i="28"/>
  <c r="AH125" i="28"/>
  <c r="AE126" i="28"/>
  <c r="AD129" i="28"/>
  <c r="AL129" i="28"/>
  <c r="AK132" i="28"/>
  <c r="AE145" i="28"/>
  <c r="AD148" i="28"/>
  <c r="AL148" i="28"/>
  <c r="AK151" i="28"/>
  <c r="AE153" i="28"/>
  <c r="AE64" i="28"/>
  <c r="AD67" i="28"/>
  <c r="AE83" i="28"/>
  <c r="AD86" i="28"/>
  <c r="AD105" i="28"/>
  <c r="AE110" i="28"/>
  <c r="AD124" i="28"/>
  <c r="AE129" i="28"/>
  <c r="AD132" i="28"/>
  <c r="AE148" i="28"/>
  <c r="AH61" i="27"/>
  <c r="AE62" i="27"/>
  <c r="AM62" i="27"/>
  <c r="AJ63" i="27"/>
  <c r="AG64" i="27"/>
  <c r="AK68" i="27"/>
  <c r="AH69" i="27"/>
  <c r="AJ82" i="27"/>
  <c r="AG83" i="27"/>
  <c r="AK87" i="27"/>
  <c r="AH88" i="27"/>
  <c r="AE89" i="27"/>
  <c r="AM89" i="27"/>
  <c r="AJ90" i="27"/>
  <c r="AK106" i="27"/>
  <c r="AH107" i="27"/>
  <c r="AE108" i="27"/>
  <c r="AM108" i="27"/>
  <c r="AJ109" i="27"/>
  <c r="AG110" i="27"/>
  <c r="AK125" i="27"/>
  <c r="AH126" i="27"/>
  <c r="AE127" i="27"/>
  <c r="AM127" i="27"/>
  <c r="AJ128" i="27"/>
  <c r="AG129" i="27"/>
  <c r="AH145" i="27"/>
  <c r="AE146" i="27"/>
  <c r="AM146" i="27"/>
  <c r="AJ147" i="27"/>
  <c r="AG148" i="27"/>
  <c r="AK152" i="27"/>
  <c r="AH153" i="27"/>
  <c r="AH64" i="27"/>
  <c r="AJ61" i="27"/>
  <c r="AG62" i="27"/>
  <c r="AD63" i="27"/>
  <c r="AL63" i="27"/>
  <c r="AI64" i="27"/>
  <c r="AH67" i="27"/>
  <c r="AE68" i="27"/>
  <c r="AM68" i="27"/>
  <c r="AJ69" i="27"/>
  <c r="AD82" i="27"/>
  <c r="AL82" i="27"/>
  <c r="AI83" i="27"/>
  <c r="AH86" i="27"/>
  <c r="AE87" i="27"/>
  <c r="AM87" i="27"/>
  <c r="AJ88" i="27"/>
  <c r="AG89" i="27"/>
  <c r="AD90" i="27"/>
  <c r="AL90" i="27"/>
  <c r="AH105" i="27"/>
  <c r="AE106" i="27"/>
  <c r="AM106" i="27"/>
  <c r="AJ107" i="27"/>
  <c r="AG108" i="27"/>
  <c r="AD109" i="27"/>
  <c r="AL109" i="27"/>
  <c r="AI110" i="27"/>
  <c r="AH124" i="27"/>
  <c r="AE125" i="27"/>
  <c r="AM125" i="27"/>
  <c r="AJ126" i="27"/>
  <c r="AG127" i="27"/>
  <c r="AD128" i="27"/>
  <c r="AL128" i="27"/>
  <c r="AI129" i="27"/>
  <c r="AH132" i="27"/>
  <c r="AJ145" i="27"/>
  <c r="AG146" i="27"/>
  <c r="AD147" i="27"/>
  <c r="AL147" i="27"/>
  <c r="AI148" i="27"/>
  <c r="AH151" i="27"/>
  <c r="AE152" i="27"/>
  <c r="AM152" i="27"/>
  <c r="AJ153" i="27"/>
  <c r="AH110" i="27"/>
  <c r="AH148" i="27"/>
  <c r="AK61" i="27"/>
  <c r="AH62" i="27"/>
  <c r="AE63" i="27"/>
  <c r="AM63" i="27"/>
  <c r="AJ64" i="27"/>
  <c r="AK69" i="27"/>
  <c r="AE82" i="27"/>
  <c r="AM82" i="27"/>
  <c r="AJ83" i="27"/>
  <c r="AK88" i="27"/>
  <c r="AH89" i="27"/>
  <c r="AE90" i="27"/>
  <c r="AM90" i="27"/>
  <c r="AK107" i="27"/>
  <c r="AH108" i="27"/>
  <c r="AE109" i="27"/>
  <c r="AM109" i="27"/>
  <c r="AJ110" i="27"/>
  <c r="AK126" i="27"/>
  <c r="AH127" i="27"/>
  <c r="AE128" i="27"/>
  <c r="AM128" i="27"/>
  <c r="AJ129" i="27"/>
  <c r="AK145" i="27"/>
  <c r="AH146" i="27"/>
  <c r="AE147" i="27"/>
  <c r="AM147" i="27"/>
  <c r="AJ148" i="27"/>
  <c r="AK153" i="27"/>
  <c r="AH83" i="27"/>
  <c r="AH129" i="27"/>
  <c r="AD61" i="27"/>
  <c r="AL61" i="27"/>
  <c r="AI62" i="27"/>
  <c r="AK64" i="27"/>
  <c r="AD69" i="27"/>
  <c r="AL69" i="27"/>
  <c r="AK83" i="27"/>
  <c r="AD88" i="27"/>
  <c r="AL88" i="27"/>
  <c r="AI89" i="27"/>
  <c r="AD107" i="27"/>
  <c r="AL107" i="27"/>
  <c r="AI108" i="27"/>
  <c r="AK110" i="27"/>
  <c r="AD126" i="27"/>
  <c r="AL126" i="27"/>
  <c r="AI127" i="27"/>
  <c r="AK129" i="27"/>
  <c r="AD145" i="27"/>
  <c r="AL145" i="27"/>
  <c r="AI146" i="27"/>
  <c r="AK148" i="27"/>
  <c r="AD153" i="27"/>
  <c r="AL153" i="27"/>
  <c r="AF62" i="27"/>
  <c r="AF127" i="27"/>
  <c r="AE61" i="27"/>
  <c r="AJ62" i="27"/>
  <c r="AD64" i="27"/>
  <c r="AL64" i="27"/>
  <c r="AE69" i="27"/>
  <c r="AD83" i="27"/>
  <c r="AL83" i="27"/>
  <c r="AE88" i="27"/>
  <c r="AJ89" i="27"/>
  <c r="AE107" i="27"/>
  <c r="AJ108" i="27"/>
  <c r="AD110" i="27"/>
  <c r="AL110" i="27"/>
  <c r="AE126" i="27"/>
  <c r="AJ127" i="27"/>
  <c r="AD129" i="27"/>
  <c r="AL129" i="27"/>
  <c r="AE145" i="27"/>
  <c r="AJ146" i="27"/>
  <c r="AD148" i="27"/>
  <c r="AL148" i="27"/>
  <c r="AE153" i="27"/>
  <c r="AF89" i="27"/>
  <c r="AF108" i="27"/>
  <c r="AF146" i="27"/>
  <c r="AE64" i="27"/>
  <c r="AE83" i="27"/>
  <c r="AE110" i="27"/>
  <c r="AE129" i="27"/>
  <c r="AE148" i="27"/>
  <c r="AF64" i="26"/>
  <c r="AF129" i="26"/>
  <c r="AF148" i="26"/>
  <c r="AH61" i="26"/>
  <c r="AE62" i="26"/>
  <c r="AM62" i="26"/>
  <c r="AJ63" i="26"/>
  <c r="AG64" i="26"/>
  <c r="AD65" i="26"/>
  <c r="AL65" i="26"/>
  <c r="AI66" i="26"/>
  <c r="AH69" i="26"/>
  <c r="AJ82" i="26"/>
  <c r="AG83" i="26"/>
  <c r="AD84" i="26"/>
  <c r="AL84" i="26"/>
  <c r="AI85" i="26"/>
  <c r="AH88" i="26"/>
  <c r="AE89" i="26"/>
  <c r="AM89" i="26"/>
  <c r="AJ90" i="26"/>
  <c r="AD103" i="26"/>
  <c r="AL103" i="26"/>
  <c r="AI104" i="26"/>
  <c r="AH107" i="26"/>
  <c r="AE108" i="26"/>
  <c r="AM108" i="26"/>
  <c r="AJ109" i="26"/>
  <c r="AG110" i="26"/>
  <c r="AD111" i="26"/>
  <c r="AL111" i="26"/>
  <c r="AK125" i="26"/>
  <c r="AH126" i="26"/>
  <c r="AE127" i="26"/>
  <c r="AM127" i="26"/>
  <c r="AJ128" i="26"/>
  <c r="AG129" i="26"/>
  <c r="AI131" i="26"/>
  <c r="AH145" i="26"/>
  <c r="AE146" i="26"/>
  <c r="AM146" i="26"/>
  <c r="AJ147" i="26"/>
  <c r="AG148" i="26"/>
  <c r="AI150" i="26"/>
  <c r="AK152" i="26"/>
  <c r="AH153" i="26"/>
  <c r="AI61" i="26"/>
  <c r="AK63" i="26"/>
  <c r="AH64" i="26"/>
  <c r="AJ66" i="26"/>
  <c r="AI69" i="26"/>
  <c r="AK82" i="26"/>
  <c r="AH83" i="26"/>
  <c r="AJ85" i="26"/>
  <c r="AI88" i="26"/>
  <c r="AK90" i="26"/>
  <c r="AJ104" i="26"/>
  <c r="AI107" i="26"/>
  <c r="AK109" i="26"/>
  <c r="AH110" i="26"/>
  <c r="AI126" i="26"/>
  <c r="AK128" i="26"/>
  <c r="AH129" i="26"/>
  <c r="AJ131" i="26"/>
  <c r="AI145" i="26"/>
  <c r="AK147" i="26"/>
  <c r="AH148" i="26"/>
  <c r="AJ150" i="26"/>
  <c r="AI153" i="26"/>
  <c r="AJ61" i="26"/>
  <c r="AG62" i="26"/>
  <c r="AD63" i="26"/>
  <c r="AL63" i="26"/>
  <c r="AI64" i="26"/>
  <c r="AK66" i="26"/>
  <c r="AJ69" i="26"/>
  <c r="AD82" i="26"/>
  <c r="AL82" i="26"/>
  <c r="AI83" i="26"/>
  <c r="AK85" i="26"/>
  <c r="AJ88" i="26"/>
  <c r="AG89" i="26"/>
  <c r="AD90" i="26"/>
  <c r="AL90" i="26"/>
  <c r="AK104" i="26"/>
  <c r="AJ107" i="26"/>
  <c r="AG108" i="26"/>
  <c r="AD109" i="26"/>
  <c r="AL109" i="26"/>
  <c r="AI110" i="26"/>
  <c r="AE125" i="26"/>
  <c r="AJ126" i="26"/>
  <c r="AG127" i="26"/>
  <c r="AD128" i="26"/>
  <c r="AL128" i="26"/>
  <c r="AI129" i="26"/>
  <c r="AK131" i="26"/>
  <c r="AJ145" i="26"/>
  <c r="AG146" i="26"/>
  <c r="AD147" i="26"/>
  <c r="AL147" i="26"/>
  <c r="AI148" i="26"/>
  <c r="AK150" i="26"/>
  <c r="AE152" i="26"/>
  <c r="AJ153" i="26"/>
  <c r="AF110" i="26"/>
  <c r="AH62" i="26"/>
  <c r="AE63" i="26"/>
  <c r="AM63" i="26"/>
  <c r="AJ64" i="26"/>
  <c r="AD66" i="26"/>
  <c r="AL66" i="26"/>
  <c r="AE82" i="26"/>
  <c r="AM82" i="26"/>
  <c r="AJ83" i="26"/>
  <c r="AD85" i="26"/>
  <c r="AL85" i="26"/>
  <c r="AE90" i="26"/>
  <c r="AM90" i="26"/>
  <c r="AD104" i="26"/>
  <c r="AL104" i="26"/>
  <c r="AE109" i="26"/>
  <c r="AM109" i="26"/>
  <c r="AJ110" i="26"/>
  <c r="AE128" i="26"/>
  <c r="AM128" i="26"/>
  <c r="AJ129" i="26"/>
  <c r="AD131" i="26"/>
  <c r="AL131" i="26"/>
  <c r="AE147" i="26"/>
  <c r="AM147" i="26"/>
  <c r="AJ148" i="26"/>
  <c r="AD150" i="26"/>
  <c r="AL150" i="26"/>
  <c r="AK64" i="26"/>
  <c r="AE66" i="26"/>
  <c r="AM66" i="26"/>
  <c r="AK83" i="26"/>
  <c r="AE85" i="26"/>
  <c r="AM85" i="26"/>
  <c r="AE104" i="26"/>
  <c r="AM104" i="26"/>
  <c r="AK110" i="26"/>
  <c r="AK129" i="26"/>
  <c r="AM131" i="26"/>
  <c r="AK148" i="26"/>
  <c r="AM150" i="26"/>
  <c r="AD64" i="26"/>
  <c r="AL64" i="26"/>
  <c r="AD83" i="26"/>
  <c r="AL83" i="26"/>
  <c r="AD110" i="26"/>
  <c r="AL110" i="26"/>
  <c r="AD129" i="26"/>
  <c r="AL129" i="26"/>
  <c r="AD148" i="26"/>
  <c r="AL148" i="26"/>
  <c r="AE64" i="26"/>
  <c r="AE83" i="26"/>
  <c r="AE110" i="26"/>
  <c r="AE129" i="26"/>
  <c r="AE148" i="26"/>
  <c r="AF129" i="25"/>
  <c r="AH61" i="25"/>
  <c r="AJ63" i="25"/>
  <c r="AG64" i="25"/>
  <c r="AD65" i="25"/>
  <c r="AL65" i="25"/>
  <c r="AI66" i="25"/>
  <c r="AK68" i="25"/>
  <c r="AH69" i="25"/>
  <c r="AJ82" i="25"/>
  <c r="AG83" i="25"/>
  <c r="AD84" i="25"/>
  <c r="AL84" i="25"/>
  <c r="AI85" i="25"/>
  <c r="AK87" i="25"/>
  <c r="AH88" i="25"/>
  <c r="AJ90" i="25"/>
  <c r="AD103" i="25"/>
  <c r="AL103" i="25"/>
  <c r="AI104" i="25"/>
  <c r="AK106" i="25"/>
  <c r="AH107" i="25"/>
  <c r="AE108" i="25"/>
  <c r="AJ109" i="25"/>
  <c r="AG110" i="25"/>
  <c r="AD111" i="25"/>
  <c r="AL111" i="25"/>
  <c r="AK125" i="25"/>
  <c r="AH126" i="25"/>
  <c r="AJ128" i="25"/>
  <c r="AG129" i="25"/>
  <c r="AD130" i="25"/>
  <c r="AL130" i="25"/>
  <c r="AI131" i="25"/>
  <c r="AH145" i="25"/>
  <c r="AJ147" i="25"/>
  <c r="AG148" i="25"/>
  <c r="AD149" i="25"/>
  <c r="AL149" i="25"/>
  <c r="AI150" i="25"/>
  <c r="AK152" i="25"/>
  <c r="AH153" i="25"/>
  <c r="AI61" i="25"/>
  <c r="AK63" i="25"/>
  <c r="AH64" i="25"/>
  <c r="AE65" i="25"/>
  <c r="AM65" i="25"/>
  <c r="AJ66" i="25"/>
  <c r="AD68" i="25"/>
  <c r="AI69" i="25"/>
  <c r="AK82" i="25"/>
  <c r="AH83" i="25"/>
  <c r="AE84" i="25"/>
  <c r="AM84" i="25"/>
  <c r="AJ85" i="25"/>
  <c r="AD87" i="25"/>
  <c r="AI88" i="25"/>
  <c r="AK90" i="25"/>
  <c r="AE103" i="25"/>
  <c r="AM103" i="25"/>
  <c r="AJ104" i="25"/>
  <c r="AD106" i="25"/>
  <c r="AI107" i="25"/>
  <c r="AK109" i="25"/>
  <c r="AH110" i="25"/>
  <c r="AE111" i="25"/>
  <c r="AM111" i="25"/>
  <c r="AD125" i="25"/>
  <c r="AI126" i="25"/>
  <c r="AK128" i="25"/>
  <c r="AH129" i="25"/>
  <c r="AE130" i="25"/>
  <c r="AM130" i="25"/>
  <c r="AJ131" i="25"/>
  <c r="AI145" i="25"/>
  <c r="AK147" i="25"/>
  <c r="AH148" i="25"/>
  <c r="AE149" i="25"/>
  <c r="AM149" i="25"/>
  <c r="AJ150" i="25"/>
  <c r="AD152" i="25"/>
  <c r="AI153" i="25"/>
  <c r="AF64" i="25"/>
  <c r="AJ61" i="25"/>
  <c r="AD63" i="25"/>
  <c r="AL63" i="25"/>
  <c r="AI64" i="25"/>
  <c r="AK66" i="25"/>
  <c r="AJ69" i="25"/>
  <c r="AD82" i="25"/>
  <c r="AL82" i="25"/>
  <c r="AI83" i="25"/>
  <c r="AK85" i="25"/>
  <c r="AJ88" i="25"/>
  <c r="AD90" i="25"/>
  <c r="AL90" i="25"/>
  <c r="AK104" i="25"/>
  <c r="AJ107" i="25"/>
  <c r="AD109" i="25"/>
  <c r="AL109" i="25"/>
  <c r="AI110" i="25"/>
  <c r="AJ126" i="25"/>
  <c r="AD128" i="25"/>
  <c r="AL128" i="25"/>
  <c r="AI129" i="25"/>
  <c r="AK131" i="25"/>
  <c r="AJ145" i="25"/>
  <c r="AD147" i="25"/>
  <c r="AL147" i="25"/>
  <c r="AI148" i="25"/>
  <c r="AK150" i="25"/>
  <c r="AJ153" i="25"/>
  <c r="AK61" i="25"/>
  <c r="AE63" i="25"/>
  <c r="AM63" i="25"/>
  <c r="AJ64" i="25"/>
  <c r="AD66" i="25"/>
  <c r="AK69" i="25"/>
  <c r="AE82" i="25"/>
  <c r="AM82" i="25"/>
  <c r="AJ83" i="25"/>
  <c r="AD85" i="25"/>
  <c r="AK88" i="25"/>
  <c r="AE90" i="25"/>
  <c r="AD104" i="25"/>
  <c r="AL104" i="25"/>
  <c r="AK107" i="25"/>
  <c r="AE109" i="25"/>
  <c r="AJ110" i="25"/>
  <c r="AK126" i="25"/>
  <c r="AE128" i="25"/>
  <c r="AJ129" i="25"/>
  <c r="AD131" i="25"/>
  <c r="AL131" i="25"/>
  <c r="AK145" i="25"/>
  <c r="AE147" i="25"/>
  <c r="AJ148" i="25"/>
  <c r="AD150" i="25"/>
  <c r="AL150" i="25"/>
  <c r="AK153" i="25"/>
  <c r="AD61" i="25"/>
  <c r="AL61" i="25"/>
  <c r="AK64" i="25"/>
  <c r="AD69" i="25"/>
  <c r="AL69" i="25"/>
  <c r="AK83" i="25"/>
  <c r="AD88" i="25"/>
  <c r="AL88" i="25"/>
  <c r="AE104" i="25"/>
  <c r="AD107" i="25"/>
  <c r="AL107" i="25"/>
  <c r="AK110" i="25"/>
  <c r="AD126" i="25"/>
  <c r="AL126" i="25"/>
  <c r="AK129" i="25"/>
  <c r="AE131" i="25"/>
  <c r="AD145" i="25"/>
  <c r="AL145" i="25"/>
  <c r="AK148" i="25"/>
  <c r="AE150" i="25"/>
  <c r="AD153" i="25"/>
  <c r="AL153" i="25"/>
  <c r="AF83" i="25"/>
  <c r="AE61" i="25"/>
  <c r="AD64" i="25"/>
  <c r="AL64" i="25"/>
  <c r="AE69" i="25"/>
  <c r="AD83" i="25"/>
  <c r="AL83" i="25"/>
  <c r="AE88" i="25"/>
  <c r="AE107" i="25"/>
  <c r="AD110" i="25"/>
  <c r="AL110" i="25"/>
  <c r="AE126" i="25"/>
  <c r="AD129" i="25"/>
  <c r="AL129" i="25"/>
  <c r="AE145" i="25"/>
  <c r="AD148" i="25"/>
  <c r="AL148" i="25"/>
  <c r="AE153" i="25"/>
  <c r="AF110" i="25"/>
  <c r="AE64" i="25"/>
  <c r="AE83" i="25"/>
  <c r="AE110" i="25"/>
  <c r="AE129" i="25"/>
  <c r="AE148" i="25"/>
  <c r="AH61" i="24"/>
  <c r="AE62" i="24"/>
  <c r="AM62" i="24"/>
  <c r="AJ63" i="24"/>
  <c r="AG64" i="24"/>
  <c r="AD65" i="24"/>
  <c r="AL65" i="24"/>
  <c r="AK68" i="24"/>
  <c r="AH69" i="24"/>
  <c r="AG83" i="24"/>
  <c r="AD84" i="24"/>
  <c r="AL84" i="24"/>
  <c r="AK87" i="24"/>
  <c r="AH88" i="24"/>
  <c r="AE89" i="24"/>
  <c r="AM89" i="24"/>
  <c r="AD103" i="24"/>
  <c r="AL103" i="24"/>
  <c r="AK106" i="24"/>
  <c r="AH107" i="24"/>
  <c r="AE108" i="24"/>
  <c r="AM108" i="24"/>
  <c r="AG110" i="24"/>
  <c r="AD111" i="24"/>
  <c r="AL111" i="24"/>
  <c r="AK125" i="24"/>
  <c r="AH126" i="24"/>
  <c r="AE127" i="24"/>
  <c r="AM127" i="24"/>
  <c r="AG129" i="24"/>
  <c r="AD130" i="24"/>
  <c r="AL130" i="24"/>
  <c r="AH145" i="24"/>
  <c r="AE146" i="24"/>
  <c r="AM146" i="24"/>
  <c r="AG148" i="24"/>
  <c r="AD149" i="24"/>
  <c r="AL149" i="24"/>
  <c r="AK152" i="24"/>
  <c r="AH153" i="24"/>
  <c r="AG62" i="24"/>
  <c r="AI64" i="24"/>
  <c r="AI83" i="24"/>
  <c r="AG89" i="24"/>
  <c r="AG108" i="24"/>
  <c r="AI110" i="24"/>
  <c r="AG127" i="24"/>
  <c r="AI129" i="24"/>
  <c r="AG146" i="24"/>
  <c r="AI148" i="24"/>
  <c r="AF83" i="24"/>
  <c r="AH64" i="24"/>
  <c r="AF108" i="24"/>
  <c r="AF127" i="24"/>
  <c r="AK61" i="24"/>
  <c r="AH62" i="24"/>
  <c r="AJ64" i="24"/>
  <c r="AG65" i="24"/>
  <c r="AK69" i="24"/>
  <c r="AJ83" i="24"/>
  <c r="AG84" i="24"/>
  <c r="AK88" i="24"/>
  <c r="AH89" i="24"/>
  <c r="AG103" i="24"/>
  <c r="AK107" i="24"/>
  <c r="AH108" i="24"/>
  <c r="AJ110" i="24"/>
  <c r="AG111" i="24"/>
  <c r="AK126" i="24"/>
  <c r="AH127" i="24"/>
  <c r="AJ129" i="24"/>
  <c r="AG130" i="24"/>
  <c r="AK145" i="24"/>
  <c r="AH146" i="24"/>
  <c r="AJ148" i="24"/>
  <c r="AG149" i="24"/>
  <c r="AK153" i="24"/>
  <c r="AF89" i="24"/>
  <c r="AD61" i="24"/>
  <c r="AL61" i="24"/>
  <c r="AI62" i="24"/>
  <c r="AK64" i="24"/>
  <c r="AH65" i="24"/>
  <c r="AG68" i="24"/>
  <c r="AD69" i="24"/>
  <c r="AL69" i="24"/>
  <c r="AK83" i="24"/>
  <c r="AH84" i="24"/>
  <c r="AE85" i="24"/>
  <c r="AJ86" i="24"/>
  <c r="AG87" i="24"/>
  <c r="AD88" i="24"/>
  <c r="AL88" i="24"/>
  <c r="AI89" i="24"/>
  <c r="AH103" i="24"/>
  <c r="AE104" i="24"/>
  <c r="AJ105" i="24"/>
  <c r="AG106" i="24"/>
  <c r="AD107" i="24"/>
  <c r="AL107" i="24"/>
  <c r="AI108" i="24"/>
  <c r="AK110" i="24"/>
  <c r="AH111" i="24"/>
  <c r="AJ124" i="24"/>
  <c r="AG125" i="24"/>
  <c r="AD126" i="24"/>
  <c r="AL126" i="24"/>
  <c r="AI127" i="24"/>
  <c r="AK129" i="24"/>
  <c r="AH130" i="24"/>
  <c r="AE131" i="24"/>
  <c r="AJ132" i="24"/>
  <c r="AD145" i="24"/>
  <c r="AL145" i="24"/>
  <c r="AI146" i="24"/>
  <c r="AK148" i="24"/>
  <c r="AH149" i="24"/>
  <c r="AE150" i="24"/>
  <c r="AJ151" i="24"/>
  <c r="AG152" i="24"/>
  <c r="AD153" i="24"/>
  <c r="AL153" i="24"/>
  <c r="AH83" i="24"/>
  <c r="AH110" i="24"/>
  <c r="AF146" i="24"/>
  <c r="AH148" i="24"/>
  <c r="AE61" i="24"/>
  <c r="AJ62" i="24"/>
  <c r="AD64" i="24"/>
  <c r="AL64" i="24"/>
  <c r="AI65" i="24"/>
  <c r="AE69" i="24"/>
  <c r="AD83" i="24"/>
  <c r="AL83" i="24"/>
  <c r="AI84" i="24"/>
  <c r="AE88" i="24"/>
  <c r="AJ89" i="24"/>
  <c r="AI103" i="24"/>
  <c r="AE107" i="24"/>
  <c r="AJ108" i="24"/>
  <c r="AD110" i="24"/>
  <c r="AL110" i="24"/>
  <c r="AI111" i="24"/>
  <c r="AE126" i="24"/>
  <c r="AJ127" i="24"/>
  <c r="AD129" i="24"/>
  <c r="AL129" i="24"/>
  <c r="AI130" i="24"/>
  <c r="AE145" i="24"/>
  <c r="AJ146" i="24"/>
  <c r="AD148" i="24"/>
  <c r="AL148" i="24"/>
  <c r="AI149" i="24"/>
  <c r="AE153" i="24"/>
  <c r="AH129" i="24"/>
  <c r="AE64" i="24"/>
  <c r="AE83" i="24"/>
  <c r="AE110" i="24"/>
  <c r="AE129" i="24"/>
  <c r="AE148" i="24"/>
  <c r="AH61" i="23"/>
  <c r="AE62" i="23"/>
  <c r="AM62" i="23"/>
  <c r="AG64" i="23"/>
  <c r="AD65" i="23"/>
  <c r="AL65" i="23"/>
  <c r="AK68" i="23"/>
  <c r="AH69" i="23"/>
  <c r="AG83" i="23"/>
  <c r="AD84" i="23"/>
  <c r="AL84" i="23"/>
  <c r="AK87" i="23"/>
  <c r="AH88" i="23"/>
  <c r="AE89" i="23"/>
  <c r="AM89" i="23"/>
  <c r="AD103" i="23"/>
  <c r="AL103" i="23"/>
  <c r="AK106" i="23"/>
  <c r="AH107" i="23"/>
  <c r="AE108" i="23"/>
  <c r="AM108" i="23"/>
  <c r="AG110" i="23"/>
  <c r="AD111" i="23"/>
  <c r="AL111" i="23"/>
  <c r="AK125" i="23"/>
  <c r="AH126" i="23"/>
  <c r="AE127" i="23"/>
  <c r="AM127" i="23"/>
  <c r="AG129" i="23"/>
  <c r="AD130" i="23"/>
  <c r="AL130" i="23"/>
  <c r="AH145" i="23"/>
  <c r="AE146" i="23"/>
  <c r="AM146" i="23"/>
  <c r="AG148" i="23"/>
  <c r="AD149" i="23"/>
  <c r="AL149" i="23"/>
  <c r="AK152" i="23"/>
  <c r="AH153" i="23"/>
  <c r="AI61" i="23"/>
  <c r="AI69" i="23"/>
  <c r="AH83" i="23"/>
  <c r="AI88" i="23"/>
  <c r="AI107" i="23"/>
  <c r="AH110" i="23"/>
  <c r="AI126" i="23"/>
  <c r="AH129" i="23"/>
  <c r="AI145" i="23"/>
  <c r="AH148" i="23"/>
  <c r="AI153" i="23"/>
  <c r="AF83" i="23"/>
  <c r="AJ61" i="23"/>
  <c r="AG62" i="23"/>
  <c r="AI64" i="23"/>
  <c r="AJ69" i="23"/>
  <c r="AI83" i="23"/>
  <c r="AJ88" i="23"/>
  <c r="AG89" i="23"/>
  <c r="AJ107" i="23"/>
  <c r="AG108" i="23"/>
  <c r="AI110" i="23"/>
  <c r="AJ126" i="23"/>
  <c r="AG127" i="23"/>
  <c r="AI129" i="23"/>
  <c r="AJ145" i="23"/>
  <c r="AG146" i="23"/>
  <c r="AI148" i="23"/>
  <c r="AJ153" i="23"/>
  <c r="AH64" i="23"/>
  <c r="AK61" i="23"/>
  <c r="AH62" i="23"/>
  <c r="AJ64" i="23"/>
  <c r="AG65" i="23"/>
  <c r="AK69" i="23"/>
  <c r="AJ83" i="23"/>
  <c r="AG84" i="23"/>
  <c r="AK88" i="23"/>
  <c r="AH89" i="23"/>
  <c r="AG103" i="23"/>
  <c r="AK107" i="23"/>
  <c r="AH108" i="23"/>
  <c r="AJ110" i="23"/>
  <c r="AG111" i="23"/>
  <c r="AK126" i="23"/>
  <c r="AH127" i="23"/>
  <c r="AJ129" i="23"/>
  <c r="AG130" i="23"/>
  <c r="AK145" i="23"/>
  <c r="AH146" i="23"/>
  <c r="AJ148" i="23"/>
  <c r="AG149" i="23"/>
  <c r="AK153" i="23"/>
  <c r="AD61" i="23"/>
  <c r="AL61" i="23"/>
  <c r="AI62" i="23"/>
  <c r="AK64" i="23"/>
  <c r="AH65" i="23"/>
  <c r="AE66" i="23"/>
  <c r="AJ67" i="23"/>
  <c r="AG68" i="23"/>
  <c r="AD69" i="23"/>
  <c r="AL69" i="23"/>
  <c r="AK83" i="23"/>
  <c r="AH84" i="23"/>
  <c r="AJ86" i="23"/>
  <c r="AG87" i="23"/>
  <c r="AD88" i="23"/>
  <c r="AL88" i="23"/>
  <c r="AI89" i="23"/>
  <c r="AH103" i="23"/>
  <c r="AE104" i="23"/>
  <c r="AJ105" i="23"/>
  <c r="AG106" i="23"/>
  <c r="AD107" i="23"/>
  <c r="AL107" i="23"/>
  <c r="AI108" i="23"/>
  <c r="AK110" i="23"/>
  <c r="AH111" i="23"/>
  <c r="AJ124" i="23"/>
  <c r="AG125" i="23"/>
  <c r="AD126" i="23"/>
  <c r="AL126" i="23"/>
  <c r="AI127" i="23"/>
  <c r="AK129" i="23"/>
  <c r="AH130" i="23"/>
  <c r="AE131" i="23"/>
  <c r="AJ132" i="23"/>
  <c r="AD145" i="23"/>
  <c r="AL145" i="23"/>
  <c r="AI146" i="23"/>
  <c r="AK148" i="23"/>
  <c r="AH149" i="23"/>
  <c r="AE150" i="23"/>
  <c r="AJ151" i="23"/>
  <c r="AG152" i="23"/>
  <c r="AD153" i="23"/>
  <c r="AL153" i="23"/>
  <c r="AF62" i="23"/>
  <c r="AE61" i="23"/>
  <c r="AJ62" i="23"/>
  <c r="AD64" i="23"/>
  <c r="AL64" i="23"/>
  <c r="AE69" i="23"/>
  <c r="AD83" i="23"/>
  <c r="AL83" i="23"/>
  <c r="AE88" i="23"/>
  <c r="AE107" i="23"/>
  <c r="AD110" i="23"/>
  <c r="AL110" i="23"/>
  <c r="AE126" i="23"/>
  <c r="AD129" i="23"/>
  <c r="AL129" i="23"/>
  <c r="AE145" i="23"/>
  <c r="AD148" i="23"/>
  <c r="AL148" i="23"/>
  <c r="AE153" i="23"/>
  <c r="AE64" i="23"/>
  <c r="AE83" i="23"/>
  <c r="AE110" i="23"/>
  <c r="AE129" i="23"/>
  <c r="AE148" i="23"/>
  <c r="AF64" i="22"/>
  <c r="AF129" i="22"/>
  <c r="AH61" i="22"/>
  <c r="AE62" i="22"/>
  <c r="AM62" i="22"/>
  <c r="AJ63" i="22"/>
  <c r="AG64" i="22"/>
  <c r="AI66" i="22"/>
  <c r="AK68" i="22"/>
  <c r="AH69" i="22"/>
  <c r="AJ82" i="22"/>
  <c r="AG83" i="22"/>
  <c r="AI85" i="22"/>
  <c r="AK87" i="22"/>
  <c r="AH88" i="22"/>
  <c r="AE89" i="22"/>
  <c r="AM89" i="22"/>
  <c r="AJ90" i="22"/>
  <c r="AI104" i="22"/>
  <c r="AK106" i="22"/>
  <c r="AH107" i="22"/>
  <c r="AE108" i="22"/>
  <c r="AM108" i="22"/>
  <c r="AJ109" i="22"/>
  <c r="AG110" i="22"/>
  <c r="AK125" i="22"/>
  <c r="AH126" i="22"/>
  <c r="AE127" i="22"/>
  <c r="AM127" i="22"/>
  <c r="AJ128" i="22"/>
  <c r="AG129" i="22"/>
  <c r="AI131" i="22"/>
  <c r="AH145" i="22"/>
  <c r="AE146" i="22"/>
  <c r="AM146" i="22"/>
  <c r="AJ147" i="22"/>
  <c r="AG148" i="22"/>
  <c r="AI150" i="22"/>
  <c r="AK152" i="22"/>
  <c r="AH153" i="22"/>
  <c r="AI61" i="22"/>
  <c r="AI69" i="22"/>
  <c r="AH83" i="22"/>
  <c r="AI88" i="22"/>
  <c r="AI107" i="22"/>
  <c r="AH110" i="22"/>
  <c r="AI126" i="22"/>
  <c r="AH129" i="22"/>
  <c r="AI145" i="22"/>
  <c r="AH148" i="22"/>
  <c r="AI153" i="22"/>
  <c r="AH64" i="22"/>
  <c r="AJ61" i="22"/>
  <c r="AG62" i="22"/>
  <c r="AD63" i="22"/>
  <c r="AL63" i="22"/>
  <c r="AI64" i="22"/>
  <c r="AK66" i="22"/>
  <c r="AE68" i="22"/>
  <c r="AJ69" i="22"/>
  <c r="AD82" i="22"/>
  <c r="AL82" i="22"/>
  <c r="AI83" i="22"/>
  <c r="AK85" i="22"/>
  <c r="AE87" i="22"/>
  <c r="AJ88" i="22"/>
  <c r="AG89" i="22"/>
  <c r="AD90" i="22"/>
  <c r="AL90" i="22"/>
  <c r="AK104" i="22"/>
  <c r="AE106" i="22"/>
  <c r="AJ107" i="22"/>
  <c r="AG108" i="22"/>
  <c r="AD109" i="22"/>
  <c r="AL109" i="22"/>
  <c r="AI110" i="22"/>
  <c r="AE125" i="22"/>
  <c r="AJ126" i="22"/>
  <c r="AG127" i="22"/>
  <c r="AD128" i="22"/>
  <c r="AL128" i="22"/>
  <c r="AI129" i="22"/>
  <c r="AK131" i="22"/>
  <c r="AJ145" i="22"/>
  <c r="AG146" i="22"/>
  <c r="AD147" i="22"/>
  <c r="AL147" i="22"/>
  <c r="AI148" i="22"/>
  <c r="AK150" i="22"/>
  <c r="AE152" i="22"/>
  <c r="AJ153" i="22"/>
  <c r="AK61" i="22"/>
  <c r="AH62" i="22"/>
  <c r="AE63" i="22"/>
  <c r="AJ64" i="22"/>
  <c r="AD66" i="22"/>
  <c r="AL66" i="22"/>
  <c r="AK69" i="22"/>
  <c r="AE82" i="22"/>
  <c r="AJ83" i="22"/>
  <c r="AD85" i="22"/>
  <c r="AL85" i="22"/>
  <c r="AK88" i="22"/>
  <c r="AH89" i="22"/>
  <c r="AE90" i="22"/>
  <c r="AD104" i="22"/>
  <c r="AL104" i="22"/>
  <c r="AK107" i="22"/>
  <c r="AH108" i="22"/>
  <c r="AE109" i="22"/>
  <c r="AJ110" i="22"/>
  <c r="AK126" i="22"/>
  <c r="AH127" i="22"/>
  <c r="AE128" i="22"/>
  <c r="AJ129" i="22"/>
  <c r="AD131" i="22"/>
  <c r="AL131" i="22"/>
  <c r="AK145" i="22"/>
  <c r="AH146" i="22"/>
  <c r="AE147" i="22"/>
  <c r="AJ148" i="22"/>
  <c r="AD150" i="22"/>
  <c r="AL150" i="22"/>
  <c r="AK153" i="22"/>
  <c r="AF110" i="22"/>
  <c r="AF62" i="22"/>
  <c r="AD61" i="22"/>
  <c r="AL61" i="22"/>
  <c r="AI62" i="22"/>
  <c r="AK64" i="22"/>
  <c r="AE66" i="22"/>
  <c r="AD69" i="22"/>
  <c r="AL69" i="22"/>
  <c r="AK83" i="22"/>
  <c r="AE85" i="22"/>
  <c r="AD88" i="22"/>
  <c r="AL88" i="22"/>
  <c r="AI89" i="22"/>
  <c r="AE104" i="22"/>
  <c r="AD107" i="22"/>
  <c r="AL107" i="22"/>
  <c r="AI108" i="22"/>
  <c r="AK110" i="22"/>
  <c r="AD126" i="22"/>
  <c r="AL126" i="22"/>
  <c r="AI127" i="22"/>
  <c r="AK129" i="22"/>
  <c r="AE131" i="22"/>
  <c r="AD145" i="22"/>
  <c r="AL145" i="22"/>
  <c r="AI146" i="22"/>
  <c r="AK148" i="22"/>
  <c r="AE150" i="22"/>
  <c r="AD153" i="22"/>
  <c r="AL153" i="22"/>
  <c r="AF83" i="22"/>
  <c r="AE61" i="22"/>
  <c r="AD64" i="22"/>
  <c r="AL64" i="22"/>
  <c r="AE69" i="22"/>
  <c r="AD83" i="22"/>
  <c r="AL83" i="22"/>
  <c r="AE88" i="22"/>
  <c r="AE107" i="22"/>
  <c r="AD110" i="22"/>
  <c r="AL110" i="22"/>
  <c r="AE126" i="22"/>
  <c r="AD129" i="22"/>
  <c r="AL129" i="22"/>
  <c r="AE145" i="22"/>
  <c r="AD148" i="22"/>
  <c r="AL148" i="22"/>
  <c r="AE153" i="22"/>
  <c r="AE64" i="22"/>
  <c r="AE83" i="22"/>
  <c r="AE110" i="22"/>
  <c r="AE129" i="22"/>
  <c r="AE148" i="22"/>
  <c r="AF64" i="21"/>
  <c r="AF83" i="21"/>
  <c r="AH61" i="21"/>
  <c r="AE62" i="21"/>
  <c r="AM62" i="21"/>
  <c r="AG64" i="21"/>
  <c r="AD65" i="21"/>
  <c r="AL65" i="21"/>
  <c r="AK68" i="21"/>
  <c r="AH69" i="21"/>
  <c r="AJ82" i="21"/>
  <c r="AG83" i="21"/>
  <c r="AD84" i="21"/>
  <c r="AL84" i="21"/>
  <c r="AK87" i="21"/>
  <c r="AH88" i="21"/>
  <c r="AE89" i="21"/>
  <c r="AM89" i="21"/>
  <c r="AJ90" i="21"/>
  <c r="AD103" i="21"/>
  <c r="AL103" i="21"/>
  <c r="AK106" i="21"/>
  <c r="AH107" i="21"/>
  <c r="AE108" i="21"/>
  <c r="AM108" i="21"/>
  <c r="AG110" i="21"/>
  <c r="AD111" i="21"/>
  <c r="AL111" i="21"/>
  <c r="AK125" i="21"/>
  <c r="AH126" i="21"/>
  <c r="AE127" i="21"/>
  <c r="AM127" i="21"/>
  <c r="AG129" i="21"/>
  <c r="AD130" i="21"/>
  <c r="AL130" i="21"/>
  <c r="AH145" i="21"/>
  <c r="AE146" i="21"/>
  <c r="AM146" i="21"/>
  <c r="AG148" i="21"/>
  <c r="AD149" i="21"/>
  <c r="AL149" i="21"/>
  <c r="AK152" i="21"/>
  <c r="AH153" i="21"/>
  <c r="AG62" i="21"/>
  <c r="AI64" i="21"/>
  <c r="AJ69" i="21"/>
  <c r="AI83" i="21"/>
  <c r="AG89" i="21"/>
  <c r="AJ107" i="21"/>
  <c r="AG108" i="21"/>
  <c r="AI110" i="21"/>
  <c r="AJ126" i="21"/>
  <c r="AG127" i="21"/>
  <c r="AI129" i="21"/>
  <c r="AJ145" i="21"/>
  <c r="AG146" i="21"/>
  <c r="AI148" i="21"/>
  <c r="AJ153" i="21"/>
  <c r="AH64" i="21"/>
  <c r="AF89" i="21"/>
  <c r="AH148" i="21"/>
  <c r="AK61" i="21"/>
  <c r="AH62" i="21"/>
  <c r="AJ64" i="21"/>
  <c r="AG65" i="21"/>
  <c r="AK69" i="21"/>
  <c r="AJ83" i="21"/>
  <c r="AG84" i="21"/>
  <c r="AK88" i="21"/>
  <c r="AH89" i="21"/>
  <c r="AG103" i="21"/>
  <c r="AK107" i="21"/>
  <c r="AH108" i="21"/>
  <c r="AJ110" i="21"/>
  <c r="AG111" i="21"/>
  <c r="AK126" i="21"/>
  <c r="AH127" i="21"/>
  <c r="AJ129" i="21"/>
  <c r="AG130" i="21"/>
  <c r="AK145" i="21"/>
  <c r="AH146" i="21"/>
  <c r="AJ148" i="21"/>
  <c r="AG149" i="21"/>
  <c r="AK153" i="21"/>
  <c r="AF62" i="21"/>
  <c r="AD61" i="21"/>
  <c r="AL61" i="21"/>
  <c r="AI62" i="21"/>
  <c r="AK64" i="21"/>
  <c r="AH65" i="21"/>
  <c r="AG68" i="21"/>
  <c r="AD69" i="21"/>
  <c r="AL69" i="21"/>
  <c r="AK83" i="21"/>
  <c r="AH84" i="21"/>
  <c r="AG87" i="21"/>
  <c r="AD88" i="21"/>
  <c r="AL88" i="21"/>
  <c r="AI89" i="21"/>
  <c r="AH103" i="21"/>
  <c r="AJ105" i="21"/>
  <c r="AG106" i="21"/>
  <c r="AD107" i="21"/>
  <c r="AL107" i="21"/>
  <c r="AI108" i="21"/>
  <c r="AK110" i="21"/>
  <c r="AH111" i="21"/>
  <c r="AJ124" i="21"/>
  <c r="AG125" i="21"/>
  <c r="AD126" i="21"/>
  <c r="AL126" i="21"/>
  <c r="AI127" i="21"/>
  <c r="AK129" i="21"/>
  <c r="AH130" i="21"/>
  <c r="AE131" i="21"/>
  <c r="AJ132" i="21"/>
  <c r="AD145" i="21"/>
  <c r="AL145" i="21"/>
  <c r="AI146" i="21"/>
  <c r="AK148" i="21"/>
  <c r="AH149" i="21"/>
  <c r="AE150" i="21"/>
  <c r="AJ151" i="21"/>
  <c r="AG152" i="21"/>
  <c r="AD153" i="21"/>
  <c r="AL153" i="21"/>
  <c r="AH83" i="21"/>
  <c r="AF108" i="21"/>
  <c r="AE61" i="21"/>
  <c r="AJ62" i="21"/>
  <c r="AD64" i="21"/>
  <c r="AL64" i="21"/>
  <c r="AI65" i="21"/>
  <c r="AE69" i="21"/>
  <c r="AD83" i="21"/>
  <c r="AL83" i="21"/>
  <c r="AI84" i="21"/>
  <c r="AE88" i="21"/>
  <c r="AJ89" i="21"/>
  <c r="AE107" i="21"/>
  <c r="AJ108" i="21"/>
  <c r="AD110" i="21"/>
  <c r="AL110" i="21"/>
  <c r="AE126" i="21"/>
  <c r="AJ127" i="21"/>
  <c r="AD129" i="21"/>
  <c r="AL129" i="21"/>
  <c r="AE145" i="21"/>
  <c r="AJ146" i="21"/>
  <c r="AD148" i="21"/>
  <c r="AL148" i="21"/>
  <c r="AE153" i="21"/>
  <c r="AH110" i="21"/>
  <c r="AH129" i="21"/>
  <c r="AE64" i="21"/>
  <c r="AE83" i="21"/>
  <c r="AE110" i="21"/>
  <c r="AE129" i="21"/>
  <c r="AE148" i="21"/>
  <c r="AG64" i="20"/>
  <c r="AI61" i="20"/>
  <c r="AH64" i="20"/>
  <c r="AE65" i="20"/>
  <c r="AM65" i="20"/>
  <c r="AJ66" i="20"/>
  <c r="AG67" i="20"/>
  <c r="AD68" i="20"/>
  <c r="AL68" i="20"/>
  <c r="AI69" i="20"/>
  <c r="AH83" i="20"/>
  <c r="AE84" i="20"/>
  <c r="AM84" i="20"/>
  <c r="AJ85" i="20"/>
  <c r="AG86" i="20"/>
  <c r="AD87" i="20"/>
  <c r="AL87" i="20"/>
  <c r="AI88" i="20"/>
  <c r="AE103" i="20"/>
  <c r="AM103" i="20"/>
  <c r="AJ104" i="20"/>
  <c r="AG105" i="20"/>
  <c r="AD106" i="20"/>
  <c r="AL106" i="20"/>
  <c r="AI107" i="20"/>
  <c r="AH110" i="20"/>
  <c r="AE111" i="20"/>
  <c r="AM111" i="20"/>
  <c r="AG124" i="20"/>
  <c r="AD125" i="20"/>
  <c r="AL125" i="20"/>
  <c r="AI126" i="20"/>
  <c r="AH129" i="20"/>
  <c r="AE130" i="20"/>
  <c r="AM130" i="20"/>
  <c r="AJ131" i="20"/>
  <c r="AG132" i="20"/>
  <c r="AI145" i="20"/>
  <c r="AH148" i="20"/>
  <c r="AE149" i="20"/>
  <c r="AM149" i="20"/>
  <c r="AJ150" i="20"/>
  <c r="AG151" i="20"/>
  <c r="AD152" i="20"/>
  <c r="AL152" i="20"/>
  <c r="AI153" i="20"/>
  <c r="AF67" i="20"/>
  <c r="AJ61" i="20"/>
  <c r="AI64" i="20"/>
  <c r="AK66" i="20"/>
  <c r="AH67" i="20"/>
  <c r="AE68" i="20"/>
  <c r="AM68" i="20"/>
  <c r="AJ69" i="20"/>
  <c r="AI83" i="20"/>
  <c r="AK85" i="20"/>
  <c r="AH86" i="20"/>
  <c r="AE87" i="20"/>
  <c r="AM87" i="20"/>
  <c r="AJ88" i="20"/>
  <c r="AK104" i="20"/>
  <c r="AH105" i="20"/>
  <c r="AE106" i="20"/>
  <c r="AM106" i="20"/>
  <c r="AJ107" i="20"/>
  <c r="AI110" i="20"/>
  <c r="AH124" i="20"/>
  <c r="AE125" i="20"/>
  <c r="AM125" i="20"/>
  <c r="AJ126" i="20"/>
  <c r="AI129" i="20"/>
  <c r="AK131" i="20"/>
  <c r="AH132" i="20"/>
  <c r="AJ145" i="20"/>
  <c r="AI148" i="20"/>
  <c r="AK150" i="20"/>
  <c r="AH151" i="20"/>
  <c r="AE152" i="20"/>
  <c r="AM152" i="20"/>
  <c r="AJ153" i="20"/>
  <c r="AG129" i="20"/>
  <c r="AF132" i="20"/>
  <c r="AF151" i="20"/>
  <c r="AJ64" i="20"/>
  <c r="AI67" i="20"/>
  <c r="AJ83" i="20"/>
  <c r="AI86" i="20"/>
  <c r="AI105" i="20"/>
  <c r="AJ110" i="20"/>
  <c r="AI124" i="20"/>
  <c r="AJ129" i="20"/>
  <c r="AI132" i="20"/>
  <c r="AK145" i="20"/>
  <c r="AJ148" i="20"/>
  <c r="AI151" i="20"/>
  <c r="AK153" i="20"/>
  <c r="AF148" i="20"/>
  <c r="AG83" i="20"/>
  <c r="AF86" i="20"/>
  <c r="AG148" i="20"/>
  <c r="AD61" i="20"/>
  <c r="AL61" i="20"/>
  <c r="AK64" i="20"/>
  <c r="AE66" i="20"/>
  <c r="AJ67" i="20"/>
  <c r="AG68" i="20"/>
  <c r="AD69" i="20"/>
  <c r="AL69" i="20"/>
  <c r="AK83" i="20"/>
  <c r="AE85" i="20"/>
  <c r="AJ86" i="20"/>
  <c r="AG87" i="20"/>
  <c r="AD88" i="20"/>
  <c r="AL88" i="20"/>
  <c r="AE104" i="20"/>
  <c r="AJ105" i="20"/>
  <c r="AG106" i="20"/>
  <c r="AD107" i="20"/>
  <c r="AL107" i="20"/>
  <c r="AK110" i="20"/>
  <c r="AJ124" i="20"/>
  <c r="AG125" i="20"/>
  <c r="AD126" i="20"/>
  <c r="AL126" i="20"/>
  <c r="AK129" i="20"/>
  <c r="AE131" i="20"/>
  <c r="AJ132" i="20"/>
  <c r="AD145" i="20"/>
  <c r="AL145" i="20"/>
  <c r="AK148" i="20"/>
  <c r="AE150" i="20"/>
  <c r="AJ151" i="20"/>
  <c r="AG152" i="20"/>
  <c r="AD153" i="20"/>
  <c r="AL153" i="20"/>
  <c r="AF83" i="20"/>
  <c r="AF110" i="20"/>
  <c r="AF124" i="20"/>
  <c r="AE61" i="20"/>
  <c r="AD64" i="20"/>
  <c r="AL64" i="20"/>
  <c r="AK67" i="20"/>
  <c r="AH68" i="20"/>
  <c r="AE69" i="20"/>
  <c r="AD83" i="20"/>
  <c r="AL83" i="20"/>
  <c r="AK86" i="20"/>
  <c r="AH87" i="20"/>
  <c r="AE88" i="20"/>
  <c r="AK105" i="20"/>
  <c r="AH106" i="20"/>
  <c r="AE107" i="20"/>
  <c r="AD110" i="20"/>
  <c r="AL110" i="20"/>
  <c r="AK124" i="20"/>
  <c r="AH125" i="20"/>
  <c r="AE126" i="20"/>
  <c r="AD129" i="20"/>
  <c r="AL129" i="20"/>
  <c r="AK132" i="20"/>
  <c r="AE145" i="20"/>
  <c r="AD148" i="20"/>
  <c r="AL148" i="20"/>
  <c r="AK151" i="20"/>
  <c r="AE153" i="20"/>
  <c r="AF105" i="20"/>
  <c r="AG110" i="20"/>
  <c r="AE64" i="20"/>
  <c r="AD67" i="20"/>
  <c r="AE83" i="20"/>
  <c r="AD86" i="20"/>
  <c r="AD105" i="20"/>
  <c r="AE110" i="20"/>
  <c r="AD124" i="20"/>
  <c r="AE129" i="20"/>
  <c r="AD132" i="20"/>
  <c r="AE148" i="20"/>
  <c r="AD151" i="20"/>
  <c r="AH82" i="7"/>
  <c r="AG82" i="7"/>
  <c r="AM82" i="7"/>
  <c r="AE82" i="7"/>
  <c r="AL82" i="7"/>
  <c r="AD82" i="7"/>
  <c r="AK82" i="7"/>
  <c r="AI82" i="7"/>
  <c r="AJ82" i="7"/>
  <c r="AF82" i="7"/>
  <c r="AF129" i="7"/>
  <c r="AG83" i="7"/>
  <c r="AD84" i="7"/>
  <c r="AI85" i="7"/>
  <c r="AK87" i="7"/>
  <c r="AH88" i="7"/>
  <c r="AE89" i="7"/>
  <c r="AM89" i="7"/>
  <c r="AJ90" i="7"/>
  <c r="AI104" i="7"/>
  <c r="AK106" i="7"/>
  <c r="AH107" i="7"/>
  <c r="AE108" i="7"/>
  <c r="AM108" i="7"/>
  <c r="AJ109" i="7"/>
  <c r="AG110" i="7"/>
  <c r="AK125" i="7"/>
  <c r="AH126" i="7"/>
  <c r="AE127" i="7"/>
  <c r="AM127" i="7"/>
  <c r="AJ128" i="7"/>
  <c r="AG129" i="7"/>
  <c r="AI131" i="7"/>
  <c r="AH145" i="7"/>
  <c r="AE146" i="7"/>
  <c r="AM146" i="7"/>
  <c r="AJ147" i="7"/>
  <c r="AG148" i="7"/>
  <c r="AI150" i="7"/>
  <c r="AK152" i="7"/>
  <c r="AH153" i="7"/>
  <c r="AI109" i="7"/>
  <c r="AF110" i="7"/>
  <c r="AF148" i="7"/>
  <c r="AH83" i="7"/>
  <c r="AJ85" i="7"/>
  <c r="AI88" i="7"/>
  <c r="AK90" i="7"/>
  <c r="AJ104" i="7"/>
  <c r="AI107" i="7"/>
  <c r="AK109" i="7"/>
  <c r="AH110" i="7"/>
  <c r="AI126" i="7"/>
  <c r="AK128" i="7"/>
  <c r="AH129" i="7"/>
  <c r="AJ131" i="7"/>
  <c r="AI145" i="7"/>
  <c r="AK147" i="7"/>
  <c r="AH148" i="7"/>
  <c r="AJ150" i="7"/>
  <c r="AI153" i="7"/>
  <c r="AF83" i="7"/>
  <c r="AH85" i="7"/>
  <c r="AI83" i="7"/>
  <c r="AK85" i="7"/>
  <c r="AE87" i="7"/>
  <c r="AJ88" i="7"/>
  <c r="AG89" i="7"/>
  <c r="AD90" i="7"/>
  <c r="AL90" i="7"/>
  <c r="AK104" i="7"/>
  <c r="AE106" i="7"/>
  <c r="AJ107" i="7"/>
  <c r="AG108" i="7"/>
  <c r="AD109" i="7"/>
  <c r="AL109" i="7"/>
  <c r="AI110" i="7"/>
  <c r="AE125" i="7"/>
  <c r="AJ126" i="7"/>
  <c r="AG127" i="7"/>
  <c r="AD128" i="7"/>
  <c r="AL128" i="7"/>
  <c r="AI129" i="7"/>
  <c r="AK131" i="7"/>
  <c r="AJ145" i="7"/>
  <c r="AG146" i="7"/>
  <c r="AD147" i="7"/>
  <c r="AL147" i="7"/>
  <c r="AI148" i="7"/>
  <c r="AK150" i="7"/>
  <c r="AE152" i="7"/>
  <c r="AJ153" i="7"/>
  <c r="AI90" i="7"/>
  <c r="AH104" i="7"/>
  <c r="AJ83" i="7"/>
  <c r="AD85" i="7"/>
  <c r="AL85" i="7"/>
  <c r="AE90" i="7"/>
  <c r="AM90" i="7"/>
  <c r="AD104" i="7"/>
  <c r="AL104" i="7"/>
  <c r="AE109" i="7"/>
  <c r="AM109" i="7"/>
  <c r="AJ110" i="7"/>
  <c r="AE128" i="7"/>
  <c r="AM128" i="7"/>
  <c r="AJ129" i="7"/>
  <c r="AD131" i="7"/>
  <c r="AL131" i="7"/>
  <c r="AE147" i="7"/>
  <c r="AM147" i="7"/>
  <c r="AJ148" i="7"/>
  <c r="AD150" i="7"/>
  <c r="AL150" i="7"/>
  <c r="AK129" i="7"/>
  <c r="AE131" i="7"/>
  <c r="AM131" i="7"/>
  <c r="AK148" i="7"/>
  <c r="AM150" i="7"/>
  <c r="AF85" i="7"/>
  <c r="AG90" i="7"/>
  <c r="AD110" i="7"/>
  <c r="AL110" i="7"/>
  <c r="AD129" i="7"/>
  <c r="AF131" i="7"/>
  <c r="AD148" i="7"/>
  <c r="AL148" i="7"/>
  <c r="AG109" i="7"/>
  <c r="AG128" i="7"/>
  <c r="AL129" i="7"/>
  <c r="AE83" i="7"/>
  <c r="AE110" i="7"/>
  <c r="AE129" i="7"/>
  <c r="AE148" i="7"/>
  <c r="DG154" i="20"/>
  <c r="DG153" i="20"/>
  <c r="DG152" i="20"/>
  <c r="DG151" i="20"/>
  <c r="DG150" i="20"/>
  <c r="DG149" i="20"/>
  <c r="DG148" i="20"/>
  <c r="DG147" i="20"/>
  <c r="DG146" i="20"/>
  <c r="DG145" i="20"/>
  <c r="DG133" i="20"/>
  <c r="DG132" i="20"/>
  <c r="DG131" i="20"/>
  <c r="DG130" i="20"/>
  <c r="DG129" i="20"/>
  <c r="DG128" i="20"/>
  <c r="DG127" i="20"/>
  <c r="DG126" i="20"/>
  <c r="DG125" i="20"/>
  <c r="DG124" i="20"/>
  <c r="DG112" i="20"/>
  <c r="DG111" i="20"/>
  <c r="DG110" i="20"/>
  <c r="DG109" i="20"/>
  <c r="DG108" i="20"/>
  <c r="DG107" i="20"/>
  <c r="DG106" i="20"/>
  <c r="DG105" i="20"/>
  <c r="DG104" i="20"/>
  <c r="DG103" i="20"/>
  <c r="DG91" i="20"/>
  <c r="DG90" i="20"/>
  <c r="DG89" i="20"/>
  <c r="DG88" i="20"/>
  <c r="DG87" i="20"/>
  <c r="DG86" i="20"/>
  <c r="DG85" i="20"/>
  <c r="DG84" i="20"/>
  <c r="DG83" i="20"/>
  <c r="DG82" i="20"/>
  <c r="DG70" i="20"/>
  <c r="DG69" i="20"/>
  <c r="DG68" i="20"/>
  <c r="DG67" i="20"/>
  <c r="DG66" i="20"/>
  <c r="DG65" i="20"/>
  <c r="DG64" i="20"/>
  <c r="DG63" i="20"/>
  <c r="DG62" i="20"/>
  <c r="DG61" i="20"/>
  <c r="DG49" i="20"/>
  <c r="DG48" i="20"/>
  <c r="DG47" i="20"/>
  <c r="DG46" i="20"/>
  <c r="DG45" i="20"/>
  <c r="DG44" i="20"/>
  <c r="DG43" i="20"/>
  <c r="DG42" i="20"/>
  <c r="DG41" i="20"/>
  <c r="DG40" i="20"/>
  <c r="DG28" i="20"/>
  <c r="DG27" i="20"/>
  <c r="DG26" i="20"/>
  <c r="DG25" i="20"/>
  <c r="DG24" i="20"/>
  <c r="DG23" i="20"/>
  <c r="DG22" i="20"/>
  <c r="DG21" i="20"/>
  <c r="DG20" i="20"/>
  <c r="DG19" i="20"/>
  <c r="DG154" i="21"/>
  <c r="DG153" i="21"/>
  <c r="DG152" i="21"/>
  <c r="DG151" i="21"/>
  <c r="DG150" i="21"/>
  <c r="DG149" i="21"/>
  <c r="DG148" i="21"/>
  <c r="DG147" i="21"/>
  <c r="DG146" i="21"/>
  <c r="DG145" i="21"/>
  <c r="DG133" i="21"/>
  <c r="DG132" i="21"/>
  <c r="DG131" i="21"/>
  <c r="DG130" i="21"/>
  <c r="DG129" i="21"/>
  <c r="DG128" i="21"/>
  <c r="DG127" i="21"/>
  <c r="DG126" i="21"/>
  <c r="DG125" i="21"/>
  <c r="DG124" i="21"/>
  <c r="DG112" i="21"/>
  <c r="DG111" i="21"/>
  <c r="DG110" i="21"/>
  <c r="DG109" i="21"/>
  <c r="DG108" i="21"/>
  <c r="DG107" i="21"/>
  <c r="DG106" i="21"/>
  <c r="DG105" i="21"/>
  <c r="DG104" i="21"/>
  <c r="DG103" i="21"/>
  <c r="DG91" i="21"/>
  <c r="DG90" i="21"/>
  <c r="DG89" i="21"/>
  <c r="DG88" i="21"/>
  <c r="DG87" i="21"/>
  <c r="DG86" i="21"/>
  <c r="DG85" i="21"/>
  <c r="DG84" i="21"/>
  <c r="DG83" i="21"/>
  <c r="DG82" i="21"/>
  <c r="DG70" i="21"/>
  <c r="DG69" i="21"/>
  <c r="DG68" i="21"/>
  <c r="DG67" i="21"/>
  <c r="DG66" i="21"/>
  <c r="DG65" i="21"/>
  <c r="DG64" i="21"/>
  <c r="DG63" i="21"/>
  <c r="DG62" i="21"/>
  <c r="DG61" i="21"/>
  <c r="DG49" i="21"/>
  <c r="DG48" i="21"/>
  <c r="DG47" i="21"/>
  <c r="DG46" i="21"/>
  <c r="DG45" i="21"/>
  <c r="DG44" i="21"/>
  <c r="DG43" i="21"/>
  <c r="DG42" i="21"/>
  <c r="DG41" i="21"/>
  <c r="DG40" i="21"/>
  <c r="DG28" i="21"/>
  <c r="DG27" i="21"/>
  <c r="DG26" i="21"/>
  <c r="DG25" i="21"/>
  <c r="DG24" i="21"/>
  <c r="DG23" i="21"/>
  <c r="DG22" i="21"/>
  <c r="DG21" i="21"/>
  <c r="DG20" i="21"/>
  <c r="DG19" i="21"/>
  <c r="DG154" i="22"/>
  <c r="DG153" i="22"/>
  <c r="DG152" i="22"/>
  <c r="DG151" i="22"/>
  <c r="DG150" i="22"/>
  <c r="DG149" i="22"/>
  <c r="DG148" i="22"/>
  <c r="DG147" i="22"/>
  <c r="DG146" i="22"/>
  <c r="DG145" i="22"/>
  <c r="DG133" i="22"/>
  <c r="DG132" i="22"/>
  <c r="DG131" i="22"/>
  <c r="DG130" i="22"/>
  <c r="DG129" i="22"/>
  <c r="DG128" i="22"/>
  <c r="DG127" i="22"/>
  <c r="DG126" i="22"/>
  <c r="DG125" i="22"/>
  <c r="DG124" i="22"/>
  <c r="DG112" i="22"/>
  <c r="DG111" i="22"/>
  <c r="DG110" i="22"/>
  <c r="DG109" i="22"/>
  <c r="DG108" i="22"/>
  <c r="DG107" i="22"/>
  <c r="DG106" i="22"/>
  <c r="DG105" i="22"/>
  <c r="DG104" i="22"/>
  <c r="DG103" i="22"/>
  <c r="DG91" i="22"/>
  <c r="DG90" i="22"/>
  <c r="DG89" i="22"/>
  <c r="DG88" i="22"/>
  <c r="DG87" i="22"/>
  <c r="DG86" i="22"/>
  <c r="DG85" i="22"/>
  <c r="DG84" i="22"/>
  <c r="DG83" i="22"/>
  <c r="DG82" i="22"/>
  <c r="DG70" i="22"/>
  <c r="DG69" i="22"/>
  <c r="DG68" i="22"/>
  <c r="DG67" i="22"/>
  <c r="DG66" i="22"/>
  <c r="DG65" i="22"/>
  <c r="DG64" i="22"/>
  <c r="DG63" i="22"/>
  <c r="DG62" i="22"/>
  <c r="DG61" i="22"/>
  <c r="DG49" i="22"/>
  <c r="DG48" i="22"/>
  <c r="DG47" i="22"/>
  <c r="DG46" i="22"/>
  <c r="DG45" i="22"/>
  <c r="DG44" i="22"/>
  <c r="DG43" i="22"/>
  <c r="DG42" i="22"/>
  <c r="DG41" i="22"/>
  <c r="DG40" i="22"/>
  <c r="DG28" i="22"/>
  <c r="DG27" i="22"/>
  <c r="DG26" i="22"/>
  <c r="DG25" i="22"/>
  <c r="DG24" i="22"/>
  <c r="DG23" i="22"/>
  <c r="DG22" i="22"/>
  <c r="DG21" i="22"/>
  <c r="DG20" i="22"/>
  <c r="DG19" i="22"/>
  <c r="DG154" i="23"/>
  <c r="DG153" i="23"/>
  <c r="DG152" i="23"/>
  <c r="DG151" i="23"/>
  <c r="DG150" i="23"/>
  <c r="DG149" i="23"/>
  <c r="DG148" i="23"/>
  <c r="DG147" i="23"/>
  <c r="DG146" i="23"/>
  <c r="DG145" i="23"/>
  <c r="DG133" i="23"/>
  <c r="DG132" i="23"/>
  <c r="DG131" i="23"/>
  <c r="DG130" i="23"/>
  <c r="DG129" i="23"/>
  <c r="DG128" i="23"/>
  <c r="DG127" i="23"/>
  <c r="DG126" i="23"/>
  <c r="DG125" i="23"/>
  <c r="DG124" i="23"/>
  <c r="DG112" i="23"/>
  <c r="DG111" i="23"/>
  <c r="DG110" i="23"/>
  <c r="DG109" i="23"/>
  <c r="DG108" i="23"/>
  <c r="DG107" i="23"/>
  <c r="DG106" i="23"/>
  <c r="DG105" i="23"/>
  <c r="DG104" i="23"/>
  <c r="DG103" i="23"/>
  <c r="DG91" i="23"/>
  <c r="DG90" i="23"/>
  <c r="DG89" i="23"/>
  <c r="DG88" i="23"/>
  <c r="DG87" i="23"/>
  <c r="DG86" i="23"/>
  <c r="DG85" i="23"/>
  <c r="DG84" i="23"/>
  <c r="DG83" i="23"/>
  <c r="DG82" i="23"/>
  <c r="DG70" i="23"/>
  <c r="DG69" i="23"/>
  <c r="DG68" i="23"/>
  <c r="DG67" i="23"/>
  <c r="DG66" i="23"/>
  <c r="DG65" i="23"/>
  <c r="DG64" i="23"/>
  <c r="DG63" i="23"/>
  <c r="DG62" i="23"/>
  <c r="DG61" i="23"/>
  <c r="DG49" i="23"/>
  <c r="DG48" i="23"/>
  <c r="DG47" i="23"/>
  <c r="DG46" i="23"/>
  <c r="DG45" i="23"/>
  <c r="DG44" i="23"/>
  <c r="DG43" i="23"/>
  <c r="DG42" i="23"/>
  <c r="DG41" i="23"/>
  <c r="DG40" i="23"/>
  <c r="DG28" i="23"/>
  <c r="DG27" i="23"/>
  <c r="DG26" i="23"/>
  <c r="DG25" i="23"/>
  <c r="DG24" i="23"/>
  <c r="DG23" i="23"/>
  <c r="DG22" i="23"/>
  <c r="DG21" i="23"/>
  <c r="DG20" i="23"/>
  <c r="DG19" i="23"/>
  <c r="DG154" i="24"/>
  <c r="DG153" i="24"/>
  <c r="DG152" i="24"/>
  <c r="DG151" i="24"/>
  <c r="DG150" i="24"/>
  <c r="DG149" i="24"/>
  <c r="DG148" i="24"/>
  <c r="DG147" i="24"/>
  <c r="DG146" i="24"/>
  <c r="DG145" i="24"/>
  <c r="DG133" i="24"/>
  <c r="DG132" i="24"/>
  <c r="DG131" i="24"/>
  <c r="DG130" i="24"/>
  <c r="DG129" i="24"/>
  <c r="DG128" i="24"/>
  <c r="DG127" i="24"/>
  <c r="DG126" i="24"/>
  <c r="DG125" i="24"/>
  <c r="DG124" i="24"/>
  <c r="DG112" i="24"/>
  <c r="DG111" i="24"/>
  <c r="DG110" i="24"/>
  <c r="DG109" i="24"/>
  <c r="DG108" i="24"/>
  <c r="DG107" i="24"/>
  <c r="DG106" i="24"/>
  <c r="DG105" i="24"/>
  <c r="DG104" i="24"/>
  <c r="DG103" i="24"/>
  <c r="DG91" i="24"/>
  <c r="DG90" i="24"/>
  <c r="DG89" i="24"/>
  <c r="DG88" i="24"/>
  <c r="DG87" i="24"/>
  <c r="DG86" i="24"/>
  <c r="DG85" i="24"/>
  <c r="DG84" i="24"/>
  <c r="DG83" i="24"/>
  <c r="DG82" i="24"/>
  <c r="DG70" i="24"/>
  <c r="DG69" i="24"/>
  <c r="DG68" i="24"/>
  <c r="DG67" i="24"/>
  <c r="DG66" i="24"/>
  <c r="DG65" i="24"/>
  <c r="DG64" i="24"/>
  <c r="DG63" i="24"/>
  <c r="DG62" i="24"/>
  <c r="DG61" i="24"/>
  <c r="DG49" i="24"/>
  <c r="DG48" i="24"/>
  <c r="DG47" i="24"/>
  <c r="DG46" i="24"/>
  <c r="DG45" i="24"/>
  <c r="DG44" i="24"/>
  <c r="DG43" i="24"/>
  <c r="DG42" i="24"/>
  <c r="DG41" i="24"/>
  <c r="DG40" i="24"/>
  <c r="DG28" i="24"/>
  <c r="DG27" i="24"/>
  <c r="DG26" i="24"/>
  <c r="DG25" i="24"/>
  <c r="DG24" i="24"/>
  <c r="DG23" i="24"/>
  <c r="DG22" i="24"/>
  <c r="DG21" i="24"/>
  <c r="DG20" i="24"/>
  <c r="DG19" i="24"/>
  <c r="DG154" i="25"/>
  <c r="DG153" i="25"/>
  <c r="DG152" i="25"/>
  <c r="DG151" i="25"/>
  <c r="DG150" i="25"/>
  <c r="DG149" i="25"/>
  <c r="DG148" i="25"/>
  <c r="DG147" i="25"/>
  <c r="DG146" i="25"/>
  <c r="DG145" i="25"/>
  <c r="DG133" i="25"/>
  <c r="DG132" i="25"/>
  <c r="DG131" i="25"/>
  <c r="DG130" i="25"/>
  <c r="DG129" i="25"/>
  <c r="DG128" i="25"/>
  <c r="DG127" i="25"/>
  <c r="DG126" i="25"/>
  <c r="DG125" i="25"/>
  <c r="DG124" i="25"/>
  <c r="DG112" i="25"/>
  <c r="DG111" i="25"/>
  <c r="DG110" i="25"/>
  <c r="DG109" i="25"/>
  <c r="DG108" i="25"/>
  <c r="DG107" i="25"/>
  <c r="DG106" i="25"/>
  <c r="DG105" i="25"/>
  <c r="DG104" i="25"/>
  <c r="DG103" i="25"/>
  <c r="DG91" i="25"/>
  <c r="DG90" i="25"/>
  <c r="DG89" i="25"/>
  <c r="DG88" i="25"/>
  <c r="DG87" i="25"/>
  <c r="DG86" i="25"/>
  <c r="DG85" i="25"/>
  <c r="DG84" i="25"/>
  <c r="DG83" i="25"/>
  <c r="DG82" i="25"/>
  <c r="DG70" i="25"/>
  <c r="DG69" i="25"/>
  <c r="DG68" i="25"/>
  <c r="DG67" i="25"/>
  <c r="DG66" i="25"/>
  <c r="DG65" i="25"/>
  <c r="DG64" i="25"/>
  <c r="DG63" i="25"/>
  <c r="DG62" i="25"/>
  <c r="DG61" i="25"/>
  <c r="DG49" i="25"/>
  <c r="DG48" i="25"/>
  <c r="DG47" i="25"/>
  <c r="DG46" i="25"/>
  <c r="DG45" i="25"/>
  <c r="DG44" i="25"/>
  <c r="DG43" i="25"/>
  <c r="DG42" i="25"/>
  <c r="DG41" i="25"/>
  <c r="DG40" i="25"/>
  <c r="DG28" i="25"/>
  <c r="DG27" i="25"/>
  <c r="DG26" i="25"/>
  <c r="DG25" i="25"/>
  <c r="DG24" i="25"/>
  <c r="DG23" i="25"/>
  <c r="DG22" i="25"/>
  <c r="DG21" i="25"/>
  <c r="DG20" i="25"/>
  <c r="DG19" i="25"/>
  <c r="DG154" i="26"/>
  <c r="DG153" i="26"/>
  <c r="DG152" i="26"/>
  <c r="DG151" i="26"/>
  <c r="DG150" i="26"/>
  <c r="DG149" i="26"/>
  <c r="DG148" i="26"/>
  <c r="DG147" i="26"/>
  <c r="DG146" i="26"/>
  <c r="DG145" i="26"/>
  <c r="DG133" i="26"/>
  <c r="DG132" i="26"/>
  <c r="DG131" i="26"/>
  <c r="DG130" i="26"/>
  <c r="DG129" i="26"/>
  <c r="DG128" i="26"/>
  <c r="DG127" i="26"/>
  <c r="DG126" i="26"/>
  <c r="DG125" i="26"/>
  <c r="DG124" i="26"/>
  <c r="DG112" i="26"/>
  <c r="DG111" i="26"/>
  <c r="DG110" i="26"/>
  <c r="DG109" i="26"/>
  <c r="DG108" i="26"/>
  <c r="DG107" i="26"/>
  <c r="DG106" i="26"/>
  <c r="DG105" i="26"/>
  <c r="DG104" i="26"/>
  <c r="DG103" i="26"/>
  <c r="DG91" i="26"/>
  <c r="DG90" i="26"/>
  <c r="DG89" i="26"/>
  <c r="DG88" i="26"/>
  <c r="DG87" i="26"/>
  <c r="DG86" i="26"/>
  <c r="DG85" i="26"/>
  <c r="DG84" i="26"/>
  <c r="DG83" i="26"/>
  <c r="DG82" i="26"/>
  <c r="DG70" i="26"/>
  <c r="DG69" i="26"/>
  <c r="DG68" i="26"/>
  <c r="DG67" i="26"/>
  <c r="DG66" i="26"/>
  <c r="DG65" i="26"/>
  <c r="DG64" i="26"/>
  <c r="DG63" i="26"/>
  <c r="DG62" i="26"/>
  <c r="DG61" i="26"/>
  <c r="DG49" i="26"/>
  <c r="DG48" i="26"/>
  <c r="DG47" i="26"/>
  <c r="DG46" i="26"/>
  <c r="DG45" i="26"/>
  <c r="DG44" i="26"/>
  <c r="DG43" i="26"/>
  <c r="DG42" i="26"/>
  <c r="DG41" i="26"/>
  <c r="DG40" i="26"/>
  <c r="DG28" i="26"/>
  <c r="DG27" i="26"/>
  <c r="DG26" i="26"/>
  <c r="DG25" i="26"/>
  <c r="DG24" i="26"/>
  <c r="DG23" i="26"/>
  <c r="DG22" i="26"/>
  <c r="DG21" i="26"/>
  <c r="DG20" i="26"/>
  <c r="DG19" i="26"/>
  <c r="DG154" i="27"/>
  <c r="DG153" i="27"/>
  <c r="DG152" i="27"/>
  <c r="DG151" i="27"/>
  <c r="DG150" i="27"/>
  <c r="DG149" i="27"/>
  <c r="DG148" i="27"/>
  <c r="DG147" i="27"/>
  <c r="DG146" i="27"/>
  <c r="DG145" i="27"/>
  <c r="DG133" i="27"/>
  <c r="DG132" i="27"/>
  <c r="DG131" i="27"/>
  <c r="DG130" i="27"/>
  <c r="DG129" i="27"/>
  <c r="DG128" i="27"/>
  <c r="DG127" i="27"/>
  <c r="DG126" i="27"/>
  <c r="DG125" i="27"/>
  <c r="DG124" i="27"/>
  <c r="DG112" i="27"/>
  <c r="DG111" i="27"/>
  <c r="DG110" i="27"/>
  <c r="DG109" i="27"/>
  <c r="DG108" i="27"/>
  <c r="DG107" i="27"/>
  <c r="DG106" i="27"/>
  <c r="DG105" i="27"/>
  <c r="DG104" i="27"/>
  <c r="DG103" i="27"/>
  <c r="DG91" i="27"/>
  <c r="DG90" i="27"/>
  <c r="DG89" i="27"/>
  <c r="DG88" i="27"/>
  <c r="DG87" i="27"/>
  <c r="DG86" i="27"/>
  <c r="DG85" i="27"/>
  <c r="DG84" i="27"/>
  <c r="DG83" i="27"/>
  <c r="DG82" i="27"/>
  <c r="DG70" i="27"/>
  <c r="DG69" i="27"/>
  <c r="DG68" i="27"/>
  <c r="DG67" i="27"/>
  <c r="DG66" i="27"/>
  <c r="DG65" i="27"/>
  <c r="DG64" i="27"/>
  <c r="DG63" i="27"/>
  <c r="DG62" i="27"/>
  <c r="DG61" i="27"/>
  <c r="DG49" i="27"/>
  <c r="DG48" i="27"/>
  <c r="DG47" i="27"/>
  <c r="DG46" i="27"/>
  <c r="DG45" i="27"/>
  <c r="DG44" i="27"/>
  <c r="DG43" i="27"/>
  <c r="DG42" i="27"/>
  <c r="DG41" i="27"/>
  <c r="DG40" i="27"/>
  <c r="DG28" i="27"/>
  <c r="DG27" i="27"/>
  <c r="DG26" i="27"/>
  <c r="DG25" i="27"/>
  <c r="DG24" i="27"/>
  <c r="DG23" i="27"/>
  <c r="DG22" i="27"/>
  <c r="DG21" i="27"/>
  <c r="DG20" i="27"/>
  <c r="DG19" i="27"/>
  <c r="DG154" i="28"/>
  <c r="DG153" i="28"/>
  <c r="DG152" i="28"/>
  <c r="DG151" i="28"/>
  <c r="DG150" i="28"/>
  <c r="DG149" i="28"/>
  <c r="DG148" i="28"/>
  <c r="DG147" i="28"/>
  <c r="DG146" i="28"/>
  <c r="DG145" i="28"/>
  <c r="DG133" i="28"/>
  <c r="DG132" i="28"/>
  <c r="DG131" i="28"/>
  <c r="DG130" i="28"/>
  <c r="DG129" i="28"/>
  <c r="DG128" i="28"/>
  <c r="DG127" i="28"/>
  <c r="DG126" i="28"/>
  <c r="DG125" i="28"/>
  <c r="DG124" i="28"/>
  <c r="DG112" i="28"/>
  <c r="DG111" i="28"/>
  <c r="DG110" i="28"/>
  <c r="DG109" i="28"/>
  <c r="DG108" i="28"/>
  <c r="DG107" i="28"/>
  <c r="DG106" i="28"/>
  <c r="DG105" i="28"/>
  <c r="DG104" i="28"/>
  <c r="DG103" i="28"/>
  <c r="DG91" i="28"/>
  <c r="DG90" i="28"/>
  <c r="DG89" i="28"/>
  <c r="DG88" i="28"/>
  <c r="DG87" i="28"/>
  <c r="DG86" i="28"/>
  <c r="DG85" i="28"/>
  <c r="DG84" i="28"/>
  <c r="DG83" i="28"/>
  <c r="DG82" i="28"/>
  <c r="DG70" i="28"/>
  <c r="DG69" i="28"/>
  <c r="DG68" i="28"/>
  <c r="DG67" i="28"/>
  <c r="DG66" i="28"/>
  <c r="DG65" i="28"/>
  <c r="DG64" i="28"/>
  <c r="DG63" i="28"/>
  <c r="DG62" i="28"/>
  <c r="DG61" i="28"/>
  <c r="DG49" i="28"/>
  <c r="DG48" i="28"/>
  <c r="DG47" i="28"/>
  <c r="DG46" i="28"/>
  <c r="DG45" i="28"/>
  <c r="DG44" i="28"/>
  <c r="DG43" i="28"/>
  <c r="DG42" i="28"/>
  <c r="DG41" i="28"/>
  <c r="DG40" i="28"/>
  <c r="DG28" i="28"/>
  <c r="DG27" i="28"/>
  <c r="DG26" i="28"/>
  <c r="DG25" i="28"/>
  <c r="DG24" i="28"/>
  <c r="DG23" i="28"/>
  <c r="DG22" i="28"/>
  <c r="DG21" i="28"/>
  <c r="DG20" i="28"/>
  <c r="DG19" i="28"/>
  <c r="DG154" i="29"/>
  <c r="DG153" i="29"/>
  <c r="DG152" i="29"/>
  <c r="DG151" i="29"/>
  <c r="DG150" i="29"/>
  <c r="DG149" i="29"/>
  <c r="DG148" i="29"/>
  <c r="DG147" i="29"/>
  <c r="DG146" i="29"/>
  <c r="DG145" i="29"/>
  <c r="DG133" i="29"/>
  <c r="DG132" i="29"/>
  <c r="DG131" i="29"/>
  <c r="DG130" i="29"/>
  <c r="DG129" i="29"/>
  <c r="DG128" i="29"/>
  <c r="DG127" i="29"/>
  <c r="DG126" i="29"/>
  <c r="DG125" i="29"/>
  <c r="DG124" i="29"/>
  <c r="DG112" i="29"/>
  <c r="DG111" i="29"/>
  <c r="DG110" i="29"/>
  <c r="DG109" i="29"/>
  <c r="DG108" i="29"/>
  <c r="DG107" i="29"/>
  <c r="DG106" i="29"/>
  <c r="DG105" i="29"/>
  <c r="DG104" i="29"/>
  <c r="DG103" i="29"/>
  <c r="DG91" i="29"/>
  <c r="DG90" i="29"/>
  <c r="DG89" i="29"/>
  <c r="DG88" i="29"/>
  <c r="DG87" i="29"/>
  <c r="DG86" i="29"/>
  <c r="DG85" i="29"/>
  <c r="DG84" i="29"/>
  <c r="DG83" i="29"/>
  <c r="DG82" i="29"/>
  <c r="DG70" i="29"/>
  <c r="DG69" i="29"/>
  <c r="DG68" i="29"/>
  <c r="DG67" i="29"/>
  <c r="DG66" i="29"/>
  <c r="DG65" i="29"/>
  <c r="DG64" i="29"/>
  <c r="DG63" i="29"/>
  <c r="DG62" i="29"/>
  <c r="DG61" i="29"/>
  <c r="DG49" i="29"/>
  <c r="DG48" i="29"/>
  <c r="DG47" i="29"/>
  <c r="DG46" i="29"/>
  <c r="DG45" i="29"/>
  <c r="DG44" i="29"/>
  <c r="DG43" i="29"/>
  <c r="DG42" i="29"/>
  <c r="DG41" i="29"/>
  <c r="DG40" i="29"/>
  <c r="DG28" i="29"/>
  <c r="DG27" i="29"/>
  <c r="DG26" i="29"/>
  <c r="DG25" i="29"/>
  <c r="DG24" i="29"/>
  <c r="DG23" i="29"/>
  <c r="DG22" i="29"/>
  <c r="DG21" i="29"/>
  <c r="DG20" i="29"/>
  <c r="DG19" i="29"/>
  <c r="DG154" i="14"/>
  <c r="DG153" i="14"/>
  <c r="DG152" i="14"/>
  <c r="DG151" i="14"/>
  <c r="DG150" i="14"/>
  <c r="DG149" i="14"/>
  <c r="DG148" i="14"/>
  <c r="DG147" i="14"/>
  <c r="DG146" i="14"/>
  <c r="DG145" i="14"/>
  <c r="DG133" i="14"/>
  <c r="DG132" i="14"/>
  <c r="DG131" i="14"/>
  <c r="DG130" i="14"/>
  <c r="DG129" i="14"/>
  <c r="DG128" i="14"/>
  <c r="DG127" i="14"/>
  <c r="DG126" i="14"/>
  <c r="DG125" i="14"/>
  <c r="DG124" i="14"/>
  <c r="DG112" i="14"/>
  <c r="DG111" i="14"/>
  <c r="DG110" i="14"/>
  <c r="DG109" i="14"/>
  <c r="DG108" i="14"/>
  <c r="DG107" i="14"/>
  <c r="DG106" i="14"/>
  <c r="DG105" i="14"/>
  <c r="DG104" i="14"/>
  <c r="DG103" i="14"/>
  <c r="DG91" i="14"/>
  <c r="DG90" i="14"/>
  <c r="DG89" i="14"/>
  <c r="DG88" i="14"/>
  <c r="DG87" i="14"/>
  <c r="DG86" i="14"/>
  <c r="DG85" i="14"/>
  <c r="DG84" i="14"/>
  <c r="DG83" i="14"/>
  <c r="DG82" i="14"/>
  <c r="DG70" i="14"/>
  <c r="DG69" i="14"/>
  <c r="DG68" i="14"/>
  <c r="DG67" i="14"/>
  <c r="DG66" i="14"/>
  <c r="DG65" i="14"/>
  <c r="DG64" i="14"/>
  <c r="DG63" i="14"/>
  <c r="DG62" i="14"/>
  <c r="DG61" i="14"/>
  <c r="DG49" i="14"/>
  <c r="DG48" i="14"/>
  <c r="DG47" i="14"/>
  <c r="DG46" i="14"/>
  <c r="DG45" i="14"/>
  <c r="DG44" i="14"/>
  <c r="DG43" i="14"/>
  <c r="DG42" i="14"/>
  <c r="DG41" i="14"/>
  <c r="DG40" i="14"/>
  <c r="DG28" i="14"/>
  <c r="DG27" i="14"/>
  <c r="DG26" i="14"/>
  <c r="DG25" i="14"/>
  <c r="DG24" i="14"/>
  <c r="DG23" i="14"/>
  <c r="DG22" i="14"/>
  <c r="DG21" i="14"/>
  <c r="DG20" i="14"/>
  <c r="DG19" i="14"/>
  <c r="DG154" i="7"/>
  <c r="DG153" i="7"/>
  <c r="DG152" i="7"/>
  <c r="DG151" i="7"/>
  <c r="DG150" i="7"/>
  <c r="DG149" i="7"/>
  <c r="DG148" i="7"/>
  <c r="DG147" i="7"/>
  <c r="DG146" i="7"/>
  <c r="DG145" i="7"/>
  <c r="DG133" i="7"/>
  <c r="DG132" i="7"/>
  <c r="DG131" i="7"/>
  <c r="DG130" i="7"/>
  <c r="DG129" i="7"/>
  <c r="DG128" i="7"/>
  <c r="DG127" i="7"/>
  <c r="DG126" i="7"/>
  <c r="DG125" i="7"/>
  <c r="DG124" i="7"/>
  <c r="DG112" i="7"/>
  <c r="DG111" i="7"/>
  <c r="DG110" i="7"/>
  <c r="DG109" i="7"/>
  <c r="DG108" i="7"/>
  <c r="DG107" i="7"/>
  <c r="DG106" i="7"/>
  <c r="DG105" i="7"/>
  <c r="DG104" i="7"/>
  <c r="DG103" i="7"/>
  <c r="DG91" i="7"/>
  <c r="DG90" i="7"/>
  <c r="DG89" i="7"/>
  <c r="DG88" i="7"/>
  <c r="DG87" i="7"/>
  <c r="DG86" i="7"/>
  <c r="DG85" i="7"/>
  <c r="DG84" i="7"/>
  <c r="DG83" i="7"/>
  <c r="DG82" i="7"/>
  <c r="DG70" i="7"/>
  <c r="DG69" i="7"/>
  <c r="DG68" i="7"/>
  <c r="DG67" i="7"/>
  <c r="DG66" i="7"/>
  <c r="DG65" i="7"/>
  <c r="DG64" i="7"/>
  <c r="DG63" i="7"/>
  <c r="DG62" i="7"/>
  <c r="DG61" i="7"/>
  <c r="DG49" i="7"/>
  <c r="DG48" i="7"/>
  <c r="DG47" i="7"/>
  <c r="DG46" i="7"/>
  <c r="DG45" i="7"/>
  <c r="DG44" i="7"/>
  <c r="DG43" i="7"/>
  <c r="DG42" i="7"/>
  <c r="DG41" i="7"/>
  <c r="DG40" i="7"/>
  <c r="DG28" i="7"/>
  <c r="DG27" i="7"/>
  <c r="DG26" i="7"/>
  <c r="DG25" i="7"/>
  <c r="DG24" i="7"/>
  <c r="DG23" i="7"/>
  <c r="DG22" i="7"/>
  <c r="DG21" i="7"/>
  <c r="DG20" i="7"/>
  <c r="DG19" i="7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AE1" i="1"/>
  <c r="AF8" i="1"/>
  <c r="AF9" i="1" s="1"/>
  <c r="AF10" i="1" s="1"/>
  <c r="AF11" i="1" s="1"/>
  <c r="AF12" i="1" s="1"/>
  <c r="AF13" i="1" s="1"/>
  <c r="AF14" i="1" s="1"/>
  <c r="AF15" i="1" s="1"/>
  <c r="AF16" i="1" s="1"/>
  <c r="AF17" i="1" s="1"/>
  <c r="AF18" i="1" s="1"/>
  <c r="AF19" i="1" s="1"/>
  <c r="AF20" i="1" s="1"/>
  <c r="AF21" i="1" s="1"/>
  <c r="AF22" i="1" s="1"/>
  <c r="AF23" i="1" s="1"/>
  <c r="AF24" i="1" s="1"/>
  <c r="AF25" i="1" s="1"/>
  <c r="AF26" i="1" s="1"/>
  <c r="AF27" i="1" s="1"/>
  <c r="AF28" i="1" s="1"/>
  <c r="AF29" i="1" s="1"/>
  <c r="AF30" i="1" s="1"/>
  <c r="AF31" i="1" s="1"/>
  <c r="AF32" i="1" s="1"/>
  <c r="AF33" i="1" s="1"/>
  <c r="AF34" i="1" s="1"/>
  <c r="AF35" i="1" s="1"/>
  <c r="AF36" i="1" s="1"/>
  <c r="AF37" i="1" s="1"/>
  <c r="AF38" i="1" s="1"/>
  <c r="AF39" i="1" s="1"/>
  <c r="AF40" i="1" s="1"/>
  <c r="AF41" i="1" s="1"/>
  <c r="AF42" i="1" s="1"/>
  <c r="AF43" i="1" s="1"/>
  <c r="AF44" i="1" s="1"/>
  <c r="AF45" i="1" s="1"/>
  <c r="AF46" i="1" s="1"/>
  <c r="AF47" i="1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2" i="2"/>
  <c r="E1" i="2"/>
  <c r="C1" i="2"/>
  <c r="A1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A3" i="2"/>
  <c r="AA8" i="1" s="1"/>
  <c r="A4" i="2"/>
  <c r="AA9" i="1" s="1"/>
  <c r="A5" i="2"/>
  <c r="AA10" i="1" s="1"/>
  <c r="A6" i="2"/>
  <c r="AA11" i="1" s="1"/>
  <c r="A7" i="2"/>
  <c r="A8" i="2"/>
  <c r="A9" i="2"/>
  <c r="A10" i="2"/>
  <c r="A11" i="2"/>
  <c r="A12" i="2"/>
  <c r="AA17" i="1" s="1"/>
  <c r="A13" i="2"/>
  <c r="AA18" i="1" s="1"/>
  <c r="A14" i="2"/>
  <c r="AA19" i="1" s="1"/>
  <c r="A15" i="2"/>
  <c r="AA20" i="1" s="1"/>
  <c r="A16" i="2"/>
  <c r="AA21" i="1" s="1"/>
  <c r="A17" i="2"/>
  <c r="AA22" i="1" s="1"/>
  <c r="A18" i="2"/>
  <c r="AA23" i="1" s="1"/>
  <c r="A19" i="2"/>
  <c r="AA24" i="1" s="1"/>
  <c r="A20" i="2"/>
  <c r="AA25" i="1" s="1"/>
  <c r="A21" i="2"/>
  <c r="AA26" i="1" s="1"/>
  <c r="A22" i="2"/>
  <c r="AA27" i="1" s="1"/>
  <c r="A23" i="2"/>
  <c r="AA28" i="1" s="1"/>
  <c r="A24" i="2"/>
  <c r="AA29" i="1" s="1"/>
  <c r="A25" i="2"/>
  <c r="AA30" i="1" s="1"/>
  <c r="A26" i="2"/>
  <c r="AA31" i="1" s="1"/>
  <c r="A27" i="2"/>
  <c r="A28" i="2"/>
  <c r="A29" i="2"/>
  <c r="A30" i="2"/>
  <c r="A31" i="2"/>
  <c r="A32" i="2"/>
  <c r="AA37" i="1" s="1"/>
  <c r="A33" i="2"/>
  <c r="AA38" i="1" s="1"/>
  <c r="A34" i="2"/>
  <c r="AA39" i="1" s="1"/>
  <c r="A35" i="2"/>
  <c r="AA40" i="1" s="1"/>
  <c r="A36" i="2"/>
  <c r="AA41" i="1" s="1"/>
  <c r="A37" i="2"/>
  <c r="AA42" i="1" s="1"/>
  <c r="A38" i="2"/>
  <c r="AA43" i="1" s="1"/>
  <c r="A39" i="2"/>
  <c r="AA44" i="1" s="1"/>
  <c r="A40" i="2"/>
  <c r="AA45" i="1" s="1"/>
  <c r="A41" i="2"/>
  <c r="AA46" i="1" s="1"/>
  <c r="A2" i="2"/>
  <c r="AA7" i="1" s="1"/>
  <c r="J2" i="40"/>
  <c r="AE248" i="16"/>
  <c r="AB248" i="16"/>
  <c r="Z248" i="16"/>
  <c r="B248" i="16" s="1"/>
  <c r="AE240" i="16"/>
  <c r="AB240" i="16"/>
  <c r="Z240" i="16"/>
  <c r="B240" i="16" s="1"/>
  <c r="AE232" i="16"/>
  <c r="AB232" i="16"/>
  <c r="Z232" i="16"/>
  <c r="B232" i="16" s="1"/>
  <c r="AE224" i="16"/>
  <c r="AB224" i="16"/>
  <c r="Z224" i="16"/>
  <c r="B224" i="16" s="1"/>
  <c r="AE216" i="16"/>
  <c r="AB216" i="16"/>
  <c r="Z216" i="16"/>
  <c r="B216" i="16" s="1"/>
  <c r="AE208" i="16"/>
  <c r="AB208" i="16"/>
  <c r="Z208" i="16"/>
  <c r="B208" i="16" s="1"/>
  <c r="AE139" i="16"/>
  <c r="AB139" i="16"/>
  <c r="Z139" i="16"/>
  <c r="B139" i="16" s="1"/>
  <c r="AE131" i="16"/>
  <c r="AB131" i="16"/>
  <c r="Z131" i="16"/>
  <c r="B131" i="16" s="1"/>
  <c r="AE123" i="16"/>
  <c r="AB123" i="16"/>
  <c r="Z123" i="16"/>
  <c r="B123" i="16" s="1"/>
  <c r="AE115" i="16"/>
  <c r="AB115" i="16"/>
  <c r="Z115" i="16"/>
  <c r="B115" i="16" s="1"/>
  <c r="AF48" i="1" l="1"/>
  <c r="AA47" i="1"/>
  <c r="AA36" i="1"/>
  <c r="AA16" i="1"/>
  <c r="AA35" i="1"/>
  <c r="AA15" i="1"/>
  <c r="AA34" i="1"/>
  <c r="AA14" i="1"/>
  <c r="AA33" i="1"/>
  <c r="AA13" i="1"/>
  <c r="AA32" i="1"/>
  <c r="AA12" i="1"/>
  <c r="U149" i="30"/>
  <c r="U126" i="30"/>
  <c r="U103" i="30"/>
  <c r="U80" i="30"/>
  <c r="U57" i="30"/>
  <c r="U34" i="30"/>
  <c r="U11" i="30"/>
  <c r="P1" i="30"/>
  <c r="U149" i="31"/>
  <c r="U126" i="31"/>
  <c r="U103" i="31"/>
  <c r="U80" i="31"/>
  <c r="U57" i="31"/>
  <c r="U34" i="31"/>
  <c r="U11" i="31"/>
  <c r="P1" i="31"/>
  <c r="U149" i="32"/>
  <c r="U126" i="32"/>
  <c r="U103" i="32"/>
  <c r="U80" i="32"/>
  <c r="U57" i="32"/>
  <c r="U34" i="32"/>
  <c r="U11" i="32"/>
  <c r="P1" i="32"/>
  <c r="U149" i="33"/>
  <c r="U126" i="33"/>
  <c r="U103" i="33"/>
  <c r="U80" i="33"/>
  <c r="U57" i="33"/>
  <c r="U34" i="33"/>
  <c r="U11" i="33"/>
  <c r="P1" i="33"/>
  <c r="U149" i="34"/>
  <c r="U126" i="34"/>
  <c r="U103" i="34"/>
  <c r="U80" i="34"/>
  <c r="U57" i="34"/>
  <c r="U34" i="34"/>
  <c r="U11" i="34"/>
  <c r="P1" i="34"/>
  <c r="U149" i="35"/>
  <c r="U126" i="35"/>
  <c r="U103" i="35"/>
  <c r="U80" i="35"/>
  <c r="U57" i="35"/>
  <c r="U34" i="35"/>
  <c r="U11" i="35"/>
  <c r="P1" i="35"/>
  <c r="U149" i="36"/>
  <c r="U126" i="36"/>
  <c r="U103" i="36"/>
  <c r="U80" i="36"/>
  <c r="U57" i="36"/>
  <c r="U34" i="36"/>
  <c r="U11" i="36"/>
  <c r="P1" i="36"/>
  <c r="U149" i="37"/>
  <c r="U126" i="37"/>
  <c r="U103" i="37"/>
  <c r="U80" i="37"/>
  <c r="U57" i="37"/>
  <c r="U34" i="37"/>
  <c r="U11" i="37"/>
  <c r="P1" i="37"/>
  <c r="U149" i="38"/>
  <c r="U126" i="38"/>
  <c r="U103" i="38"/>
  <c r="U80" i="38"/>
  <c r="U57" i="38"/>
  <c r="U34" i="38"/>
  <c r="U11" i="38"/>
  <c r="P1" i="38"/>
  <c r="U149" i="39"/>
  <c r="U126" i="39"/>
  <c r="U103" i="39"/>
  <c r="U80" i="39"/>
  <c r="U57" i="39"/>
  <c r="U34" i="39"/>
  <c r="U11" i="39"/>
  <c r="P1" i="39"/>
  <c r="T159" i="39"/>
  <c r="G158" i="39"/>
  <c r="I157" i="39"/>
  <c r="G157" i="39"/>
  <c r="T156" i="39"/>
  <c r="I156" i="39"/>
  <c r="G156" i="39"/>
  <c r="G155" i="39"/>
  <c r="D155" i="39"/>
  <c r="I155" i="39" s="1"/>
  <c r="G154" i="39"/>
  <c r="I153" i="39"/>
  <c r="I152" i="39"/>
  <c r="G152" i="39"/>
  <c r="C152" i="39"/>
  <c r="I151" i="39"/>
  <c r="I150" i="39"/>
  <c r="G150" i="39"/>
  <c r="G149" i="39"/>
  <c r="I148" i="39"/>
  <c r="G148" i="39"/>
  <c r="G147" i="39"/>
  <c r="I146" i="39"/>
  <c r="T136" i="39"/>
  <c r="G135" i="39"/>
  <c r="I134" i="39"/>
  <c r="G134" i="39"/>
  <c r="T133" i="39"/>
  <c r="I133" i="39"/>
  <c r="G133" i="39"/>
  <c r="G132" i="39"/>
  <c r="D132" i="39"/>
  <c r="I132" i="39" s="1"/>
  <c r="G131" i="39"/>
  <c r="I130" i="39"/>
  <c r="I129" i="39"/>
  <c r="G129" i="39"/>
  <c r="C129" i="39"/>
  <c r="I128" i="39"/>
  <c r="I127" i="39"/>
  <c r="G127" i="39"/>
  <c r="G126" i="39"/>
  <c r="I125" i="39"/>
  <c r="G125" i="39"/>
  <c r="G124" i="39"/>
  <c r="I123" i="39"/>
  <c r="T113" i="39"/>
  <c r="G112" i="39"/>
  <c r="I111" i="39"/>
  <c r="G111" i="39"/>
  <c r="T110" i="39"/>
  <c r="I110" i="39"/>
  <c r="G110" i="39"/>
  <c r="G109" i="39"/>
  <c r="D109" i="39"/>
  <c r="I109" i="39" s="1"/>
  <c r="G108" i="39"/>
  <c r="I107" i="39"/>
  <c r="I106" i="39"/>
  <c r="G106" i="39"/>
  <c r="C106" i="39"/>
  <c r="I105" i="39"/>
  <c r="I104" i="39"/>
  <c r="G104" i="39"/>
  <c r="G103" i="39"/>
  <c r="I102" i="39"/>
  <c r="G102" i="39"/>
  <c r="G101" i="39"/>
  <c r="I100" i="39"/>
  <c r="T90" i="39"/>
  <c r="G89" i="39"/>
  <c r="I88" i="39"/>
  <c r="G88" i="39"/>
  <c r="T87" i="39"/>
  <c r="I87" i="39"/>
  <c r="G87" i="39"/>
  <c r="G86" i="39"/>
  <c r="D86" i="39"/>
  <c r="I86" i="39" s="1"/>
  <c r="G85" i="39"/>
  <c r="I84" i="39"/>
  <c r="I83" i="39"/>
  <c r="G83" i="39"/>
  <c r="C83" i="39"/>
  <c r="I82" i="39"/>
  <c r="I81" i="39"/>
  <c r="G81" i="39"/>
  <c r="G80" i="39"/>
  <c r="I79" i="39"/>
  <c r="G79" i="39"/>
  <c r="G78" i="39"/>
  <c r="I77" i="39"/>
  <c r="T67" i="39"/>
  <c r="G66" i="39"/>
  <c r="I65" i="39"/>
  <c r="G65" i="39"/>
  <c r="T64" i="39"/>
  <c r="I64" i="39"/>
  <c r="G64" i="39"/>
  <c r="G63" i="39"/>
  <c r="D63" i="39"/>
  <c r="I63" i="39" s="1"/>
  <c r="G62" i="39"/>
  <c r="I61" i="39"/>
  <c r="I60" i="39"/>
  <c r="G60" i="39"/>
  <c r="C60" i="39"/>
  <c r="I59" i="39"/>
  <c r="I58" i="39"/>
  <c r="G58" i="39"/>
  <c r="G57" i="39"/>
  <c r="I56" i="39"/>
  <c r="G56" i="39"/>
  <c r="G55" i="39"/>
  <c r="I54" i="39"/>
  <c r="T44" i="39"/>
  <c r="G43" i="39"/>
  <c r="I42" i="39"/>
  <c r="G42" i="39"/>
  <c r="T41" i="39"/>
  <c r="I41" i="39"/>
  <c r="G41" i="39"/>
  <c r="G40" i="39"/>
  <c r="D40" i="39"/>
  <c r="I40" i="39" s="1"/>
  <c r="G39" i="39"/>
  <c r="I38" i="39"/>
  <c r="I37" i="39"/>
  <c r="G37" i="39"/>
  <c r="C37" i="39"/>
  <c r="I36" i="39"/>
  <c r="I35" i="39"/>
  <c r="G35" i="39"/>
  <c r="G34" i="39"/>
  <c r="I33" i="39"/>
  <c r="G33" i="39"/>
  <c r="G32" i="39"/>
  <c r="I31" i="39"/>
  <c r="B26" i="39"/>
  <c r="B49" i="39" s="1"/>
  <c r="T21" i="39"/>
  <c r="G20" i="39"/>
  <c r="I19" i="39"/>
  <c r="G19" i="39"/>
  <c r="T18" i="39"/>
  <c r="I18" i="39"/>
  <c r="G18" i="39"/>
  <c r="G17" i="39"/>
  <c r="D17" i="39"/>
  <c r="I17" i="39" s="1"/>
  <c r="G16" i="39"/>
  <c r="I15" i="39"/>
  <c r="I14" i="39"/>
  <c r="G14" i="39"/>
  <c r="C14" i="39"/>
  <c r="I13" i="39"/>
  <c r="I12" i="39"/>
  <c r="G12" i="39"/>
  <c r="G11" i="39"/>
  <c r="I10" i="39"/>
  <c r="G10" i="39"/>
  <c r="G9" i="39"/>
  <c r="I8" i="39"/>
  <c r="S4" i="39"/>
  <c r="T159" i="38"/>
  <c r="G158" i="38"/>
  <c r="I157" i="38"/>
  <c r="G157" i="38"/>
  <c r="T156" i="38"/>
  <c r="I156" i="38"/>
  <c r="G156" i="38"/>
  <c r="G155" i="38"/>
  <c r="D155" i="38"/>
  <c r="I155" i="38" s="1"/>
  <c r="G154" i="38"/>
  <c r="I153" i="38"/>
  <c r="I152" i="38"/>
  <c r="G152" i="38"/>
  <c r="C152" i="38"/>
  <c r="I151" i="38"/>
  <c r="I150" i="38"/>
  <c r="G150" i="38"/>
  <c r="G149" i="38"/>
  <c r="I148" i="38"/>
  <c r="G148" i="38"/>
  <c r="G147" i="38"/>
  <c r="I146" i="38"/>
  <c r="T136" i="38"/>
  <c r="G135" i="38"/>
  <c r="I134" i="38"/>
  <c r="G134" i="38"/>
  <c r="T133" i="38"/>
  <c r="I133" i="38"/>
  <c r="G133" i="38"/>
  <c r="G132" i="38"/>
  <c r="D132" i="38"/>
  <c r="I132" i="38" s="1"/>
  <c r="G131" i="38"/>
  <c r="I130" i="38"/>
  <c r="I129" i="38"/>
  <c r="G129" i="38"/>
  <c r="C129" i="38"/>
  <c r="I128" i="38"/>
  <c r="I127" i="38"/>
  <c r="G127" i="38"/>
  <c r="G126" i="38"/>
  <c r="I125" i="38"/>
  <c r="G125" i="38"/>
  <c r="G124" i="38"/>
  <c r="I123" i="38"/>
  <c r="T113" i="38"/>
  <c r="G112" i="38"/>
  <c r="I111" i="38"/>
  <c r="G111" i="38"/>
  <c r="T110" i="38"/>
  <c r="I110" i="38"/>
  <c r="G110" i="38"/>
  <c r="G109" i="38"/>
  <c r="D109" i="38"/>
  <c r="I109" i="38" s="1"/>
  <c r="G108" i="38"/>
  <c r="I107" i="38"/>
  <c r="I106" i="38"/>
  <c r="G106" i="38"/>
  <c r="C106" i="38"/>
  <c r="I105" i="38"/>
  <c r="I104" i="38"/>
  <c r="G104" i="38"/>
  <c r="G103" i="38"/>
  <c r="I102" i="38"/>
  <c r="G102" i="38"/>
  <c r="G101" i="38"/>
  <c r="I100" i="38"/>
  <c r="T90" i="38"/>
  <c r="G89" i="38"/>
  <c r="I88" i="38"/>
  <c r="G88" i="38"/>
  <c r="T87" i="38"/>
  <c r="I87" i="38"/>
  <c r="G87" i="38"/>
  <c r="G86" i="38"/>
  <c r="D86" i="38"/>
  <c r="I86" i="38" s="1"/>
  <c r="G85" i="38"/>
  <c r="I84" i="38"/>
  <c r="I83" i="38"/>
  <c r="G83" i="38"/>
  <c r="C83" i="38"/>
  <c r="I82" i="38"/>
  <c r="I81" i="38"/>
  <c r="G81" i="38"/>
  <c r="G80" i="38"/>
  <c r="I79" i="38"/>
  <c r="G79" i="38"/>
  <c r="G78" i="38"/>
  <c r="I77" i="38"/>
  <c r="T67" i="38"/>
  <c r="G66" i="38"/>
  <c r="I65" i="38"/>
  <c r="G65" i="38"/>
  <c r="T64" i="38"/>
  <c r="I64" i="38"/>
  <c r="G64" i="38"/>
  <c r="G63" i="38"/>
  <c r="D63" i="38"/>
  <c r="I63" i="38" s="1"/>
  <c r="G62" i="38"/>
  <c r="I61" i="38"/>
  <c r="I60" i="38"/>
  <c r="G60" i="38"/>
  <c r="C60" i="38"/>
  <c r="I59" i="38"/>
  <c r="I58" i="38"/>
  <c r="G58" i="38"/>
  <c r="G57" i="38"/>
  <c r="I56" i="38"/>
  <c r="G56" i="38"/>
  <c r="G55" i="38"/>
  <c r="I54" i="38"/>
  <c r="T44" i="38"/>
  <c r="G43" i="38"/>
  <c r="I42" i="38"/>
  <c r="G42" i="38"/>
  <c r="T41" i="38"/>
  <c r="I41" i="38"/>
  <c r="G41" i="38"/>
  <c r="G40" i="38"/>
  <c r="D40" i="38"/>
  <c r="I40" i="38" s="1"/>
  <c r="G39" i="38"/>
  <c r="I38" i="38"/>
  <c r="I37" i="38"/>
  <c r="G37" i="38"/>
  <c r="C37" i="38"/>
  <c r="I36" i="38"/>
  <c r="I35" i="38"/>
  <c r="G35" i="38"/>
  <c r="G34" i="38"/>
  <c r="I33" i="38"/>
  <c r="G33" i="38"/>
  <c r="G32" i="38"/>
  <c r="I31" i="38"/>
  <c r="B26" i="38"/>
  <c r="B49" i="38" s="1"/>
  <c r="T21" i="38"/>
  <c r="G20" i="38"/>
  <c r="I19" i="38"/>
  <c r="G19" i="38"/>
  <c r="T18" i="38"/>
  <c r="I18" i="38"/>
  <c r="G18" i="38"/>
  <c r="G17" i="38"/>
  <c r="D17" i="38"/>
  <c r="I17" i="38" s="1"/>
  <c r="G16" i="38"/>
  <c r="I15" i="38"/>
  <c r="I14" i="38"/>
  <c r="G14" i="38"/>
  <c r="C14" i="38"/>
  <c r="I13" i="38"/>
  <c r="I12" i="38"/>
  <c r="G12" i="38"/>
  <c r="G11" i="38"/>
  <c r="I10" i="38"/>
  <c r="G10" i="38"/>
  <c r="G9" i="38"/>
  <c r="I8" i="38"/>
  <c r="S4" i="38"/>
  <c r="T159" i="37"/>
  <c r="G158" i="37"/>
  <c r="I157" i="37"/>
  <c r="G157" i="37"/>
  <c r="T156" i="37"/>
  <c r="I156" i="37"/>
  <c r="G156" i="37"/>
  <c r="G155" i="37"/>
  <c r="D155" i="37"/>
  <c r="I155" i="37" s="1"/>
  <c r="G154" i="37"/>
  <c r="I153" i="37"/>
  <c r="I152" i="37"/>
  <c r="G152" i="37"/>
  <c r="C152" i="37"/>
  <c r="I151" i="37"/>
  <c r="I150" i="37"/>
  <c r="G150" i="37"/>
  <c r="G149" i="37"/>
  <c r="I148" i="37"/>
  <c r="G148" i="37"/>
  <c r="G147" i="37"/>
  <c r="I146" i="37"/>
  <c r="T136" i="37"/>
  <c r="G135" i="37"/>
  <c r="I134" i="37"/>
  <c r="G134" i="37"/>
  <c r="T133" i="37"/>
  <c r="I133" i="37"/>
  <c r="G133" i="37"/>
  <c r="G132" i="37"/>
  <c r="D132" i="37"/>
  <c r="I132" i="37" s="1"/>
  <c r="G131" i="37"/>
  <c r="I130" i="37"/>
  <c r="I129" i="37"/>
  <c r="G129" i="37"/>
  <c r="C129" i="37"/>
  <c r="I128" i="37"/>
  <c r="I127" i="37"/>
  <c r="G127" i="37"/>
  <c r="G126" i="37"/>
  <c r="I125" i="37"/>
  <c r="G125" i="37"/>
  <c r="G124" i="37"/>
  <c r="I123" i="37"/>
  <c r="T113" i="37"/>
  <c r="G112" i="37"/>
  <c r="I111" i="37"/>
  <c r="G111" i="37"/>
  <c r="T110" i="37"/>
  <c r="I110" i="37"/>
  <c r="G110" i="37"/>
  <c r="G109" i="37"/>
  <c r="D109" i="37"/>
  <c r="I109" i="37" s="1"/>
  <c r="G108" i="37"/>
  <c r="I107" i="37"/>
  <c r="I106" i="37"/>
  <c r="G106" i="37"/>
  <c r="C106" i="37"/>
  <c r="I105" i="37"/>
  <c r="I104" i="37"/>
  <c r="G104" i="37"/>
  <c r="G103" i="37"/>
  <c r="I102" i="37"/>
  <c r="G102" i="37"/>
  <c r="G101" i="37"/>
  <c r="I100" i="37"/>
  <c r="T90" i="37"/>
  <c r="G89" i="37"/>
  <c r="I88" i="37"/>
  <c r="G88" i="37"/>
  <c r="T87" i="37"/>
  <c r="I87" i="37"/>
  <c r="G87" i="37"/>
  <c r="I86" i="37"/>
  <c r="G86" i="37"/>
  <c r="D86" i="37"/>
  <c r="G85" i="37"/>
  <c r="I84" i="37"/>
  <c r="I83" i="37"/>
  <c r="G83" i="37"/>
  <c r="C83" i="37"/>
  <c r="I82" i="37"/>
  <c r="I81" i="37"/>
  <c r="G81" i="37"/>
  <c r="G80" i="37"/>
  <c r="I79" i="37"/>
  <c r="G79" i="37"/>
  <c r="G78" i="37"/>
  <c r="I77" i="37"/>
  <c r="T67" i="37"/>
  <c r="G66" i="37"/>
  <c r="I65" i="37"/>
  <c r="G65" i="37"/>
  <c r="T64" i="37"/>
  <c r="I64" i="37"/>
  <c r="G64" i="37"/>
  <c r="G63" i="37"/>
  <c r="D63" i="37"/>
  <c r="I63" i="37" s="1"/>
  <c r="G62" i="37"/>
  <c r="I61" i="37"/>
  <c r="I60" i="37"/>
  <c r="G60" i="37"/>
  <c r="C60" i="37"/>
  <c r="I59" i="37"/>
  <c r="I58" i="37"/>
  <c r="G58" i="37"/>
  <c r="G57" i="37"/>
  <c r="I56" i="37"/>
  <c r="G56" i="37"/>
  <c r="G55" i="37"/>
  <c r="I54" i="37"/>
  <c r="T44" i="37"/>
  <c r="G43" i="37"/>
  <c r="I42" i="37"/>
  <c r="G42" i="37"/>
  <c r="T41" i="37"/>
  <c r="I41" i="37"/>
  <c r="G41" i="37"/>
  <c r="G40" i="37"/>
  <c r="D40" i="37"/>
  <c r="I40" i="37" s="1"/>
  <c r="G39" i="37"/>
  <c r="I38" i="37"/>
  <c r="I37" i="37"/>
  <c r="G37" i="37"/>
  <c r="C37" i="37"/>
  <c r="I36" i="37"/>
  <c r="I35" i="37"/>
  <c r="G35" i="37"/>
  <c r="G34" i="37"/>
  <c r="I33" i="37"/>
  <c r="G33" i="37"/>
  <c r="G32" i="37"/>
  <c r="I31" i="37"/>
  <c r="B26" i="37"/>
  <c r="S27" i="37" s="1"/>
  <c r="T21" i="37"/>
  <c r="G20" i="37"/>
  <c r="I19" i="37"/>
  <c r="G19" i="37"/>
  <c r="T18" i="37"/>
  <c r="I18" i="37"/>
  <c r="G18" i="37"/>
  <c r="G17" i="37"/>
  <c r="D17" i="37"/>
  <c r="I17" i="37" s="1"/>
  <c r="G16" i="37"/>
  <c r="I15" i="37"/>
  <c r="I14" i="37"/>
  <c r="G14" i="37"/>
  <c r="C14" i="37"/>
  <c r="I13" i="37"/>
  <c r="I12" i="37"/>
  <c r="G12" i="37"/>
  <c r="G11" i="37"/>
  <c r="I10" i="37"/>
  <c r="G10" i="37"/>
  <c r="G9" i="37"/>
  <c r="I8" i="37"/>
  <c r="S4" i="37"/>
  <c r="T159" i="36"/>
  <c r="G158" i="36"/>
  <c r="I157" i="36"/>
  <c r="G157" i="36"/>
  <c r="T156" i="36"/>
  <c r="I156" i="36"/>
  <c r="G156" i="36"/>
  <c r="G155" i="36"/>
  <c r="D155" i="36"/>
  <c r="I155" i="36" s="1"/>
  <c r="G154" i="36"/>
  <c r="I153" i="36"/>
  <c r="I152" i="36"/>
  <c r="G152" i="36"/>
  <c r="C152" i="36"/>
  <c r="I151" i="36"/>
  <c r="I150" i="36"/>
  <c r="G150" i="36"/>
  <c r="G149" i="36"/>
  <c r="I148" i="36"/>
  <c r="G148" i="36"/>
  <c r="G147" i="36"/>
  <c r="I146" i="36"/>
  <c r="T136" i="36"/>
  <c r="G135" i="36"/>
  <c r="I134" i="36"/>
  <c r="G134" i="36"/>
  <c r="T133" i="36"/>
  <c r="I133" i="36"/>
  <c r="G133" i="36"/>
  <c r="G132" i="36"/>
  <c r="D132" i="36"/>
  <c r="I132" i="36" s="1"/>
  <c r="G131" i="36"/>
  <c r="I130" i="36"/>
  <c r="I129" i="36"/>
  <c r="G129" i="36"/>
  <c r="C129" i="36"/>
  <c r="I128" i="36"/>
  <c r="I127" i="36"/>
  <c r="G127" i="36"/>
  <c r="G126" i="36"/>
  <c r="I125" i="36"/>
  <c r="G125" i="36"/>
  <c r="G124" i="36"/>
  <c r="I123" i="36"/>
  <c r="T113" i="36"/>
  <c r="G112" i="36"/>
  <c r="I111" i="36"/>
  <c r="G111" i="36"/>
  <c r="T110" i="36"/>
  <c r="I110" i="36"/>
  <c r="G110" i="36"/>
  <c r="G109" i="36"/>
  <c r="D109" i="36"/>
  <c r="I109" i="36" s="1"/>
  <c r="G108" i="36"/>
  <c r="I107" i="36"/>
  <c r="I106" i="36"/>
  <c r="G106" i="36"/>
  <c r="C106" i="36"/>
  <c r="I105" i="36"/>
  <c r="I104" i="36"/>
  <c r="G104" i="36"/>
  <c r="G103" i="36"/>
  <c r="I102" i="36"/>
  <c r="G102" i="36"/>
  <c r="G101" i="36"/>
  <c r="I100" i="36"/>
  <c r="T90" i="36"/>
  <c r="G89" i="36"/>
  <c r="I88" i="36"/>
  <c r="G88" i="36"/>
  <c r="T87" i="36"/>
  <c r="I87" i="36"/>
  <c r="G87" i="36"/>
  <c r="G86" i="36"/>
  <c r="D86" i="36"/>
  <c r="I86" i="36" s="1"/>
  <c r="G85" i="36"/>
  <c r="I84" i="36"/>
  <c r="I83" i="36"/>
  <c r="G83" i="36"/>
  <c r="C83" i="36"/>
  <c r="I82" i="36"/>
  <c r="I81" i="36"/>
  <c r="G81" i="36"/>
  <c r="G80" i="36"/>
  <c r="I79" i="36"/>
  <c r="G79" i="36"/>
  <c r="G78" i="36"/>
  <c r="I77" i="36"/>
  <c r="T67" i="36"/>
  <c r="G66" i="36"/>
  <c r="I65" i="36"/>
  <c r="G65" i="36"/>
  <c r="T64" i="36"/>
  <c r="I64" i="36"/>
  <c r="G64" i="36"/>
  <c r="G63" i="36"/>
  <c r="D63" i="36"/>
  <c r="I63" i="36" s="1"/>
  <c r="G62" i="36"/>
  <c r="I61" i="36"/>
  <c r="I60" i="36"/>
  <c r="G60" i="36"/>
  <c r="C60" i="36"/>
  <c r="I59" i="36"/>
  <c r="I58" i="36"/>
  <c r="G58" i="36"/>
  <c r="G57" i="36"/>
  <c r="I56" i="36"/>
  <c r="G56" i="36"/>
  <c r="G55" i="36"/>
  <c r="I54" i="36"/>
  <c r="T44" i="36"/>
  <c r="G43" i="36"/>
  <c r="I42" i="36"/>
  <c r="G42" i="36"/>
  <c r="T41" i="36"/>
  <c r="I41" i="36"/>
  <c r="G41" i="36"/>
  <c r="G40" i="36"/>
  <c r="D40" i="36"/>
  <c r="I40" i="36" s="1"/>
  <c r="G39" i="36"/>
  <c r="I38" i="36"/>
  <c r="I37" i="36"/>
  <c r="G37" i="36"/>
  <c r="C37" i="36"/>
  <c r="I36" i="36"/>
  <c r="I35" i="36"/>
  <c r="G35" i="36"/>
  <c r="G34" i="36"/>
  <c r="I33" i="36"/>
  <c r="G33" i="36"/>
  <c r="G32" i="36"/>
  <c r="I31" i="36"/>
  <c r="B26" i="36"/>
  <c r="B49" i="36" s="1"/>
  <c r="T21" i="36"/>
  <c r="G20" i="36"/>
  <c r="I19" i="36"/>
  <c r="G19" i="36"/>
  <c r="T18" i="36"/>
  <c r="I18" i="36"/>
  <c r="G18" i="36"/>
  <c r="G17" i="36"/>
  <c r="D17" i="36"/>
  <c r="I17" i="36" s="1"/>
  <c r="G16" i="36"/>
  <c r="I15" i="36"/>
  <c r="I14" i="36"/>
  <c r="G14" i="36"/>
  <c r="C14" i="36"/>
  <c r="I13" i="36"/>
  <c r="I12" i="36"/>
  <c r="G12" i="36"/>
  <c r="G11" i="36"/>
  <c r="I10" i="36"/>
  <c r="G10" i="36"/>
  <c r="G9" i="36"/>
  <c r="I8" i="36"/>
  <c r="S4" i="36"/>
  <c r="T159" i="35"/>
  <c r="G158" i="35"/>
  <c r="I157" i="35"/>
  <c r="G157" i="35"/>
  <c r="T156" i="35"/>
  <c r="I156" i="35"/>
  <c r="G156" i="35"/>
  <c r="G155" i="35"/>
  <c r="D155" i="35"/>
  <c r="I155" i="35" s="1"/>
  <c r="G154" i="35"/>
  <c r="I153" i="35"/>
  <c r="I152" i="35"/>
  <c r="G152" i="35"/>
  <c r="C152" i="35"/>
  <c r="I151" i="35"/>
  <c r="I150" i="35"/>
  <c r="G150" i="35"/>
  <c r="G149" i="35"/>
  <c r="I148" i="35"/>
  <c r="G148" i="35"/>
  <c r="G147" i="35"/>
  <c r="I146" i="35"/>
  <c r="T136" i="35"/>
  <c r="G135" i="35"/>
  <c r="I134" i="35"/>
  <c r="G134" i="35"/>
  <c r="T133" i="35"/>
  <c r="I133" i="35"/>
  <c r="G133" i="35"/>
  <c r="G132" i="35"/>
  <c r="D132" i="35"/>
  <c r="I132" i="35" s="1"/>
  <c r="G131" i="35"/>
  <c r="I130" i="35"/>
  <c r="I129" i="35"/>
  <c r="G129" i="35"/>
  <c r="C129" i="35"/>
  <c r="I128" i="35"/>
  <c r="I127" i="35"/>
  <c r="G127" i="35"/>
  <c r="G126" i="35"/>
  <c r="I125" i="35"/>
  <c r="G125" i="35"/>
  <c r="G124" i="35"/>
  <c r="I123" i="35"/>
  <c r="T113" i="35"/>
  <c r="G112" i="35"/>
  <c r="I111" i="35"/>
  <c r="G111" i="35"/>
  <c r="T110" i="35"/>
  <c r="I110" i="35"/>
  <c r="G110" i="35"/>
  <c r="G109" i="35"/>
  <c r="D109" i="35"/>
  <c r="I109" i="35" s="1"/>
  <c r="G108" i="35"/>
  <c r="I107" i="35"/>
  <c r="I106" i="35"/>
  <c r="G106" i="35"/>
  <c r="C106" i="35"/>
  <c r="I105" i="35"/>
  <c r="I104" i="35"/>
  <c r="G104" i="35"/>
  <c r="G103" i="35"/>
  <c r="I102" i="35"/>
  <c r="G102" i="35"/>
  <c r="G101" i="35"/>
  <c r="I100" i="35"/>
  <c r="T90" i="35"/>
  <c r="G89" i="35"/>
  <c r="I88" i="35"/>
  <c r="G88" i="35"/>
  <c r="T87" i="35"/>
  <c r="I87" i="35"/>
  <c r="G87" i="35"/>
  <c r="G86" i="35"/>
  <c r="D86" i="35"/>
  <c r="I86" i="35" s="1"/>
  <c r="G85" i="35"/>
  <c r="I84" i="35"/>
  <c r="I83" i="35"/>
  <c r="G83" i="35"/>
  <c r="C83" i="35"/>
  <c r="I82" i="35"/>
  <c r="I81" i="35"/>
  <c r="G81" i="35"/>
  <c r="G80" i="35"/>
  <c r="I79" i="35"/>
  <c r="G79" i="35"/>
  <c r="G78" i="35"/>
  <c r="I77" i="35"/>
  <c r="T67" i="35"/>
  <c r="G66" i="35"/>
  <c r="I65" i="35"/>
  <c r="G65" i="35"/>
  <c r="T64" i="35"/>
  <c r="I64" i="35"/>
  <c r="G64" i="35"/>
  <c r="G63" i="35"/>
  <c r="D63" i="35"/>
  <c r="I63" i="35" s="1"/>
  <c r="G62" i="35"/>
  <c r="I61" i="35"/>
  <c r="I60" i="35"/>
  <c r="G60" i="35"/>
  <c r="C60" i="35"/>
  <c r="I59" i="35"/>
  <c r="I58" i="35"/>
  <c r="G58" i="35"/>
  <c r="G57" i="35"/>
  <c r="I56" i="35"/>
  <c r="G56" i="35"/>
  <c r="G55" i="35"/>
  <c r="I54" i="35"/>
  <c r="T44" i="35"/>
  <c r="G43" i="35"/>
  <c r="I42" i="35"/>
  <c r="G42" i="35"/>
  <c r="T41" i="35"/>
  <c r="I41" i="35"/>
  <c r="G41" i="35"/>
  <c r="G40" i="35"/>
  <c r="D40" i="35"/>
  <c r="I40" i="35" s="1"/>
  <c r="G39" i="35"/>
  <c r="I38" i="35"/>
  <c r="I37" i="35"/>
  <c r="G37" i="35"/>
  <c r="C37" i="35"/>
  <c r="I36" i="35"/>
  <c r="I35" i="35"/>
  <c r="G35" i="35"/>
  <c r="G34" i="35"/>
  <c r="I33" i="35"/>
  <c r="G33" i="35"/>
  <c r="G32" i="35"/>
  <c r="I31" i="35"/>
  <c r="B26" i="35"/>
  <c r="T21" i="35"/>
  <c r="G20" i="35"/>
  <c r="I19" i="35"/>
  <c r="G19" i="35"/>
  <c r="T18" i="35"/>
  <c r="I18" i="35"/>
  <c r="G18" i="35"/>
  <c r="G17" i="35"/>
  <c r="D17" i="35"/>
  <c r="I17" i="35" s="1"/>
  <c r="G16" i="35"/>
  <c r="I15" i="35"/>
  <c r="I14" i="35"/>
  <c r="G14" i="35"/>
  <c r="C14" i="35"/>
  <c r="I13" i="35"/>
  <c r="I12" i="35"/>
  <c r="G12" i="35"/>
  <c r="G11" i="35"/>
  <c r="I10" i="35"/>
  <c r="G10" i="35"/>
  <c r="G9" i="35"/>
  <c r="I8" i="35"/>
  <c r="S4" i="35"/>
  <c r="T159" i="34"/>
  <c r="G158" i="34"/>
  <c r="I157" i="34"/>
  <c r="G157" i="34"/>
  <c r="T156" i="34"/>
  <c r="I156" i="34"/>
  <c r="G156" i="34"/>
  <c r="I155" i="34"/>
  <c r="G155" i="34"/>
  <c r="D155" i="34"/>
  <c r="G154" i="34"/>
  <c r="I153" i="34"/>
  <c r="I152" i="34"/>
  <c r="G152" i="34"/>
  <c r="C152" i="34"/>
  <c r="I151" i="34"/>
  <c r="I150" i="34"/>
  <c r="G150" i="34"/>
  <c r="G149" i="34"/>
  <c r="I148" i="34"/>
  <c r="G148" i="34"/>
  <c r="G147" i="34"/>
  <c r="I146" i="34"/>
  <c r="T136" i="34"/>
  <c r="G135" i="34"/>
  <c r="I134" i="34"/>
  <c r="G134" i="34"/>
  <c r="T133" i="34"/>
  <c r="I133" i="34"/>
  <c r="G133" i="34"/>
  <c r="G132" i="34"/>
  <c r="D132" i="34"/>
  <c r="I132" i="34" s="1"/>
  <c r="G131" i="34"/>
  <c r="I130" i="34"/>
  <c r="I129" i="34"/>
  <c r="G129" i="34"/>
  <c r="C129" i="34"/>
  <c r="I128" i="34"/>
  <c r="I127" i="34"/>
  <c r="G127" i="34"/>
  <c r="G126" i="34"/>
  <c r="I125" i="34"/>
  <c r="G125" i="34"/>
  <c r="G124" i="34"/>
  <c r="I123" i="34"/>
  <c r="T113" i="34"/>
  <c r="G112" i="34"/>
  <c r="I111" i="34"/>
  <c r="G111" i="34"/>
  <c r="T110" i="34"/>
  <c r="I110" i="34"/>
  <c r="G110" i="34"/>
  <c r="G109" i="34"/>
  <c r="D109" i="34"/>
  <c r="I109" i="34" s="1"/>
  <c r="G108" i="34"/>
  <c r="I107" i="34"/>
  <c r="I106" i="34"/>
  <c r="G106" i="34"/>
  <c r="C106" i="34"/>
  <c r="I105" i="34"/>
  <c r="I104" i="34"/>
  <c r="G104" i="34"/>
  <c r="G103" i="34"/>
  <c r="I102" i="34"/>
  <c r="G102" i="34"/>
  <c r="G101" i="34"/>
  <c r="I100" i="34"/>
  <c r="T90" i="34"/>
  <c r="G89" i="34"/>
  <c r="I88" i="34"/>
  <c r="G88" i="34"/>
  <c r="T87" i="34"/>
  <c r="I87" i="34"/>
  <c r="G87" i="34"/>
  <c r="G86" i="34"/>
  <c r="D86" i="34"/>
  <c r="I86" i="34" s="1"/>
  <c r="G85" i="34"/>
  <c r="I84" i="34"/>
  <c r="I83" i="34"/>
  <c r="G83" i="34"/>
  <c r="C83" i="34"/>
  <c r="I82" i="34"/>
  <c r="I81" i="34"/>
  <c r="G81" i="34"/>
  <c r="G80" i="34"/>
  <c r="I79" i="34"/>
  <c r="G79" i="34"/>
  <c r="G78" i="34"/>
  <c r="I77" i="34"/>
  <c r="T67" i="34"/>
  <c r="G66" i="34"/>
  <c r="I65" i="34"/>
  <c r="G65" i="34"/>
  <c r="T64" i="34"/>
  <c r="I64" i="34"/>
  <c r="G64" i="34"/>
  <c r="G63" i="34"/>
  <c r="D63" i="34"/>
  <c r="I63" i="34" s="1"/>
  <c r="G62" i="34"/>
  <c r="I61" i="34"/>
  <c r="I60" i="34"/>
  <c r="G60" i="34"/>
  <c r="C60" i="34"/>
  <c r="I59" i="34"/>
  <c r="I58" i="34"/>
  <c r="G58" i="34"/>
  <c r="G57" i="34"/>
  <c r="I56" i="34"/>
  <c r="G56" i="34"/>
  <c r="G55" i="34"/>
  <c r="I54" i="34"/>
  <c r="T44" i="34"/>
  <c r="G43" i="34"/>
  <c r="I42" i="34"/>
  <c r="G42" i="34"/>
  <c r="T41" i="34"/>
  <c r="I41" i="34"/>
  <c r="G41" i="34"/>
  <c r="G40" i="34"/>
  <c r="D40" i="34"/>
  <c r="I40" i="34" s="1"/>
  <c r="G39" i="34"/>
  <c r="I38" i="34"/>
  <c r="I37" i="34"/>
  <c r="G37" i="34"/>
  <c r="C37" i="34"/>
  <c r="I36" i="34"/>
  <c r="I35" i="34"/>
  <c r="G35" i="34"/>
  <c r="G34" i="34"/>
  <c r="I33" i="34"/>
  <c r="G33" i="34"/>
  <c r="G32" i="34"/>
  <c r="I31" i="34"/>
  <c r="B26" i="34"/>
  <c r="B49" i="34" s="1"/>
  <c r="T21" i="34"/>
  <c r="G20" i="34"/>
  <c r="I19" i="34"/>
  <c r="G19" i="34"/>
  <c r="T18" i="34"/>
  <c r="I18" i="34"/>
  <c r="G18" i="34"/>
  <c r="G17" i="34"/>
  <c r="D17" i="34"/>
  <c r="I17" i="34" s="1"/>
  <c r="G16" i="34"/>
  <c r="I15" i="34"/>
  <c r="I14" i="34"/>
  <c r="G14" i="34"/>
  <c r="C14" i="34"/>
  <c r="I13" i="34"/>
  <c r="I12" i="34"/>
  <c r="G12" i="34"/>
  <c r="G11" i="34"/>
  <c r="I10" i="34"/>
  <c r="G10" i="34"/>
  <c r="G9" i="34"/>
  <c r="I8" i="34"/>
  <c r="S4" i="34"/>
  <c r="T159" i="33"/>
  <c r="G158" i="33"/>
  <c r="I157" i="33"/>
  <c r="G157" i="33"/>
  <c r="T156" i="33"/>
  <c r="I156" i="33"/>
  <c r="G156" i="33"/>
  <c r="G155" i="33"/>
  <c r="D155" i="33"/>
  <c r="I155" i="33" s="1"/>
  <c r="G154" i="33"/>
  <c r="I153" i="33"/>
  <c r="I152" i="33"/>
  <c r="G152" i="33"/>
  <c r="C152" i="33"/>
  <c r="I151" i="33"/>
  <c r="I150" i="33"/>
  <c r="G150" i="33"/>
  <c r="G149" i="33"/>
  <c r="I148" i="33"/>
  <c r="G148" i="33"/>
  <c r="G147" i="33"/>
  <c r="I146" i="33"/>
  <c r="T136" i="33"/>
  <c r="G135" i="33"/>
  <c r="I134" i="33"/>
  <c r="G134" i="33"/>
  <c r="T133" i="33"/>
  <c r="I133" i="33"/>
  <c r="G133" i="33"/>
  <c r="G132" i="33"/>
  <c r="D132" i="33"/>
  <c r="I132" i="33" s="1"/>
  <c r="G131" i="33"/>
  <c r="I130" i="33"/>
  <c r="I129" i="33"/>
  <c r="G129" i="33"/>
  <c r="C129" i="33"/>
  <c r="I128" i="33"/>
  <c r="I127" i="33"/>
  <c r="G127" i="33"/>
  <c r="G126" i="33"/>
  <c r="I125" i="33"/>
  <c r="G125" i="33"/>
  <c r="G124" i="33"/>
  <c r="I123" i="33"/>
  <c r="T113" i="33"/>
  <c r="G112" i="33"/>
  <c r="I111" i="33"/>
  <c r="G111" i="33"/>
  <c r="T110" i="33"/>
  <c r="I110" i="33"/>
  <c r="G110" i="33"/>
  <c r="G109" i="33"/>
  <c r="D109" i="33"/>
  <c r="I109" i="33" s="1"/>
  <c r="G108" i="33"/>
  <c r="I107" i="33"/>
  <c r="I106" i="33"/>
  <c r="G106" i="33"/>
  <c r="C106" i="33"/>
  <c r="I105" i="33"/>
  <c r="I104" i="33"/>
  <c r="G104" i="33"/>
  <c r="G103" i="33"/>
  <c r="I102" i="33"/>
  <c r="G102" i="33"/>
  <c r="G101" i="33"/>
  <c r="I100" i="33"/>
  <c r="T90" i="33"/>
  <c r="G89" i="33"/>
  <c r="I88" i="33"/>
  <c r="G88" i="33"/>
  <c r="T87" i="33"/>
  <c r="I87" i="33"/>
  <c r="G87" i="33"/>
  <c r="G86" i="33"/>
  <c r="D86" i="33"/>
  <c r="I86" i="33" s="1"/>
  <c r="G85" i="33"/>
  <c r="I84" i="33"/>
  <c r="I83" i="33"/>
  <c r="G83" i="33"/>
  <c r="C83" i="33"/>
  <c r="I82" i="33"/>
  <c r="I81" i="33"/>
  <c r="G81" i="33"/>
  <c r="G80" i="33"/>
  <c r="I79" i="33"/>
  <c r="G79" i="33"/>
  <c r="G78" i="33"/>
  <c r="I77" i="33"/>
  <c r="T67" i="33"/>
  <c r="G66" i="33"/>
  <c r="I65" i="33"/>
  <c r="G65" i="33"/>
  <c r="T64" i="33"/>
  <c r="I64" i="33"/>
  <c r="G64" i="33"/>
  <c r="G63" i="33"/>
  <c r="D63" i="33"/>
  <c r="I63" i="33" s="1"/>
  <c r="G62" i="33"/>
  <c r="I61" i="33"/>
  <c r="I60" i="33"/>
  <c r="G60" i="33"/>
  <c r="C60" i="33"/>
  <c r="I59" i="33"/>
  <c r="I58" i="33"/>
  <c r="G58" i="33"/>
  <c r="G57" i="33"/>
  <c r="I56" i="33"/>
  <c r="G56" i="33"/>
  <c r="G55" i="33"/>
  <c r="I54" i="33"/>
  <c r="T44" i="33"/>
  <c r="G43" i="33"/>
  <c r="I42" i="33"/>
  <c r="G42" i="33"/>
  <c r="T41" i="33"/>
  <c r="I41" i="33"/>
  <c r="G41" i="33"/>
  <c r="G40" i="33"/>
  <c r="D40" i="33"/>
  <c r="I40" i="33" s="1"/>
  <c r="G39" i="33"/>
  <c r="I38" i="33"/>
  <c r="I37" i="33"/>
  <c r="G37" i="33"/>
  <c r="C37" i="33"/>
  <c r="I36" i="33"/>
  <c r="I35" i="33"/>
  <c r="G35" i="33"/>
  <c r="G34" i="33"/>
  <c r="I33" i="33"/>
  <c r="G33" i="33"/>
  <c r="G32" i="33"/>
  <c r="I31" i="33"/>
  <c r="B26" i="33"/>
  <c r="B49" i="33" s="1"/>
  <c r="T21" i="33"/>
  <c r="G20" i="33"/>
  <c r="I19" i="33"/>
  <c r="G19" i="33"/>
  <c r="T18" i="33"/>
  <c r="I18" i="33"/>
  <c r="G18" i="33"/>
  <c r="G17" i="33"/>
  <c r="D17" i="33"/>
  <c r="I17" i="33" s="1"/>
  <c r="G16" i="33"/>
  <c r="I15" i="33"/>
  <c r="I14" i="33"/>
  <c r="G14" i="33"/>
  <c r="C14" i="33"/>
  <c r="I13" i="33"/>
  <c r="I12" i="33"/>
  <c r="G12" i="33"/>
  <c r="G11" i="33"/>
  <c r="I10" i="33"/>
  <c r="G10" i="33"/>
  <c r="G9" i="33"/>
  <c r="I8" i="33"/>
  <c r="S4" i="33"/>
  <c r="T159" i="32"/>
  <c r="G158" i="32"/>
  <c r="I157" i="32"/>
  <c r="G157" i="32"/>
  <c r="T156" i="32"/>
  <c r="I156" i="32"/>
  <c r="G156" i="32"/>
  <c r="G155" i="32"/>
  <c r="D155" i="32"/>
  <c r="I155" i="32" s="1"/>
  <c r="G154" i="32"/>
  <c r="I153" i="32"/>
  <c r="I152" i="32"/>
  <c r="G152" i="32"/>
  <c r="C152" i="32"/>
  <c r="I151" i="32"/>
  <c r="I150" i="32"/>
  <c r="G150" i="32"/>
  <c r="G149" i="32"/>
  <c r="I148" i="32"/>
  <c r="G148" i="32"/>
  <c r="G147" i="32"/>
  <c r="I146" i="32"/>
  <c r="T136" i="32"/>
  <c r="G135" i="32"/>
  <c r="I134" i="32"/>
  <c r="G134" i="32"/>
  <c r="T133" i="32"/>
  <c r="I133" i="32"/>
  <c r="G133" i="32"/>
  <c r="G132" i="32"/>
  <c r="D132" i="32"/>
  <c r="I132" i="32" s="1"/>
  <c r="G131" i="32"/>
  <c r="I130" i="32"/>
  <c r="I129" i="32"/>
  <c r="G129" i="32"/>
  <c r="C129" i="32"/>
  <c r="I128" i="32"/>
  <c r="I127" i="32"/>
  <c r="G127" i="32"/>
  <c r="G126" i="32"/>
  <c r="I125" i="32"/>
  <c r="G125" i="32"/>
  <c r="G124" i="32"/>
  <c r="I123" i="32"/>
  <c r="T113" i="32"/>
  <c r="G112" i="32"/>
  <c r="I111" i="32"/>
  <c r="G111" i="32"/>
  <c r="T110" i="32"/>
  <c r="I110" i="32"/>
  <c r="G110" i="32"/>
  <c r="G109" i="32"/>
  <c r="D109" i="32"/>
  <c r="I109" i="32" s="1"/>
  <c r="G108" i="32"/>
  <c r="I107" i="32"/>
  <c r="I106" i="32"/>
  <c r="G106" i="32"/>
  <c r="C106" i="32"/>
  <c r="I105" i="32"/>
  <c r="I104" i="32"/>
  <c r="G104" i="32"/>
  <c r="G103" i="32"/>
  <c r="I102" i="32"/>
  <c r="G102" i="32"/>
  <c r="G101" i="32"/>
  <c r="I100" i="32"/>
  <c r="T90" i="32"/>
  <c r="G89" i="32"/>
  <c r="I88" i="32"/>
  <c r="G88" i="32"/>
  <c r="T87" i="32"/>
  <c r="I87" i="32"/>
  <c r="G87" i="32"/>
  <c r="G86" i="32"/>
  <c r="D86" i="32"/>
  <c r="I86" i="32" s="1"/>
  <c r="G85" i="32"/>
  <c r="I84" i="32"/>
  <c r="I83" i="32"/>
  <c r="G83" i="32"/>
  <c r="C83" i="32"/>
  <c r="I82" i="32"/>
  <c r="I81" i="32"/>
  <c r="G81" i="32"/>
  <c r="G80" i="32"/>
  <c r="I79" i="32"/>
  <c r="G79" i="32"/>
  <c r="G78" i="32"/>
  <c r="I77" i="32"/>
  <c r="T67" i="32"/>
  <c r="G66" i="32"/>
  <c r="I65" i="32"/>
  <c r="G65" i="32"/>
  <c r="T64" i="32"/>
  <c r="I64" i="32"/>
  <c r="G64" i="32"/>
  <c r="G63" i="32"/>
  <c r="D63" i="32"/>
  <c r="I63" i="32" s="1"/>
  <c r="G62" i="32"/>
  <c r="I61" i="32"/>
  <c r="I60" i="32"/>
  <c r="G60" i="32"/>
  <c r="C60" i="32"/>
  <c r="I59" i="32"/>
  <c r="I58" i="32"/>
  <c r="G58" i="32"/>
  <c r="G57" i="32"/>
  <c r="I56" i="32"/>
  <c r="G56" i="32"/>
  <c r="G55" i="32"/>
  <c r="I54" i="32"/>
  <c r="T44" i="32"/>
  <c r="G43" i="32"/>
  <c r="I42" i="32"/>
  <c r="G42" i="32"/>
  <c r="T41" i="32"/>
  <c r="I41" i="32"/>
  <c r="G41" i="32"/>
  <c r="G40" i="32"/>
  <c r="D40" i="32"/>
  <c r="I40" i="32" s="1"/>
  <c r="G39" i="32"/>
  <c r="I38" i="32"/>
  <c r="I37" i="32"/>
  <c r="G37" i="32"/>
  <c r="C37" i="32"/>
  <c r="I36" i="32"/>
  <c r="I35" i="32"/>
  <c r="G35" i="32"/>
  <c r="G34" i="32"/>
  <c r="I33" i="32"/>
  <c r="G33" i="32"/>
  <c r="G32" i="32"/>
  <c r="I31" i="32"/>
  <c r="S27" i="32"/>
  <c r="B26" i="32"/>
  <c r="B49" i="32" s="1"/>
  <c r="T21" i="32"/>
  <c r="G20" i="32"/>
  <c r="I19" i="32"/>
  <c r="G19" i="32"/>
  <c r="T18" i="32"/>
  <c r="I18" i="32"/>
  <c r="G18" i="32"/>
  <c r="G17" i="32"/>
  <c r="D17" i="32"/>
  <c r="I17" i="32" s="1"/>
  <c r="G16" i="32"/>
  <c r="I15" i="32"/>
  <c r="I14" i="32"/>
  <c r="G14" i="32"/>
  <c r="C14" i="32"/>
  <c r="I13" i="32"/>
  <c r="I12" i="32"/>
  <c r="G12" i="32"/>
  <c r="G11" i="32"/>
  <c r="I10" i="32"/>
  <c r="G10" i="32"/>
  <c r="G9" i="32"/>
  <c r="I8" i="32"/>
  <c r="S4" i="32"/>
  <c r="T159" i="31"/>
  <c r="G158" i="31"/>
  <c r="I157" i="31"/>
  <c r="G157" i="31"/>
  <c r="T156" i="31"/>
  <c r="I156" i="31"/>
  <c r="G156" i="31"/>
  <c r="G155" i="31"/>
  <c r="D155" i="31"/>
  <c r="I155" i="31" s="1"/>
  <c r="G154" i="31"/>
  <c r="I153" i="31"/>
  <c r="I152" i="31"/>
  <c r="G152" i="31"/>
  <c r="C152" i="31"/>
  <c r="I151" i="31"/>
  <c r="I150" i="31"/>
  <c r="G150" i="31"/>
  <c r="G149" i="31"/>
  <c r="I148" i="31"/>
  <c r="G148" i="31"/>
  <c r="G147" i="31"/>
  <c r="I146" i="31"/>
  <c r="T136" i="31"/>
  <c r="G135" i="31"/>
  <c r="I134" i="31"/>
  <c r="G134" i="31"/>
  <c r="T133" i="31"/>
  <c r="I133" i="31"/>
  <c r="G133" i="31"/>
  <c r="G132" i="31"/>
  <c r="D132" i="31"/>
  <c r="I132" i="31" s="1"/>
  <c r="G131" i="31"/>
  <c r="I130" i="31"/>
  <c r="I129" i="31"/>
  <c r="G129" i="31"/>
  <c r="C129" i="31"/>
  <c r="I128" i="31"/>
  <c r="I127" i="31"/>
  <c r="G127" i="31"/>
  <c r="G126" i="31"/>
  <c r="I125" i="31"/>
  <c r="G125" i="31"/>
  <c r="G124" i="31"/>
  <c r="I123" i="31"/>
  <c r="T113" i="31"/>
  <c r="G112" i="31"/>
  <c r="I111" i="31"/>
  <c r="G111" i="31"/>
  <c r="T110" i="31"/>
  <c r="I110" i="31"/>
  <c r="G110" i="31"/>
  <c r="G109" i="31"/>
  <c r="D109" i="31"/>
  <c r="I109" i="31" s="1"/>
  <c r="G108" i="31"/>
  <c r="I107" i="31"/>
  <c r="I106" i="31"/>
  <c r="G106" i="31"/>
  <c r="C106" i="31"/>
  <c r="I105" i="31"/>
  <c r="I104" i="31"/>
  <c r="G104" i="31"/>
  <c r="G103" i="31"/>
  <c r="I102" i="31"/>
  <c r="G102" i="31"/>
  <c r="G101" i="31"/>
  <c r="I100" i="31"/>
  <c r="T90" i="31"/>
  <c r="G89" i="31"/>
  <c r="I88" i="31"/>
  <c r="G88" i="31"/>
  <c r="T87" i="31"/>
  <c r="I87" i="31"/>
  <c r="G87" i="31"/>
  <c r="G86" i="31"/>
  <c r="D86" i="31"/>
  <c r="I86" i="31" s="1"/>
  <c r="G85" i="31"/>
  <c r="I84" i="31"/>
  <c r="I83" i="31"/>
  <c r="G83" i="31"/>
  <c r="C83" i="31"/>
  <c r="I82" i="31"/>
  <c r="I81" i="31"/>
  <c r="G81" i="31"/>
  <c r="G80" i="31"/>
  <c r="I79" i="31"/>
  <c r="G79" i="31"/>
  <c r="G78" i="31"/>
  <c r="I77" i="31"/>
  <c r="T67" i="31"/>
  <c r="G66" i="31"/>
  <c r="I65" i="31"/>
  <c r="G65" i="31"/>
  <c r="T64" i="31"/>
  <c r="I64" i="31"/>
  <c r="G64" i="31"/>
  <c r="G63" i="31"/>
  <c r="D63" i="31"/>
  <c r="I63" i="31" s="1"/>
  <c r="G62" i="31"/>
  <c r="I61" i="31"/>
  <c r="I60" i="31"/>
  <c r="G60" i="31"/>
  <c r="C60" i="31"/>
  <c r="I59" i="31"/>
  <c r="I58" i="31"/>
  <c r="G58" i="31"/>
  <c r="G57" i="31"/>
  <c r="I56" i="31"/>
  <c r="G56" i="31"/>
  <c r="G55" i="31"/>
  <c r="I54" i="31"/>
  <c r="T44" i="31"/>
  <c r="G43" i="31"/>
  <c r="I42" i="31"/>
  <c r="G42" i="31"/>
  <c r="T41" i="31"/>
  <c r="I41" i="31"/>
  <c r="G41" i="31"/>
  <c r="G40" i="31"/>
  <c r="D40" i="31"/>
  <c r="I40" i="31" s="1"/>
  <c r="G39" i="31"/>
  <c r="I38" i="31"/>
  <c r="I37" i="31"/>
  <c r="G37" i="31"/>
  <c r="C37" i="31"/>
  <c r="I36" i="31"/>
  <c r="I35" i="31"/>
  <c r="G35" i="31"/>
  <c r="G34" i="31"/>
  <c r="I33" i="31"/>
  <c r="G33" i="31"/>
  <c r="G32" i="31"/>
  <c r="I31" i="31"/>
  <c r="B26" i="31"/>
  <c r="T21" i="31"/>
  <c r="G20" i="31"/>
  <c r="I19" i="31"/>
  <c r="G19" i="31"/>
  <c r="T18" i="31"/>
  <c r="I18" i="31"/>
  <c r="G18" i="31"/>
  <c r="G17" i="31"/>
  <c r="D17" i="31"/>
  <c r="I17" i="31" s="1"/>
  <c r="G16" i="31"/>
  <c r="I15" i="31"/>
  <c r="I14" i="31"/>
  <c r="G14" i="31"/>
  <c r="C14" i="31"/>
  <c r="I13" i="31"/>
  <c r="I12" i="31"/>
  <c r="G12" i="31"/>
  <c r="G11" i="31"/>
  <c r="I10" i="31"/>
  <c r="G10" i="31"/>
  <c r="G9" i="31"/>
  <c r="I8" i="31"/>
  <c r="S4" i="31"/>
  <c r="T159" i="30"/>
  <c r="G158" i="30"/>
  <c r="I157" i="30"/>
  <c r="G157" i="30"/>
  <c r="T156" i="30"/>
  <c r="I156" i="30"/>
  <c r="G156" i="30"/>
  <c r="G155" i="30"/>
  <c r="D155" i="30"/>
  <c r="I155" i="30" s="1"/>
  <c r="G154" i="30"/>
  <c r="I153" i="30"/>
  <c r="I152" i="30"/>
  <c r="G152" i="30"/>
  <c r="C152" i="30"/>
  <c r="I151" i="30"/>
  <c r="I150" i="30"/>
  <c r="G150" i="30"/>
  <c r="G149" i="30"/>
  <c r="I148" i="30"/>
  <c r="G148" i="30"/>
  <c r="G147" i="30"/>
  <c r="I146" i="30"/>
  <c r="T136" i="30"/>
  <c r="G135" i="30"/>
  <c r="I134" i="30"/>
  <c r="G134" i="30"/>
  <c r="T133" i="30"/>
  <c r="I133" i="30"/>
  <c r="G133" i="30"/>
  <c r="G132" i="30"/>
  <c r="D132" i="30"/>
  <c r="I132" i="30" s="1"/>
  <c r="G131" i="30"/>
  <c r="I130" i="30"/>
  <c r="I129" i="30"/>
  <c r="G129" i="30"/>
  <c r="C129" i="30"/>
  <c r="I128" i="30"/>
  <c r="I127" i="30"/>
  <c r="G127" i="30"/>
  <c r="G126" i="30"/>
  <c r="I125" i="30"/>
  <c r="G125" i="30"/>
  <c r="G124" i="30"/>
  <c r="I123" i="30"/>
  <c r="T113" i="30"/>
  <c r="G112" i="30"/>
  <c r="I111" i="30"/>
  <c r="G111" i="30"/>
  <c r="T110" i="30"/>
  <c r="I110" i="30"/>
  <c r="G110" i="30"/>
  <c r="G109" i="30"/>
  <c r="D109" i="30"/>
  <c r="I109" i="30" s="1"/>
  <c r="G108" i="30"/>
  <c r="I107" i="30"/>
  <c r="I106" i="30"/>
  <c r="G106" i="30"/>
  <c r="C106" i="30"/>
  <c r="I105" i="30"/>
  <c r="I104" i="30"/>
  <c r="G104" i="30"/>
  <c r="G103" i="30"/>
  <c r="I102" i="30"/>
  <c r="G102" i="30"/>
  <c r="G101" i="30"/>
  <c r="I100" i="30"/>
  <c r="T90" i="30"/>
  <c r="G89" i="30"/>
  <c r="I88" i="30"/>
  <c r="G88" i="30"/>
  <c r="T87" i="30"/>
  <c r="I87" i="30"/>
  <c r="G87" i="30"/>
  <c r="G86" i="30"/>
  <c r="D86" i="30"/>
  <c r="I86" i="30" s="1"/>
  <c r="G85" i="30"/>
  <c r="I84" i="30"/>
  <c r="I83" i="30"/>
  <c r="G83" i="30"/>
  <c r="C83" i="30"/>
  <c r="I82" i="30"/>
  <c r="I81" i="30"/>
  <c r="G81" i="30"/>
  <c r="G80" i="30"/>
  <c r="I79" i="30"/>
  <c r="G79" i="30"/>
  <c r="G78" i="30"/>
  <c r="I77" i="30"/>
  <c r="T67" i="30"/>
  <c r="G66" i="30"/>
  <c r="I65" i="30"/>
  <c r="G65" i="30"/>
  <c r="T64" i="30"/>
  <c r="I64" i="30"/>
  <c r="G64" i="30"/>
  <c r="G63" i="30"/>
  <c r="D63" i="30"/>
  <c r="I63" i="30" s="1"/>
  <c r="G62" i="30"/>
  <c r="I61" i="30"/>
  <c r="I60" i="30"/>
  <c r="G60" i="30"/>
  <c r="C60" i="30"/>
  <c r="I59" i="30"/>
  <c r="I58" i="30"/>
  <c r="G58" i="30"/>
  <c r="G57" i="30"/>
  <c r="I56" i="30"/>
  <c r="G56" i="30"/>
  <c r="G55" i="30"/>
  <c r="I54" i="30"/>
  <c r="T44" i="30"/>
  <c r="G43" i="30"/>
  <c r="I42" i="30"/>
  <c r="G42" i="30"/>
  <c r="T41" i="30"/>
  <c r="I41" i="30"/>
  <c r="G41" i="30"/>
  <c r="G40" i="30"/>
  <c r="D40" i="30"/>
  <c r="I40" i="30" s="1"/>
  <c r="G39" i="30"/>
  <c r="I38" i="30"/>
  <c r="I37" i="30"/>
  <c r="G37" i="30"/>
  <c r="C37" i="30"/>
  <c r="I36" i="30"/>
  <c r="I35" i="30"/>
  <c r="G35" i="30"/>
  <c r="G34" i="30"/>
  <c r="I33" i="30"/>
  <c r="G33" i="30"/>
  <c r="G32" i="30"/>
  <c r="I31" i="30"/>
  <c r="S27" i="30"/>
  <c r="B26" i="30"/>
  <c r="T21" i="30"/>
  <c r="G20" i="30"/>
  <c r="I19" i="30"/>
  <c r="G19" i="30"/>
  <c r="T18" i="30"/>
  <c r="I18" i="30"/>
  <c r="G18" i="30"/>
  <c r="G17" i="30"/>
  <c r="D17" i="30"/>
  <c r="I17" i="30" s="1"/>
  <c r="G16" i="30"/>
  <c r="I15" i="30"/>
  <c r="I14" i="30"/>
  <c r="G14" i="30"/>
  <c r="C14" i="30"/>
  <c r="I13" i="30"/>
  <c r="I12" i="30"/>
  <c r="G12" i="30"/>
  <c r="G11" i="30"/>
  <c r="I10" i="30"/>
  <c r="G10" i="30"/>
  <c r="G9" i="30"/>
  <c r="I8" i="30"/>
  <c r="S4" i="30"/>
  <c r="BL153" i="29"/>
  <c r="AO153" i="29"/>
  <c r="M153" i="29"/>
  <c r="BU152" i="29"/>
  <c r="BL152" i="29"/>
  <c r="AO152" i="29"/>
  <c r="AC152" i="29" s="1"/>
  <c r="M152" i="29"/>
  <c r="BL151" i="29"/>
  <c r="AO151" i="29"/>
  <c r="AP151" i="29" s="1"/>
  <c r="M151" i="29"/>
  <c r="BL150" i="29"/>
  <c r="AO150" i="29"/>
  <c r="AC150" i="29" s="1"/>
  <c r="M150" i="29"/>
  <c r="BL149" i="29"/>
  <c r="BD149" i="29" s="1"/>
  <c r="AO149" i="29"/>
  <c r="AC149" i="29" s="1"/>
  <c r="M149" i="29"/>
  <c r="BL148" i="29"/>
  <c r="BD148" i="29" s="1"/>
  <c r="AO148" i="29"/>
  <c r="AC148" i="29" s="1"/>
  <c r="M148" i="29"/>
  <c r="BW147" i="29"/>
  <c r="BL147" i="29"/>
  <c r="BJ147" i="29" s="1"/>
  <c r="AO147" i="29"/>
  <c r="AB147" i="29" s="1"/>
  <c r="M147" i="29"/>
  <c r="BW146" i="29"/>
  <c r="BL146" i="29"/>
  <c r="AO146" i="29"/>
  <c r="AP146" i="29" s="1"/>
  <c r="M146" i="29"/>
  <c r="BW145" i="29"/>
  <c r="BL145" i="29"/>
  <c r="AX145" i="29" s="1"/>
  <c r="AO145" i="29"/>
  <c r="AP145" i="29" s="1"/>
  <c r="U145" i="29"/>
  <c r="M145" i="29"/>
  <c r="CB144" i="29"/>
  <c r="BL144" i="29"/>
  <c r="AO144" i="29"/>
  <c r="M144" i="29"/>
  <c r="E140" i="29"/>
  <c r="BN137" i="29"/>
  <c r="BN138" i="29" s="1"/>
  <c r="BN139" i="29" s="1"/>
  <c r="BN140" i="29" s="1"/>
  <c r="BN141" i="29" s="1"/>
  <c r="BN142" i="29" s="1"/>
  <c r="BN143" i="29" s="1"/>
  <c r="BN144" i="29" s="1"/>
  <c r="BN145" i="29" s="1"/>
  <c r="BN146" i="29" s="1"/>
  <c r="BN147" i="29" s="1"/>
  <c r="BN148" i="29" s="1"/>
  <c r="BN149" i="29" s="1"/>
  <c r="BN150" i="29" s="1"/>
  <c r="BN151" i="29" s="1"/>
  <c r="BN152" i="29" s="1"/>
  <c r="BN153" i="29" s="1"/>
  <c r="BN154" i="29" s="1"/>
  <c r="BN155" i="29" s="1"/>
  <c r="BL132" i="29"/>
  <c r="BD132" i="29" s="1"/>
  <c r="AO132" i="29"/>
  <c r="AP132" i="29" s="1"/>
  <c r="M132" i="29"/>
  <c r="BU131" i="29"/>
  <c r="BL131" i="29"/>
  <c r="BG131" i="29" s="1"/>
  <c r="AO131" i="29"/>
  <c r="AB131" i="29" s="1"/>
  <c r="M131" i="29"/>
  <c r="BL130" i="29"/>
  <c r="BJ130" i="29" s="1"/>
  <c r="AO130" i="29"/>
  <c r="M130" i="29"/>
  <c r="BL129" i="29"/>
  <c r="BD129" i="29" s="1"/>
  <c r="AO129" i="29"/>
  <c r="AB129" i="29" s="1"/>
  <c r="M129" i="29"/>
  <c r="BL128" i="29"/>
  <c r="AO128" i="29"/>
  <c r="AC128" i="29" s="1"/>
  <c r="M128" i="29"/>
  <c r="BL127" i="29"/>
  <c r="AO127" i="29"/>
  <c r="AC127" i="29" s="1"/>
  <c r="M127" i="29"/>
  <c r="BW126" i="29"/>
  <c r="BL126" i="29"/>
  <c r="AO126" i="29"/>
  <c r="AC126" i="29" s="1"/>
  <c r="M126" i="29"/>
  <c r="BW125" i="29"/>
  <c r="BL125" i="29"/>
  <c r="AV125" i="29" s="1"/>
  <c r="AO125" i="29"/>
  <c r="AC125" i="29" s="1"/>
  <c r="M125" i="29"/>
  <c r="BW124" i="29"/>
  <c r="BL124" i="29"/>
  <c r="BF124" i="29" s="1"/>
  <c r="AO124" i="29"/>
  <c r="AP124" i="29" s="1"/>
  <c r="U124" i="29"/>
  <c r="M124" i="29"/>
  <c r="CB123" i="29"/>
  <c r="BL123" i="29"/>
  <c r="AO123" i="29"/>
  <c r="M123" i="29"/>
  <c r="E119" i="29"/>
  <c r="BN117" i="29"/>
  <c r="BN118" i="29" s="1"/>
  <c r="BN119" i="29" s="1"/>
  <c r="BN120" i="29" s="1"/>
  <c r="BN121" i="29" s="1"/>
  <c r="BN122" i="29" s="1"/>
  <c r="BN123" i="29" s="1"/>
  <c r="BN124" i="29" s="1"/>
  <c r="BN125" i="29" s="1"/>
  <c r="BN126" i="29" s="1"/>
  <c r="BN127" i="29" s="1"/>
  <c r="BN128" i="29" s="1"/>
  <c r="BN129" i="29" s="1"/>
  <c r="BN130" i="29" s="1"/>
  <c r="BN131" i="29" s="1"/>
  <c r="BN132" i="29" s="1"/>
  <c r="BN133" i="29" s="1"/>
  <c r="BN134" i="29" s="1"/>
  <c r="BN116" i="29"/>
  <c r="BL111" i="29"/>
  <c r="BI111" i="29" s="1"/>
  <c r="AO111" i="29"/>
  <c r="AB111" i="29" s="1"/>
  <c r="M111" i="29"/>
  <c r="BU110" i="29"/>
  <c r="BL110" i="29"/>
  <c r="AV110" i="29" s="1"/>
  <c r="AO110" i="29"/>
  <c r="AC110" i="29" s="1"/>
  <c r="M110" i="29"/>
  <c r="BL109" i="29"/>
  <c r="AT109" i="29" s="1"/>
  <c r="AO109" i="29"/>
  <c r="M109" i="29"/>
  <c r="BL108" i="29"/>
  <c r="BF108" i="29" s="1"/>
  <c r="AO108" i="29"/>
  <c r="M108" i="29"/>
  <c r="BL107" i="29"/>
  <c r="BH107" i="29" s="1"/>
  <c r="AO107" i="29"/>
  <c r="M107" i="29"/>
  <c r="BL106" i="29"/>
  <c r="BC106" i="29" s="1"/>
  <c r="AO106" i="29"/>
  <c r="M106" i="29"/>
  <c r="BW105" i="29"/>
  <c r="BL105" i="29"/>
  <c r="BH105" i="29" s="1"/>
  <c r="AO105" i="29"/>
  <c r="M105" i="29"/>
  <c r="BW104" i="29"/>
  <c r="BL104" i="29"/>
  <c r="BH104" i="29" s="1"/>
  <c r="AO104" i="29"/>
  <c r="AC104" i="29" s="1"/>
  <c r="M104" i="29"/>
  <c r="BW103" i="29"/>
  <c r="BL103" i="29"/>
  <c r="BF103" i="29" s="1"/>
  <c r="AO103" i="29"/>
  <c r="AC103" i="29" s="1"/>
  <c r="U103" i="29"/>
  <c r="M103" i="29"/>
  <c r="CB102" i="29"/>
  <c r="BL102" i="29"/>
  <c r="AO102" i="29"/>
  <c r="M102" i="29"/>
  <c r="E98" i="29"/>
  <c r="BN95" i="29"/>
  <c r="BN96" i="29" s="1"/>
  <c r="BN97" i="29" s="1"/>
  <c r="BN98" i="29" s="1"/>
  <c r="BN99" i="29" s="1"/>
  <c r="BN100" i="29" s="1"/>
  <c r="BN101" i="29" s="1"/>
  <c r="BN102" i="29" s="1"/>
  <c r="BN103" i="29" s="1"/>
  <c r="BN104" i="29" s="1"/>
  <c r="BN105" i="29" s="1"/>
  <c r="BN106" i="29" s="1"/>
  <c r="BN107" i="29" s="1"/>
  <c r="BN108" i="29" s="1"/>
  <c r="BN109" i="29" s="1"/>
  <c r="BN110" i="29" s="1"/>
  <c r="BN111" i="29" s="1"/>
  <c r="BN112" i="29" s="1"/>
  <c r="BN113" i="29" s="1"/>
  <c r="BL90" i="29"/>
  <c r="BH90" i="29" s="1"/>
  <c r="AO90" i="29"/>
  <c r="AB90" i="29" s="1"/>
  <c r="M90" i="29"/>
  <c r="BU89" i="29"/>
  <c r="BL89" i="29"/>
  <c r="BF89" i="29" s="1"/>
  <c r="AO89" i="29"/>
  <c r="AC89" i="29" s="1"/>
  <c r="M89" i="29"/>
  <c r="BL88" i="29"/>
  <c r="BH88" i="29" s="1"/>
  <c r="AO88" i="29"/>
  <c r="AC88" i="29" s="1"/>
  <c r="M88" i="29"/>
  <c r="BL87" i="29"/>
  <c r="AV87" i="29" s="1"/>
  <c r="AO87" i="29"/>
  <c r="AC87" i="29" s="1"/>
  <c r="M87" i="29"/>
  <c r="BL86" i="29"/>
  <c r="AO86" i="29"/>
  <c r="AC86" i="29" s="1"/>
  <c r="M86" i="29"/>
  <c r="BL85" i="29"/>
  <c r="BH85" i="29" s="1"/>
  <c r="AO85" i="29"/>
  <c r="AC85" i="29" s="1"/>
  <c r="M85" i="29"/>
  <c r="BW84" i="29"/>
  <c r="BL84" i="29"/>
  <c r="BF84" i="29" s="1"/>
  <c r="AO84" i="29"/>
  <c r="AC84" i="29" s="1"/>
  <c r="M84" i="29"/>
  <c r="BW83" i="29"/>
  <c r="BL83" i="29"/>
  <c r="AO83" i="29"/>
  <c r="AC83" i="29" s="1"/>
  <c r="M83" i="29"/>
  <c r="BW82" i="29"/>
  <c r="BL82" i="29"/>
  <c r="BJ82" i="29" s="1"/>
  <c r="AO82" i="29"/>
  <c r="AC82" i="29" s="1"/>
  <c r="U82" i="29"/>
  <c r="M82" i="29"/>
  <c r="CB81" i="29"/>
  <c r="BL81" i="29"/>
  <c r="AO81" i="29"/>
  <c r="M81" i="29"/>
  <c r="E77" i="29"/>
  <c r="BN74" i="29"/>
  <c r="BN75" i="29" s="1"/>
  <c r="BN76" i="29" s="1"/>
  <c r="BN77" i="29" s="1"/>
  <c r="BN78" i="29" s="1"/>
  <c r="BN79" i="29" s="1"/>
  <c r="BN80" i="29" s="1"/>
  <c r="BN81" i="29" s="1"/>
  <c r="BN82" i="29" s="1"/>
  <c r="BN83" i="29" s="1"/>
  <c r="BN84" i="29" s="1"/>
  <c r="BN85" i="29" s="1"/>
  <c r="BN86" i="29" s="1"/>
  <c r="BN87" i="29" s="1"/>
  <c r="BN88" i="29" s="1"/>
  <c r="BN89" i="29" s="1"/>
  <c r="BN90" i="29" s="1"/>
  <c r="BN91" i="29" s="1"/>
  <c r="BN92" i="29" s="1"/>
  <c r="BL69" i="29"/>
  <c r="AO69" i="29"/>
  <c r="AC69" i="29" s="1"/>
  <c r="BU68" i="29"/>
  <c r="BL68" i="29"/>
  <c r="BH68" i="29" s="1"/>
  <c r="AO68" i="29"/>
  <c r="AC68" i="29" s="1"/>
  <c r="M68" i="29"/>
  <c r="BL67" i="29"/>
  <c r="AO67" i="29"/>
  <c r="AC67" i="29" s="1"/>
  <c r="M67" i="29"/>
  <c r="BL66" i="29"/>
  <c r="BJ66" i="29" s="1"/>
  <c r="AO66" i="29"/>
  <c r="AC66" i="29" s="1"/>
  <c r="M66" i="29"/>
  <c r="BL65" i="29"/>
  <c r="BJ65" i="29" s="1"/>
  <c r="AO65" i="29"/>
  <c r="AC65" i="29" s="1"/>
  <c r="M65" i="29"/>
  <c r="BL64" i="29"/>
  <c r="BJ64" i="29" s="1"/>
  <c r="AO64" i="29"/>
  <c r="AC64" i="29" s="1"/>
  <c r="M64" i="29"/>
  <c r="BW63" i="29"/>
  <c r="BL63" i="29"/>
  <c r="BH63" i="29" s="1"/>
  <c r="AO63" i="29"/>
  <c r="AC63" i="29" s="1"/>
  <c r="M63" i="29"/>
  <c r="BW62" i="29"/>
  <c r="BL62" i="29"/>
  <c r="BH62" i="29" s="1"/>
  <c r="AO62" i="29"/>
  <c r="AC62" i="29" s="1"/>
  <c r="M62" i="29"/>
  <c r="BW61" i="29"/>
  <c r="BL61" i="29"/>
  <c r="BK61" i="29" s="1"/>
  <c r="AO61" i="29"/>
  <c r="AC61" i="29" s="1"/>
  <c r="U61" i="29"/>
  <c r="M61" i="29"/>
  <c r="CB60" i="29"/>
  <c r="BL60" i="29"/>
  <c r="AO60" i="29"/>
  <c r="M60" i="29"/>
  <c r="E56" i="29"/>
  <c r="BN53" i="29"/>
  <c r="BN54" i="29" s="1"/>
  <c r="BN55" i="29" s="1"/>
  <c r="BN56" i="29" s="1"/>
  <c r="BN57" i="29" s="1"/>
  <c r="BN58" i="29" s="1"/>
  <c r="BN59" i="29" s="1"/>
  <c r="BN60" i="29" s="1"/>
  <c r="BN61" i="29" s="1"/>
  <c r="BN62" i="29" s="1"/>
  <c r="BN63" i="29" s="1"/>
  <c r="BN64" i="29" s="1"/>
  <c r="BN65" i="29" s="1"/>
  <c r="BN66" i="29" s="1"/>
  <c r="BN67" i="29" s="1"/>
  <c r="BN68" i="29" s="1"/>
  <c r="BN69" i="29" s="1"/>
  <c r="BN70" i="29" s="1"/>
  <c r="BN71" i="29" s="1"/>
  <c r="BL48" i="29"/>
  <c r="BH48" i="29" s="1"/>
  <c r="AO48" i="29"/>
  <c r="AB48" i="29" s="1"/>
  <c r="AN48" i="29"/>
  <c r="AJ48" i="29" s="1"/>
  <c r="M48" i="29"/>
  <c r="BU47" i="29"/>
  <c r="BL47" i="29"/>
  <c r="BK47" i="29" s="1"/>
  <c r="AO47" i="29"/>
  <c r="AC47" i="29" s="1"/>
  <c r="AN47" i="29"/>
  <c r="AM47" i="29" s="1"/>
  <c r="M47" i="29"/>
  <c r="BL46" i="29"/>
  <c r="AO46" i="29"/>
  <c r="AC46" i="29" s="1"/>
  <c r="AN46" i="29"/>
  <c r="AJ46" i="29" s="1"/>
  <c r="M46" i="29"/>
  <c r="BL45" i="29"/>
  <c r="BJ45" i="29" s="1"/>
  <c r="AO45" i="29"/>
  <c r="AB45" i="29" s="1"/>
  <c r="AN45" i="29"/>
  <c r="AL45" i="29" s="1"/>
  <c r="M45" i="29"/>
  <c r="BL44" i="29"/>
  <c r="BJ44" i="29" s="1"/>
  <c r="AO44" i="29"/>
  <c r="AB44" i="29" s="1"/>
  <c r="AN44" i="29"/>
  <c r="AL44" i="29" s="1"/>
  <c r="M44" i="29"/>
  <c r="BL43" i="29"/>
  <c r="BJ43" i="29" s="1"/>
  <c r="AO43" i="29"/>
  <c r="AC43" i="29" s="1"/>
  <c r="AN43" i="29"/>
  <c r="AL43" i="29" s="1"/>
  <c r="M43" i="29"/>
  <c r="BW42" i="29"/>
  <c r="BL42" i="29"/>
  <c r="BH42" i="29" s="1"/>
  <c r="AO42" i="29"/>
  <c r="AC42" i="29" s="1"/>
  <c r="AN42" i="29"/>
  <c r="AL42" i="29" s="1"/>
  <c r="M42" i="29"/>
  <c r="BW41" i="29"/>
  <c r="BL41" i="29"/>
  <c r="BH41" i="29" s="1"/>
  <c r="AO41" i="29"/>
  <c r="AC41" i="29" s="1"/>
  <c r="AN41" i="29"/>
  <c r="AJ41" i="29" s="1"/>
  <c r="M41" i="29"/>
  <c r="BW40" i="29"/>
  <c r="BL40" i="29"/>
  <c r="BJ40" i="29" s="1"/>
  <c r="AO40" i="29"/>
  <c r="AN40" i="29"/>
  <c r="AJ40" i="29" s="1"/>
  <c r="U40" i="29"/>
  <c r="M40" i="29"/>
  <c r="CB39" i="29"/>
  <c r="BL39" i="29"/>
  <c r="AO39" i="29"/>
  <c r="M39" i="29"/>
  <c r="E35" i="29"/>
  <c r="H35" i="29" s="1"/>
  <c r="BP39" i="29" s="1"/>
  <c r="BN32" i="29"/>
  <c r="BN33" i="29" s="1"/>
  <c r="BN34" i="29" s="1"/>
  <c r="BN35" i="29" s="1"/>
  <c r="BN36" i="29" s="1"/>
  <c r="BN37" i="29" s="1"/>
  <c r="BN38" i="29" s="1"/>
  <c r="BM31" i="29"/>
  <c r="BL27" i="29"/>
  <c r="BJ27" i="29" s="1"/>
  <c r="AO27" i="29"/>
  <c r="AN27" i="29"/>
  <c r="AF27" i="29" s="1"/>
  <c r="M27" i="29"/>
  <c r="BU26" i="29"/>
  <c r="BL26" i="29"/>
  <c r="BK26" i="29" s="1"/>
  <c r="AO26" i="29"/>
  <c r="AC26" i="29" s="1"/>
  <c r="AN26" i="29"/>
  <c r="AH26" i="29" s="1"/>
  <c r="M26" i="29"/>
  <c r="BL25" i="29"/>
  <c r="AO25" i="29"/>
  <c r="AN25" i="29"/>
  <c r="AL25" i="29" s="1"/>
  <c r="M25" i="29"/>
  <c r="BL24" i="29"/>
  <c r="BJ24" i="29" s="1"/>
  <c r="AO24" i="29"/>
  <c r="AN24" i="29"/>
  <c r="AL24" i="29" s="1"/>
  <c r="M24" i="29"/>
  <c r="BL23" i="29"/>
  <c r="BH23" i="29" s="1"/>
  <c r="AO23" i="29"/>
  <c r="AN23" i="29"/>
  <c r="AL23" i="29" s="1"/>
  <c r="M23" i="29"/>
  <c r="BL22" i="29"/>
  <c r="BJ22" i="29" s="1"/>
  <c r="AO22" i="29"/>
  <c r="AN22" i="29"/>
  <c r="AJ22" i="29" s="1"/>
  <c r="M22" i="29"/>
  <c r="BW21" i="29"/>
  <c r="BL21" i="29"/>
  <c r="BJ21" i="29" s="1"/>
  <c r="AO21" i="29"/>
  <c r="AC21" i="29" s="1"/>
  <c r="AN21" i="29"/>
  <c r="M21" i="29"/>
  <c r="BW20" i="29"/>
  <c r="BL20" i="29"/>
  <c r="BJ20" i="29" s="1"/>
  <c r="AO20" i="29"/>
  <c r="AN20" i="29"/>
  <c r="AF20" i="29" s="1"/>
  <c r="M20" i="29"/>
  <c r="BW19" i="29"/>
  <c r="BL19" i="29"/>
  <c r="AZ19" i="29" s="1"/>
  <c r="AO19" i="29"/>
  <c r="AC19" i="29" s="1"/>
  <c r="AN19" i="29"/>
  <c r="AL19" i="29" s="1"/>
  <c r="U19" i="29"/>
  <c r="M19" i="29"/>
  <c r="CB18" i="29"/>
  <c r="BL18" i="29"/>
  <c r="AO18" i="29"/>
  <c r="M18" i="29"/>
  <c r="E14" i="29"/>
  <c r="H14" i="29" s="1"/>
  <c r="BP18" i="29" s="1"/>
  <c r="BN11" i="29"/>
  <c r="DL8" i="29"/>
  <c r="DJ8" i="29"/>
  <c r="DH8" i="29"/>
  <c r="DF8" i="29"/>
  <c r="DD8" i="29"/>
  <c r="DB8" i="29"/>
  <c r="CZ8" i="29"/>
  <c r="CU8" i="29"/>
  <c r="DL7" i="29"/>
  <c r="DJ7" i="29"/>
  <c r="DH7" i="29"/>
  <c r="DF7" i="29"/>
  <c r="DD7" i="29"/>
  <c r="DB7" i="29"/>
  <c r="CZ7" i="29"/>
  <c r="CU7" i="29"/>
  <c r="DL6" i="29"/>
  <c r="DJ6" i="29"/>
  <c r="DH6" i="29"/>
  <c r="DF6" i="29"/>
  <c r="DD6" i="29"/>
  <c r="DB6" i="29"/>
  <c r="CZ6" i="29"/>
  <c r="CU6" i="29"/>
  <c r="BX6" i="29"/>
  <c r="DL5" i="29"/>
  <c r="DJ5" i="29"/>
  <c r="DH5" i="29"/>
  <c r="DF5" i="29"/>
  <c r="DD5" i="29"/>
  <c r="DB5" i="29"/>
  <c r="CZ5" i="29"/>
  <c r="CU5" i="29"/>
  <c r="BX5" i="29"/>
  <c r="S5" i="29"/>
  <c r="DL4" i="29"/>
  <c r="DJ4" i="29"/>
  <c r="DH4" i="29"/>
  <c r="DF4" i="29"/>
  <c r="DD4" i="29"/>
  <c r="DB4" i="29"/>
  <c r="CZ4" i="29"/>
  <c r="CU4" i="29"/>
  <c r="BX4" i="29"/>
  <c r="BN4" i="29"/>
  <c r="P4" i="29"/>
  <c r="AD115" i="16" s="1"/>
  <c r="J4" i="29"/>
  <c r="E13" i="29" s="1"/>
  <c r="DL3" i="29"/>
  <c r="DJ3" i="29"/>
  <c r="DH3" i="29"/>
  <c r="DF3" i="29"/>
  <c r="DD3" i="29"/>
  <c r="DB3" i="29"/>
  <c r="CZ3" i="29"/>
  <c r="CU3" i="29"/>
  <c r="CL3" i="29"/>
  <c r="CL4" i="29" s="1"/>
  <c r="CL5" i="29" s="1"/>
  <c r="BX3" i="29"/>
  <c r="BN3" i="29"/>
  <c r="DL2" i="29"/>
  <c r="DJ2" i="29"/>
  <c r="DH2" i="29"/>
  <c r="DF2" i="29"/>
  <c r="DD2" i="29"/>
  <c r="DB2" i="29"/>
  <c r="CZ2" i="29"/>
  <c r="CU2" i="29"/>
  <c r="CJ2" i="29"/>
  <c r="CI2" i="29"/>
  <c r="AA1" i="29" s="1"/>
  <c r="CH2" i="29"/>
  <c r="BX2" i="29"/>
  <c r="BN2" i="29"/>
  <c r="CY1" i="29"/>
  <c r="CX1" i="29"/>
  <c r="CU1" i="29"/>
  <c r="CQ1" i="29"/>
  <c r="CM1" i="29"/>
  <c r="BX1" i="29"/>
  <c r="BN1" i="29"/>
  <c r="A1" i="29"/>
  <c r="BL153" i="28"/>
  <c r="BD153" i="28" s="1"/>
  <c r="AO153" i="28"/>
  <c r="M153" i="28"/>
  <c r="BU152" i="28"/>
  <c r="BL152" i="28"/>
  <c r="BK152" i="28" s="1"/>
  <c r="AO152" i="28"/>
  <c r="M152" i="28"/>
  <c r="BL151" i="28"/>
  <c r="BI151" i="28" s="1"/>
  <c r="AO151" i="28"/>
  <c r="AB151" i="28" s="1"/>
  <c r="M151" i="28"/>
  <c r="BL150" i="28"/>
  <c r="BH150" i="28" s="1"/>
  <c r="AO150" i="28"/>
  <c r="AC150" i="28" s="1"/>
  <c r="M150" i="28"/>
  <c r="BL149" i="28"/>
  <c r="AO149" i="28"/>
  <c r="AC149" i="28" s="1"/>
  <c r="M149" i="28"/>
  <c r="BL148" i="28"/>
  <c r="BJ148" i="28" s="1"/>
  <c r="AO148" i="28"/>
  <c r="AC148" i="28" s="1"/>
  <c r="M148" i="28"/>
  <c r="BW147" i="28"/>
  <c r="BL147" i="28"/>
  <c r="BK147" i="28" s="1"/>
  <c r="AO147" i="28"/>
  <c r="M147" i="28"/>
  <c r="BW146" i="28"/>
  <c r="BL146" i="28"/>
  <c r="BD146" i="28" s="1"/>
  <c r="AO146" i="28"/>
  <c r="AB146" i="28" s="1"/>
  <c r="M146" i="28"/>
  <c r="BW145" i="28"/>
  <c r="BL145" i="28"/>
  <c r="AS145" i="28" s="1"/>
  <c r="AR145" i="28" s="1"/>
  <c r="AQ145" i="28" s="1"/>
  <c r="AO145" i="28"/>
  <c r="AP145" i="28" s="1"/>
  <c r="U145" i="28"/>
  <c r="M145" i="28"/>
  <c r="CB144" i="28"/>
  <c r="BL144" i="28"/>
  <c r="AO144" i="28"/>
  <c r="M144" i="28"/>
  <c r="E140" i="28"/>
  <c r="BN137" i="28"/>
  <c r="BN138" i="28" s="1"/>
  <c r="BN139" i="28" s="1"/>
  <c r="BN140" i="28" s="1"/>
  <c r="BN141" i="28" s="1"/>
  <c r="BN142" i="28" s="1"/>
  <c r="BN143" i="28" s="1"/>
  <c r="BN144" i="28" s="1"/>
  <c r="BN145" i="28" s="1"/>
  <c r="BN146" i="28" s="1"/>
  <c r="BN147" i="28" s="1"/>
  <c r="BN148" i="28" s="1"/>
  <c r="BN149" i="28" s="1"/>
  <c r="BN150" i="28" s="1"/>
  <c r="BN151" i="28" s="1"/>
  <c r="BN152" i="28" s="1"/>
  <c r="BN153" i="28" s="1"/>
  <c r="BN154" i="28" s="1"/>
  <c r="BN155" i="28" s="1"/>
  <c r="BL132" i="28"/>
  <c r="BI132" i="28" s="1"/>
  <c r="AO132" i="28"/>
  <c r="AP132" i="28" s="1"/>
  <c r="M132" i="28"/>
  <c r="BU131" i="28"/>
  <c r="BL131" i="28"/>
  <c r="BJ131" i="28" s="1"/>
  <c r="AO131" i="28"/>
  <c r="AC131" i="28" s="1"/>
  <c r="M131" i="28"/>
  <c r="BL130" i="28"/>
  <c r="AO130" i="28"/>
  <c r="AC130" i="28" s="1"/>
  <c r="M130" i="28"/>
  <c r="BL129" i="28"/>
  <c r="BD129" i="28" s="1"/>
  <c r="AO129" i="28"/>
  <c r="AP129" i="28" s="1"/>
  <c r="M129" i="28"/>
  <c r="BL128" i="28"/>
  <c r="BK128" i="28" s="1"/>
  <c r="AO128" i="28"/>
  <c r="AP128" i="28" s="1"/>
  <c r="M128" i="28"/>
  <c r="BL127" i="28"/>
  <c r="BD127" i="28" s="1"/>
  <c r="AO127" i="28"/>
  <c r="AC127" i="28" s="1"/>
  <c r="M127" i="28"/>
  <c r="BW126" i="28"/>
  <c r="BL126" i="28"/>
  <c r="BI126" i="28" s="1"/>
  <c r="AO126" i="28"/>
  <c r="M126" i="28"/>
  <c r="BW125" i="28"/>
  <c r="BL125" i="28"/>
  <c r="BF125" i="28" s="1"/>
  <c r="AO125" i="28"/>
  <c r="AP125" i="28" s="1"/>
  <c r="M125" i="28"/>
  <c r="BW124" i="28"/>
  <c r="BL124" i="28"/>
  <c r="BE124" i="28" s="1"/>
  <c r="AO124" i="28"/>
  <c r="AP124" i="28" s="1"/>
  <c r="U124" i="28"/>
  <c r="M124" i="28"/>
  <c r="CB123" i="28"/>
  <c r="BL123" i="28"/>
  <c r="AO123" i="28"/>
  <c r="M123" i="28"/>
  <c r="E119" i="28"/>
  <c r="BN116" i="28"/>
  <c r="BN117" i="28" s="1"/>
  <c r="BN118" i="28" s="1"/>
  <c r="BN119" i="28" s="1"/>
  <c r="BN120" i="28" s="1"/>
  <c r="BN121" i="28" s="1"/>
  <c r="BN122" i="28" s="1"/>
  <c r="BN123" i="28" s="1"/>
  <c r="BN124" i="28" s="1"/>
  <c r="BN125" i="28" s="1"/>
  <c r="BN126" i="28" s="1"/>
  <c r="BN127" i="28" s="1"/>
  <c r="BN128" i="28" s="1"/>
  <c r="BN129" i="28" s="1"/>
  <c r="BN130" i="28" s="1"/>
  <c r="BN131" i="28" s="1"/>
  <c r="BN132" i="28" s="1"/>
  <c r="BN133" i="28" s="1"/>
  <c r="BN134" i="28" s="1"/>
  <c r="BL111" i="28"/>
  <c r="AO111" i="28"/>
  <c r="AC111" i="28" s="1"/>
  <c r="M111" i="28"/>
  <c r="BU110" i="28"/>
  <c r="BL110" i="28"/>
  <c r="BF110" i="28" s="1"/>
  <c r="AO110" i="28"/>
  <c r="AP110" i="28" s="1"/>
  <c r="M110" i="28"/>
  <c r="BL109" i="28"/>
  <c r="AO109" i="28"/>
  <c r="AP109" i="28" s="1"/>
  <c r="M109" i="28"/>
  <c r="BL108" i="28"/>
  <c r="BE108" i="28" s="1"/>
  <c r="AO108" i="28"/>
  <c r="AB108" i="28" s="1"/>
  <c r="M108" i="28"/>
  <c r="BL107" i="28"/>
  <c r="BG107" i="28" s="1"/>
  <c r="AO107" i="28"/>
  <c r="AP107" i="28" s="1"/>
  <c r="M107" i="28"/>
  <c r="BL106" i="28"/>
  <c r="BI106" i="28" s="1"/>
  <c r="AO106" i="28"/>
  <c r="AP106" i="28" s="1"/>
  <c r="M106" i="28"/>
  <c r="BW105" i="28"/>
  <c r="BL105" i="28"/>
  <c r="BG105" i="28" s="1"/>
  <c r="AO105" i="28"/>
  <c r="AB105" i="28" s="1"/>
  <c r="M105" i="28"/>
  <c r="BW104" i="28"/>
  <c r="BL104" i="28"/>
  <c r="BI104" i="28" s="1"/>
  <c r="AO104" i="28"/>
  <c r="M104" i="28"/>
  <c r="BW103" i="28"/>
  <c r="BL103" i="28"/>
  <c r="BK103" i="28" s="1"/>
  <c r="AO103" i="28"/>
  <c r="AB103" i="28" s="1"/>
  <c r="U103" i="28"/>
  <c r="M103" i="28"/>
  <c r="CB102" i="28"/>
  <c r="BL102" i="28"/>
  <c r="AO102" i="28"/>
  <c r="M102" i="28"/>
  <c r="E98" i="28"/>
  <c r="BN95" i="28"/>
  <c r="BN96" i="28" s="1"/>
  <c r="BN97" i="28" s="1"/>
  <c r="BN98" i="28" s="1"/>
  <c r="BN99" i="28" s="1"/>
  <c r="BN100" i="28" s="1"/>
  <c r="BN101" i="28" s="1"/>
  <c r="BN102" i="28" s="1"/>
  <c r="BN103" i="28" s="1"/>
  <c r="BN104" i="28" s="1"/>
  <c r="BN105" i="28" s="1"/>
  <c r="BN106" i="28" s="1"/>
  <c r="BN107" i="28" s="1"/>
  <c r="BN108" i="28" s="1"/>
  <c r="BN109" i="28" s="1"/>
  <c r="BN110" i="28" s="1"/>
  <c r="BN111" i="28" s="1"/>
  <c r="BN112" i="28" s="1"/>
  <c r="BN113" i="28" s="1"/>
  <c r="BL90" i="28"/>
  <c r="AV90" i="28" s="1"/>
  <c r="AO90" i="28"/>
  <c r="AC90" i="28" s="1"/>
  <c r="M90" i="28"/>
  <c r="BU89" i="28"/>
  <c r="BL89" i="28"/>
  <c r="BH89" i="28" s="1"/>
  <c r="AO89" i="28"/>
  <c r="AB89" i="28" s="1"/>
  <c r="M89" i="28"/>
  <c r="BL88" i="28"/>
  <c r="BK88" i="28" s="1"/>
  <c r="AO88" i="28"/>
  <c r="AC88" i="28" s="1"/>
  <c r="M88" i="28"/>
  <c r="BL87" i="28"/>
  <c r="AO87" i="28"/>
  <c r="AC87" i="28" s="1"/>
  <c r="M87" i="28"/>
  <c r="BL86" i="28"/>
  <c r="BD86" i="28" s="1"/>
  <c r="AO86" i="28"/>
  <c r="AC86" i="28" s="1"/>
  <c r="M86" i="28"/>
  <c r="BL85" i="28"/>
  <c r="AO85" i="28"/>
  <c r="M85" i="28"/>
  <c r="BW84" i="28"/>
  <c r="BL84" i="28"/>
  <c r="BE84" i="28" s="1"/>
  <c r="AO84" i="28"/>
  <c r="M84" i="28"/>
  <c r="BW83" i="28"/>
  <c r="BL83" i="28"/>
  <c r="BG83" i="28" s="1"/>
  <c r="AO83" i="28"/>
  <c r="M83" i="28"/>
  <c r="BW82" i="28"/>
  <c r="BL82" i="28"/>
  <c r="BA82" i="28" s="1"/>
  <c r="AO82" i="28"/>
  <c r="AP82" i="28" s="1"/>
  <c r="U82" i="28"/>
  <c r="M82" i="28"/>
  <c r="CB81" i="28"/>
  <c r="BL81" i="28"/>
  <c r="AO81" i="28"/>
  <c r="M81" i="28"/>
  <c r="E77" i="28"/>
  <c r="BN74" i="28"/>
  <c r="BN75" i="28" s="1"/>
  <c r="BN76" i="28" s="1"/>
  <c r="BN77" i="28" s="1"/>
  <c r="BN78" i="28" s="1"/>
  <c r="BN79" i="28" s="1"/>
  <c r="BN80" i="28" s="1"/>
  <c r="BN81" i="28" s="1"/>
  <c r="BN82" i="28" s="1"/>
  <c r="BN83" i="28" s="1"/>
  <c r="BN84" i="28" s="1"/>
  <c r="BN85" i="28" s="1"/>
  <c r="BN86" i="28" s="1"/>
  <c r="BN87" i="28" s="1"/>
  <c r="BN88" i="28" s="1"/>
  <c r="BN89" i="28" s="1"/>
  <c r="BN90" i="28" s="1"/>
  <c r="BN91" i="28" s="1"/>
  <c r="BN92" i="28" s="1"/>
  <c r="BL69" i="28"/>
  <c r="BE69" i="28" s="1"/>
  <c r="AO69" i="28"/>
  <c r="M69" i="28"/>
  <c r="BU68" i="28"/>
  <c r="BL68" i="28"/>
  <c r="AY68" i="28" s="1"/>
  <c r="AO68" i="28"/>
  <c r="AB68" i="28" s="1"/>
  <c r="M68" i="28"/>
  <c r="BL67" i="28"/>
  <c r="AO67" i="28"/>
  <c r="AB67" i="28" s="1"/>
  <c r="M67" i="28"/>
  <c r="BL66" i="28"/>
  <c r="BH66" i="28" s="1"/>
  <c r="AO66" i="28"/>
  <c r="AC66" i="28" s="1"/>
  <c r="M66" i="28"/>
  <c r="BL65" i="28"/>
  <c r="BF65" i="28" s="1"/>
  <c r="AO65" i="28"/>
  <c r="AP65" i="28" s="1"/>
  <c r="M65" i="28"/>
  <c r="BL64" i="28"/>
  <c r="BF64" i="28" s="1"/>
  <c r="AO64" i="28"/>
  <c r="AC64" i="28" s="1"/>
  <c r="M64" i="28"/>
  <c r="BW63" i="28"/>
  <c r="BL63" i="28"/>
  <c r="BH63" i="28" s="1"/>
  <c r="AO63" i="28"/>
  <c r="AC63" i="28" s="1"/>
  <c r="M63" i="28"/>
  <c r="BW62" i="28"/>
  <c r="BL62" i="28"/>
  <c r="BH62" i="28" s="1"/>
  <c r="AO62" i="28"/>
  <c r="AC62" i="28" s="1"/>
  <c r="M62" i="28"/>
  <c r="BW61" i="28"/>
  <c r="BL61" i="28"/>
  <c r="BH61" i="28" s="1"/>
  <c r="AO61" i="28"/>
  <c r="AP61" i="28" s="1"/>
  <c r="U61" i="28"/>
  <c r="M61" i="28"/>
  <c r="CB60" i="28"/>
  <c r="BL60" i="28"/>
  <c r="AO60" i="28"/>
  <c r="M60" i="28"/>
  <c r="E56" i="28"/>
  <c r="BN53" i="28"/>
  <c r="BN54" i="28" s="1"/>
  <c r="BN55" i="28" s="1"/>
  <c r="BN56" i="28" s="1"/>
  <c r="BN57" i="28" s="1"/>
  <c r="BN58" i="28" s="1"/>
  <c r="BN59" i="28" s="1"/>
  <c r="BN60" i="28" s="1"/>
  <c r="BN61" i="28" s="1"/>
  <c r="BN62" i="28" s="1"/>
  <c r="BN63" i="28" s="1"/>
  <c r="BN64" i="28" s="1"/>
  <c r="BN65" i="28" s="1"/>
  <c r="BN66" i="28" s="1"/>
  <c r="BN67" i="28" s="1"/>
  <c r="BN68" i="28" s="1"/>
  <c r="BN69" i="28" s="1"/>
  <c r="BN70" i="28" s="1"/>
  <c r="BN71" i="28" s="1"/>
  <c r="BL48" i="28"/>
  <c r="BH48" i="28" s="1"/>
  <c r="AO48" i="28"/>
  <c r="AP48" i="28" s="1"/>
  <c r="AN48" i="28"/>
  <c r="AJ48" i="28" s="1"/>
  <c r="M48" i="28"/>
  <c r="BU47" i="28"/>
  <c r="BL47" i="28"/>
  <c r="BG47" i="28" s="1"/>
  <c r="AO47" i="28"/>
  <c r="AC47" i="28" s="1"/>
  <c r="AN47" i="28"/>
  <c r="AJ47" i="28" s="1"/>
  <c r="M47" i="28"/>
  <c r="BL46" i="28"/>
  <c r="BH46" i="28" s="1"/>
  <c r="AO46" i="28"/>
  <c r="AP46" i="28" s="1"/>
  <c r="AN46" i="28"/>
  <c r="AJ46" i="28" s="1"/>
  <c r="M46" i="28"/>
  <c r="BL45" i="28"/>
  <c r="BI45" i="28" s="1"/>
  <c r="AO45" i="28"/>
  <c r="AP45" i="28" s="1"/>
  <c r="AN45" i="28"/>
  <c r="AJ45" i="28" s="1"/>
  <c r="M45" i="28"/>
  <c r="BL44" i="28"/>
  <c r="BH44" i="28" s="1"/>
  <c r="AO44" i="28"/>
  <c r="AP44" i="28" s="1"/>
  <c r="AN44" i="28"/>
  <c r="AJ44" i="28" s="1"/>
  <c r="M44" i="28"/>
  <c r="BL43" i="28"/>
  <c r="AO43" i="28"/>
  <c r="AP43" i="28" s="1"/>
  <c r="AN43" i="28"/>
  <c r="AK43" i="28" s="1"/>
  <c r="M43" i="28"/>
  <c r="BW42" i="28"/>
  <c r="BL42" i="28"/>
  <c r="BK42" i="28" s="1"/>
  <c r="AO42" i="28"/>
  <c r="AC42" i="28" s="1"/>
  <c r="AN42" i="28"/>
  <c r="AI42" i="28" s="1"/>
  <c r="M42" i="28"/>
  <c r="BW41" i="28"/>
  <c r="BL41" i="28"/>
  <c r="AO41" i="28"/>
  <c r="AP41" i="28" s="1"/>
  <c r="AN41" i="28"/>
  <c r="M41" i="28"/>
  <c r="BW40" i="28"/>
  <c r="BL40" i="28"/>
  <c r="AO40" i="28"/>
  <c r="AN40" i="28"/>
  <c r="AM40" i="28" s="1"/>
  <c r="U40" i="28"/>
  <c r="M40" i="28"/>
  <c r="CB39" i="28"/>
  <c r="BL39" i="28"/>
  <c r="AO39" i="28"/>
  <c r="M39" i="28"/>
  <c r="E35" i="28"/>
  <c r="H35" i="28" s="1"/>
  <c r="BP39" i="28" s="1"/>
  <c r="BN32" i="28"/>
  <c r="BN33" i="28" s="1"/>
  <c r="BN34" i="28" s="1"/>
  <c r="BM31" i="28"/>
  <c r="BL27" i="28"/>
  <c r="BJ27" i="28" s="1"/>
  <c r="AO27" i="28"/>
  <c r="AC27" i="28" s="1"/>
  <c r="AN27" i="28"/>
  <c r="AL27" i="28" s="1"/>
  <c r="M27" i="28"/>
  <c r="BU26" i="28"/>
  <c r="BL26" i="28"/>
  <c r="BE26" i="28" s="1"/>
  <c r="AO26" i="28"/>
  <c r="AB26" i="28" s="1"/>
  <c r="AN26" i="28"/>
  <c r="AG26" i="28" s="1"/>
  <c r="M26" i="28"/>
  <c r="BL25" i="28"/>
  <c r="BH25" i="28" s="1"/>
  <c r="AO25" i="28"/>
  <c r="AB25" i="28" s="1"/>
  <c r="AN25" i="28"/>
  <c r="AJ25" i="28" s="1"/>
  <c r="M25" i="28"/>
  <c r="BL24" i="28"/>
  <c r="BE24" i="28" s="1"/>
  <c r="AO24" i="28"/>
  <c r="AB24" i="28" s="1"/>
  <c r="AN24" i="28"/>
  <c r="AG24" i="28" s="1"/>
  <c r="M24" i="28"/>
  <c r="BL23" i="28"/>
  <c r="BE23" i="28" s="1"/>
  <c r="AO23" i="28"/>
  <c r="AP23" i="28" s="1"/>
  <c r="AN23" i="28"/>
  <c r="AG23" i="28" s="1"/>
  <c r="M23" i="28"/>
  <c r="BL22" i="28"/>
  <c r="BE22" i="28" s="1"/>
  <c r="AO22" i="28"/>
  <c r="AB22" i="28" s="1"/>
  <c r="AN22" i="28"/>
  <c r="M22" i="28"/>
  <c r="BW21" i="28"/>
  <c r="BL21" i="28"/>
  <c r="BF21" i="28" s="1"/>
  <c r="AO21" i="28"/>
  <c r="AN21" i="28"/>
  <c r="AH21" i="28" s="1"/>
  <c r="M21" i="28"/>
  <c r="BW20" i="28"/>
  <c r="BL20" i="28"/>
  <c r="BF20" i="28" s="1"/>
  <c r="AO20" i="28"/>
  <c r="AP20" i="28" s="1"/>
  <c r="AN20" i="28"/>
  <c r="AH20" i="28" s="1"/>
  <c r="M20" i="28"/>
  <c r="BW19" i="28"/>
  <c r="BL19" i="28"/>
  <c r="BH19" i="28" s="1"/>
  <c r="AO19" i="28"/>
  <c r="AB19" i="28" s="1"/>
  <c r="AN19" i="28"/>
  <c r="AJ19" i="28" s="1"/>
  <c r="U19" i="28"/>
  <c r="M19" i="28"/>
  <c r="CB18" i="28"/>
  <c r="BL18" i="28"/>
  <c r="AO18" i="28"/>
  <c r="M18" i="28"/>
  <c r="E14" i="28"/>
  <c r="H14" i="28" s="1"/>
  <c r="BP18" i="28" s="1"/>
  <c r="BN11" i="28"/>
  <c r="A11" i="28" s="1"/>
  <c r="DL8" i="28"/>
  <c r="DJ8" i="28"/>
  <c r="DH8" i="28"/>
  <c r="DF8" i="28"/>
  <c r="DD8" i="28"/>
  <c r="DB8" i="28"/>
  <c r="CZ8" i="28"/>
  <c r="CU8" i="28"/>
  <c r="DL7" i="28"/>
  <c r="DJ7" i="28"/>
  <c r="DH7" i="28"/>
  <c r="DF7" i="28"/>
  <c r="DD7" i="28"/>
  <c r="DB7" i="28"/>
  <c r="CZ7" i="28"/>
  <c r="CU7" i="28"/>
  <c r="DL6" i="28"/>
  <c r="DJ6" i="28"/>
  <c r="DH6" i="28"/>
  <c r="DF6" i="28"/>
  <c r="DD6" i="28"/>
  <c r="DB6" i="28"/>
  <c r="CZ6" i="28"/>
  <c r="CU6" i="28"/>
  <c r="BX6" i="28"/>
  <c r="DL5" i="28"/>
  <c r="DJ5" i="28"/>
  <c r="DH5" i="28"/>
  <c r="DF5" i="28"/>
  <c r="DD5" i="28"/>
  <c r="DB5" i="28"/>
  <c r="CZ5" i="28"/>
  <c r="CU5" i="28"/>
  <c r="BX5" i="28"/>
  <c r="S5" i="28"/>
  <c r="DL4" i="28"/>
  <c r="DJ4" i="28"/>
  <c r="DH4" i="28"/>
  <c r="DF4" i="28"/>
  <c r="DD4" i="28"/>
  <c r="DB4" i="28"/>
  <c r="CZ4" i="28"/>
  <c r="CU4" i="28"/>
  <c r="BX4" i="28"/>
  <c r="BN4" i="28"/>
  <c r="P4" i="28"/>
  <c r="AD123" i="16" s="1"/>
  <c r="J4" i="28"/>
  <c r="DL3" i="28"/>
  <c r="DJ3" i="28"/>
  <c r="DH3" i="28"/>
  <c r="DF3" i="28"/>
  <c r="DD3" i="28"/>
  <c r="DB3" i="28"/>
  <c r="CZ3" i="28"/>
  <c r="CU3" i="28"/>
  <c r="CL3" i="28"/>
  <c r="CL4" i="28" s="1"/>
  <c r="CL5" i="28" s="1"/>
  <c r="BX3" i="28"/>
  <c r="BN3" i="28"/>
  <c r="DL2" i="28"/>
  <c r="DJ2" i="28"/>
  <c r="DH2" i="28"/>
  <c r="DF2" i="28"/>
  <c r="DD2" i="28"/>
  <c r="DB2" i="28"/>
  <c r="CZ2" i="28"/>
  <c r="CU2" i="28"/>
  <c r="CJ2" i="28"/>
  <c r="CI2" i="28"/>
  <c r="AA1" i="28" s="1"/>
  <c r="CH2" i="28"/>
  <c r="BX2" i="28"/>
  <c r="BN2" i="28"/>
  <c r="CY1" i="28"/>
  <c r="CX1" i="28"/>
  <c r="CU1" i="28"/>
  <c r="CQ1" i="28"/>
  <c r="CM1" i="28"/>
  <c r="BX1" i="28"/>
  <c r="BN1" i="28"/>
  <c r="A1" i="28"/>
  <c r="BL153" i="27"/>
  <c r="BI153" i="27" s="1"/>
  <c r="AO153" i="27"/>
  <c r="AC153" i="27" s="1"/>
  <c r="M153" i="27"/>
  <c r="BU152" i="27"/>
  <c r="BL152" i="27"/>
  <c r="BF152" i="27" s="1"/>
  <c r="AO152" i="27"/>
  <c r="AB152" i="27" s="1"/>
  <c r="M152" i="27"/>
  <c r="BL151" i="27"/>
  <c r="BF151" i="27" s="1"/>
  <c r="AO151" i="27"/>
  <c r="AC151" i="27" s="1"/>
  <c r="M151" i="27"/>
  <c r="BL150" i="27"/>
  <c r="BJ150" i="27" s="1"/>
  <c r="AO150" i="27"/>
  <c r="AC150" i="27" s="1"/>
  <c r="M150" i="27"/>
  <c r="BL149" i="27"/>
  <c r="BJ149" i="27" s="1"/>
  <c r="AO149" i="27"/>
  <c r="AC149" i="27" s="1"/>
  <c r="M149" i="27"/>
  <c r="BL148" i="27"/>
  <c r="BJ148" i="27" s="1"/>
  <c r="AO148" i="27"/>
  <c r="AC148" i="27" s="1"/>
  <c r="M148" i="27"/>
  <c r="BW147" i="27"/>
  <c r="BL147" i="27"/>
  <c r="BF147" i="27" s="1"/>
  <c r="AO147" i="27"/>
  <c r="AC147" i="27" s="1"/>
  <c r="M147" i="27"/>
  <c r="BW146" i="27"/>
  <c r="BL146" i="27"/>
  <c r="BF146" i="27" s="1"/>
  <c r="AO146" i="27"/>
  <c r="AC146" i="27" s="1"/>
  <c r="M146" i="27"/>
  <c r="BW145" i="27"/>
  <c r="BL145" i="27"/>
  <c r="BF145" i="27" s="1"/>
  <c r="AO145" i="27"/>
  <c r="AC145" i="27" s="1"/>
  <c r="U145" i="27"/>
  <c r="M145" i="27"/>
  <c r="CB144" i="27"/>
  <c r="BL144" i="27"/>
  <c r="AO144" i="27"/>
  <c r="M144" i="27"/>
  <c r="E140" i="27"/>
  <c r="BN137" i="27"/>
  <c r="BN138" i="27" s="1"/>
  <c r="BN139" i="27" s="1"/>
  <c r="BN140" i="27" s="1"/>
  <c r="BN141" i="27" s="1"/>
  <c r="BN142" i="27" s="1"/>
  <c r="BN143" i="27" s="1"/>
  <c r="BN144" i="27" s="1"/>
  <c r="BN145" i="27" s="1"/>
  <c r="BN146" i="27" s="1"/>
  <c r="BN147" i="27" s="1"/>
  <c r="BN148" i="27" s="1"/>
  <c r="BN149" i="27" s="1"/>
  <c r="BN150" i="27" s="1"/>
  <c r="BN151" i="27" s="1"/>
  <c r="BN152" i="27" s="1"/>
  <c r="BN153" i="27" s="1"/>
  <c r="BN154" i="27" s="1"/>
  <c r="BN155" i="27" s="1"/>
  <c r="BL132" i="27"/>
  <c r="BG132" i="27" s="1"/>
  <c r="AO132" i="27"/>
  <c r="AP132" i="27" s="1"/>
  <c r="M132" i="27"/>
  <c r="BU131" i="27"/>
  <c r="BL131" i="27"/>
  <c r="BK131" i="27" s="1"/>
  <c r="AO131" i="27"/>
  <c r="AC131" i="27" s="1"/>
  <c r="M131" i="27"/>
  <c r="BL130" i="27"/>
  <c r="BF130" i="27" s="1"/>
  <c r="AO130" i="27"/>
  <c r="AC130" i="27" s="1"/>
  <c r="M130" i="27"/>
  <c r="BL129" i="27"/>
  <c r="BH129" i="27" s="1"/>
  <c r="AO129" i="27"/>
  <c r="AP129" i="27" s="1"/>
  <c r="M129" i="27"/>
  <c r="BL128" i="27"/>
  <c r="BJ128" i="27" s="1"/>
  <c r="AO128" i="27"/>
  <c r="AP128" i="27" s="1"/>
  <c r="M128" i="27"/>
  <c r="BL127" i="27"/>
  <c r="BK127" i="27" s="1"/>
  <c r="AO127" i="27"/>
  <c r="AP127" i="27" s="1"/>
  <c r="M127" i="27"/>
  <c r="BW126" i="27"/>
  <c r="BL126" i="27"/>
  <c r="AO126" i="27"/>
  <c r="AB126" i="27" s="1"/>
  <c r="M126" i="27"/>
  <c r="BW125" i="27"/>
  <c r="BL125" i="27"/>
  <c r="BK125" i="27" s="1"/>
  <c r="AO125" i="27"/>
  <c r="AC125" i="27" s="1"/>
  <c r="M125" i="27"/>
  <c r="BW124" i="27"/>
  <c r="BL124" i="27"/>
  <c r="BH124" i="27" s="1"/>
  <c r="AO124" i="27"/>
  <c r="AB124" i="27" s="1"/>
  <c r="U124" i="27"/>
  <c r="M124" i="27"/>
  <c r="CB123" i="27"/>
  <c r="BL123" i="27"/>
  <c r="AO123" i="27"/>
  <c r="M123" i="27"/>
  <c r="E119" i="27"/>
  <c r="BN116" i="27"/>
  <c r="BN117" i="27" s="1"/>
  <c r="BN118" i="27" s="1"/>
  <c r="BN119" i="27" s="1"/>
  <c r="BN120" i="27" s="1"/>
  <c r="BN121" i="27" s="1"/>
  <c r="BN122" i="27" s="1"/>
  <c r="BN123" i="27" s="1"/>
  <c r="BN124" i="27" s="1"/>
  <c r="BN125" i="27" s="1"/>
  <c r="BN126" i="27" s="1"/>
  <c r="BN127" i="27" s="1"/>
  <c r="BN128" i="27" s="1"/>
  <c r="BN129" i="27" s="1"/>
  <c r="BN130" i="27" s="1"/>
  <c r="BN131" i="27" s="1"/>
  <c r="BN132" i="27" s="1"/>
  <c r="BN133" i="27" s="1"/>
  <c r="BN134" i="27" s="1"/>
  <c r="BL111" i="27"/>
  <c r="AO111" i="27"/>
  <c r="AB111" i="27" s="1"/>
  <c r="M111" i="27"/>
  <c r="BU110" i="27"/>
  <c r="BL110" i="27"/>
  <c r="BG110" i="27" s="1"/>
  <c r="AO110" i="27"/>
  <c r="AC110" i="27" s="1"/>
  <c r="M110" i="27"/>
  <c r="BL109" i="27"/>
  <c r="AO109" i="27"/>
  <c r="AC109" i="27" s="1"/>
  <c r="M109" i="27"/>
  <c r="BL108" i="27"/>
  <c r="AT108" i="27" s="1"/>
  <c r="AO108" i="27"/>
  <c r="AC108" i="27" s="1"/>
  <c r="M108" i="27"/>
  <c r="BL107" i="27"/>
  <c r="BH107" i="27" s="1"/>
  <c r="AO107" i="27"/>
  <c r="AC107" i="27" s="1"/>
  <c r="M107" i="27"/>
  <c r="BL106" i="27"/>
  <c r="BF106" i="27" s="1"/>
  <c r="AO106" i="27"/>
  <c r="AB106" i="27" s="1"/>
  <c r="M106" i="27"/>
  <c r="BW105" i="27"/>
  <c r="BL105" i="27"/>
  <c r="AS105" i="27" s="1"/>
  <c r="AR105" i="27" s="1"/>
  <c r="AQ105" i="27" s="1"/>
  <c r="AO105" i="27"/>
  <c r="AP105" i="27" s="1"/>
  <c r="M105" i="27"/>
  <c r="BW104" i="27"/>
  <c r="BL104" i="27"/>
  <c r="BK104" i="27" s="1"/>
  <c r="AO104" i="27"/>
  <c r="M104" i="27"/>
  <c r="BW103" i="27"/>
  <c r="BL103" i="27"/>
  <c r="BD103" i="27" s="1"/>
  <c r="AO103" i="27"/>
  <c r="AP103" i="27" s="1"/>
  <c r="U103" i="27"/>
  <c r="M103" i="27"/>
  <c r="CB102" i="27"/>
  <c r="BL102" i="27"/>
  <c r="AO102" i="27"/>
  <c r="M102" i="27"/>
  <c r="E98" i="27"/>
  <c r="BN95" i="27"/>
  <c r="BN96" i="27" s="1"/>
  <c r="BN97" i="27" s="1"/>
  <c r="BN98" i="27" s="1"/>
  <c r="BN99" i="27" s="1"/>
  <c r="BN100" i="27" s="1"/>
  <c r="BN101" i="27" s="1"/>
  <c r="BN102" i="27" s="1"/>
  <c r="BN103" i="27" s="1"/>
  <c r="BN104" i="27" s="1"/>
  <c r="BN105" i="27" s="1"/>
  <c r="BN106" i="27" s="1"/>
  <c r="BN107" i="27" s="1"/>
  <c r="BN108" i="27" s="1"/>
  <c r="BN109" i="27" s="1"/>
  <c r="BN110" i="27" s="1"/>
  <c r="BN111" i="27" s="1"/>
  <c r="BN112" i="27" s="1"/>
  <c r="BN113" i="27" s="1"/>
  <c r="BL90" i="27"/>
  <c r="BK90" i="27" s="1"/>
  <c r="AO90" i="27"/>
  <c r="M90" i="27"/>
  <c r="BU89" i="27"/>
  <c r="BL89" i="27"/>
  <c r="AO89" i="27"/>
  <c r="AP89" i="27" s="1"/>
  <c r="M89" i="27"/>
  <c r="BL88" i="27"/>
  <c r="BE88" i="27" s="1"/>
  <c r="AO88" i="27"/>
  <c r="AB88" i="27" s="1"/>
  <c r="M88" i="27"/>
  <c r="BL87" i="27"/>
  <c r="BH87" i="27" s="1"/>
  <c r="AO87" i="27"/>
  <c r="AB87" i="27" s="1"/>
  <c r="M87" i="27"/>
  <c r="BL86" i="27"/>
  <c r="BH86" i="27" s="1"/>
  <c r="AO86" i="27"/>
  <c r="AB86" i="27" s="1"/>
  <c r="M86" i="27"/>
  <c r="BL85" i="27"/>
  <c r="BH85" i="27" s="1"/>
  <c r="AO85" i="27"/>
  <c r="AB85" i="27" s="1"/>
  <c r="M85" i="27"/>
  <c r="BW84" i="27"/>
  <c r="BL84" i="27"/>
  <c r="BI84" i="27" s="1"/>
  <c r="AO84" i="27"/>
  <c r="AP84" i="27" s="1"/>
  <c r="M84" i="27"/>
  <c r="BW83" i="27"/>
  <c r="BL83" i="27"/>
  <c r="BJ83" i="27" s="1"/>
  <c r="AO83" i="27"/>
  <c r="AB83" i="27" s="1"/>
  <c r="M83" i="27"/>
  <c r="BW82" i="27"/>
  <c r="BL82" i="27"/>
  <c r="BI82" i="27" s="1"/>
  <c r="AO82" i="27"/>
  <c r="AP82" i="27" s="1"/>
  <c r="U82" i="27"/>
  <c r="M82" i="27"/>
  <c r="CB81" i="27"/>
  <c r="BL81" i="27"/>
  <c r="AO81" i="27"/>
  <c r="M81" i="27"/>
  <c r="E77" i="27"/>
  <c r="BN74" i="27"/>
  <c r="BN75" i="27" s="1"/>
  <c r="BN76" i="27" s="1"/>
  <c r="BN77" i="27" s="1"/>
  <c r="BN78" i="27" s="1"/>
  <c r="BN79" i="27" s="1"/>
  <c r="BN80" i="27" s="1"/>
  <c r="BN81" i="27" s="1"/>
  <c r="BN82" i="27" s="1"/>
  <c r="BN83" i="27" s="1"/>
  <c r="BN84" i="27" s="1"/>
  <c r="BN85" i="27" s="1"/>
  <c r="BN86" i="27" s="1"/>
  <c r="BN87" i="27" s="1"/>
  <c r="BN88" i="27" s="1"/>
  <c r="BN89" i="27" s="1"/>
  <c r="BN90" i="27" s="1"/>
  <c r="BN91" i="27" s="1"/>
  <c r="BN92" i="27" s="1"/>
  <c r="BL69" i="27"/>
  <c r="BH69" i="27" s="1"/>
  <c r="AO69" i="27"/>
  <c r="M69" i="27"/>
  <c r="BU68" i="27"/>
  <c r="BL68" i="27"/>
  <c r="BK68" i="27" s="1"/>
  <c r="AO68" i="27"/>
  <c r="M68" i="27"/>
  <c r="BL67" i="27"/>
  <c r="BJ67" i="27" s="1"/>
  <c r="AO67" i="27"/>
  <c r="AP67" i="27" s="1"/>
  <c r="M67" i="27"/>
  <c r="BL66" i="27"/>
  <c r="AO66" i="27"/>
  <c r="M66" i="27"/>
  <c r="BL65" i="27"/>
  <c r="BJ65" i="27" s="1"/>
  <c r="AO65" i="27"/>
  <c r="AC65" i="27" s="1"/>
  <c r="M65" i="27"/>
  <c r="BL64" i="27"/>
  <c r="AS64" i="27" s="1"/>
  <c r="AR64" i="27" s="1"/>
  <c r="AQ64" i="27" s="1"/>
  <c r="AO64" i="27"/>
  <c r="AP64" i="27" s="1"/>
  <c r="M64" i="27"/>
  <c r="BW63" i="27"/>
  <c r="BL63" i="27"/>
  <c r="AO63" i="27"/>
  <c r="M63" i="27"/>
  <c r="BW62" i="27"/>
  <c r="BL62" i="27"/>
  <c r="BJ62" i="27" s="1"/>
  <c r="AO62" i="27"/>
  <c r="AP62" i="27" s="1"/>
  <c r="M62" i="27"/>
  <c r="BW61" i="27"/>
  <c r="BL61" i="27"/>
  <c r="BK61" i="27" s="1"/>
  <c r="AO61" i="27"/>
  <c r="AP61" i="27" s="1"/>
  <c r="U61" i="27"/>
  <c r="M61" i="27"/>
  <c r="CB60" i="27"/>
  <c r="BL60" i="27"/>
  <c r="AO60" i="27"/>
  <c r="M60" i="27"/>
  <c r="E56" i="27"/>
  <c r="BN53" i="27"/>
  <c r="BN54" i="27" s="1"/>
  <c r="BN55" i="27" s="1"/>
  <c r="BN56" i="27" s="1"/>
  <c r="BN57" i="27" s="1"/>
  <c r="BN58" i="27" s="1"/>
  <c r="BN59" i="27" s="1"/>
  <c r="BN60" i="27" s="1"/>
  <c r="BN61" i="27" s="1"/>
  <c r="BN62" i="27" s="1"/>
  <c r="BN63" i="27" s="1"/>
  <c r="BN64" i="27" s="1"/>
  <c r="BN65" i="27" s="1"/>
  <c r="BN66" i="27" s="1"/>
  <c r="BN67" i="27" s="1"/>
  <c r="BN68" i="27" s="1"/>
  <c r="BN69" i="27" s="1"/>
  <c r="BN70" i="27" s="1"/>
  <c r="BN71" i="27" s="1"/>
  <c r="BL48" i="27"/>
  <c r="BK48" i="27" s="1"/>
  <c r="AO48" i="27"/>
  <c r="AP48" i="27" s="1"/>
  <c r="AN48" i="27"/>
  <c r="AM48" i="27" s="1"/>
  <c r="M48" i="27"/>
  <c r="BU47" i="27"/>
  <c r="BL47" i="27"/>
  <c r="BH47" i="27" s="1"/>
  <c r="AO47" i="27"/>
  <c r="AN47" i="27"/>
  <c r="AD47" i="27" s="1"/>
  <c r="M47" i="27"/>
  <c r="BL46" i="27"/>
  <c r="BD46" i="27" s="1"/>
  <c r="AO46" i="27"/>
  <c r="AB46" i="27" s="1"/>
  <c r="AN46" i="27"/>
  <c r="AJ46" i="27" s="1"/>
  <c r="M46" i="27"/>
  <c r="BL45" i="27"/>
  <c r="BF45" i="27" s="1"/>
  <c r="AO45" i="27"/>
  <c r="AB45" i="27" s="1"/>
  <c r="AN45" i="27"/>
  <c r="AD45" i="27" s="1"/>
  <c r="M45" i="27"/>
  <c r="BL44" i="27"/>
  <c r="BC44" i="27" s="1"/>
  <c r="AO44" i="27"/>
  <c r="AB44" i="27" s="1"/>
  <c r="AN44" i="27"/>
  <c r="AI44" i="27" s="1"/>
  <c r="M44" i="27"/>
  <c r="BL43" i="27"/>
  <c r="AU43" i="27" s="1"/>
  <c r="AO43" i="27"/>
  <c r="AB43" i="27" s="1"/>
  <c r="AN43" i="27"/>
  <c r="AD43" i="27" s="1"/>
  <c r="M43" i="27"/>
  <c r="BW42" i="27"/>
  <c r="BL42" i="27"/>
  <c r="AO42" i="27"/>
  <c r="AN42" i="27"/>
  <c r="AL42" i="27" s="1"/>
  <c r="M42" i="27"/>
  <c r="BW41" i="27"/>
  <c r="BL41" i="27"/>
  <c r="AO41" i="27"/>
  <c r="AB41" i="27" s="1"/>
  <c r="AN41" i="27"/>
  <c r="AK41" i="27" s="1"/>
  <c r="M41" i="27"/>
  <c r="BW40" i="27"/>
  <c r="BL40" i="27"/>
  <c r="BJ40" i="27" s="1"/>
  <c r="AO40" i="27"/>
  <c r="AN40" i="27"/>
  <c r="U40" i="27"/>
  <c r="M40" i="27"/>
  <c r="CB39" i="27"/>
  <c r="BL39" i="27"/>
  <c r="AO39" i="27"/>
  <c r="M39" i="27"/>
  <c r="E35" i="27"/>
  <c r="H35" i="27" s="1"/>
  <c r="BP39" i="27" s="1"/>
  <c r="BN32" i="27"/>
  <c r="BN33" i="27" s="1"/>
  <c r="BN34" i="27" s="1"/>
  <c r="BN35" i="27" s="1"/>
  <c r="BM31" i="27"/>
  <c r="BL27" i="27"/>
  <c r="BJ27" i="27" s="1"/>
  <c r="AO27" i="27"/>
  <c r="AC27" i="27" s="1"/>
  <c r="AN27" i="27"/>
  <c r="M27" i="27"/>
  <c r="BU26" i="27"/>
  <c r="BL26" i="27"/>
  <c r="BI26" i="27" s="1"/>
  <c r="AO26" i="27"/>
  <c r="AB26" i="27" s="1"/>
  <c r="AN26" i="27"/>
  <c r="AK26" i="27" s="1"/>
  <c r="M26" i="27"/>
  <c r="BL25" i="27"/>
  <c r="AO25" i="27"/>
  <c r="AC25" i="27" s="1"/>
  <c r="AN25" i="27"/>
  <c r="AE25" i="27" s="1"/>
  <c r="M25" i="27"/>
  <c r="BL24" i="27"/>
  <c r="BK24" i="27" s="1"/>
  <c r="AO24" i="27"/>
  <c r="AN24" i="27"/>
  <c r="AE24" i="27" s="1"/>
  <c r="M24" i="27"/>
  <c r="BL23" i="27"/>
  <c r="BK23" i="27" s="1"/>
  <c r="AO23" i="27"/>
  <c r="AN23" i="27"/>
  <c r="AF23" i="27" s="1"/>
  <c r="M23" i="27"/>
  <c r="BL22" i="27"/>
  <c r="AV22" i="27" s="1"/>
  <c r="AO22" i="27"/>
  <c r="AC22" i="27" s="1"/>
  <c r="AN22" i="27"/>
  <c r="AF22" i="27" s="1"/>
  <c r="M22" i="27"/>
  <c r="BW21" i="27"/>
  <c r="BL21" i="27"/>
  <c r="AO21" i="27"/>
  <c r="AB21" i="27" s="1"/>
  <c r="AN21" i="27"/>
  <c r="AG21" i="27" s="1"/>
  <c r="M21" i="27"/>
  <c r="BW20" i="27"/>
  <c r="BL20" i="27"/>
  <c r="BE20" i="27" s="1"/>
  <c r="AO20" i="27"/>
  <c r="AB20" i="27" s="1"/>
  <c r="AN20" i="27"/>
  <c r="AL20" i="27" s="1"/>
  <c r="M20" i="27"/>
  <c r="BW19" i="27"/>
  <c r="BL19" i="27"/>
  <c r="BD19" i="27" s="1"/>
  <c r="AO19" i="27"/>
  <c r="AC19" i="27" s="1"/>
  <c r="AN19" i="27"/>
  <c r="AE19" i="27" s="1"/>
  <c r="U19" i="27"/>
  <c r="M19" i="27"/>
  <c r="CB18" i="27"/>
  <c r="BL18" i="27"/>
  <c r="AO18" i="27"/>
  <c r="M18" i="27"/>
  <c r="E14" i="27"/>
  <c r="H14" i="27" s="1"/>
  <c r="BP18" i="27" s="1"/>
  <c r="BN11" i="27"/>
  <c r="A11" i="27" s="1"/>
  <c r="DL8" i="27"/>
  <c r="DJ8" i="27"/>
  <c r="DH8" i="27"/>
  <c r="DF8" i="27"/>
  <c r="DD8" i="27"/>
  <c r="DB8" i="27"/>
  <c r="CZ8" i="27"/>
  <c r="CU8" i="27"/>
  <c r="DL7" i="27"/>
  <c r="DJ7" i="27"/>
  <c r="DH7" i="27"/>
  <c r="DF7" i="27"/>
  <c r="DD7" i="27"/>
  <c r="DB7" i="27"/>
  <c r="CZ7" i="27"/>
  <c r="CU7" i="27"/>
  <c r="DL6" i="27"/>
  <c r="DJ6" i="27"/>
  <c r="DH6" i="27"/>
  <c r="DF6" i="27"/>
  <c r="DD6" i="27"/>
  <c r="DB6" i="27"/>
  <c r="CZ6" i="27"/>
  <c r="CU6" i="27"/>
  <c r="BX6" i="27"/>
  <c r="DL5" i="27"/>
  <c r="DJ5" i="27"/>
  <c r="DH5" i="27"/>
  <c r="DF5" i="27"/>
  <c r="DD5" i="27"/>
  <c r="DB5" i="27"/>
  <c r="CZ5" i="27"/>
  <c r="CU5" i="27"/>
  <c r="BX5" i="27"/>
  <c r="S5" i="27"/>
  <c r="DL4" i="27"/>
  <c r="DJ4" i="27"/>
  <c r="DH4" i="27"/>
  <c r="DF4" i="27"/>
  <c r="DD4" i="27"/>
  <c r="DB4" i="27"/>
  <c r="CZ4" i="27"/>
  <c r="CU4" i="27"/>
  <c r="CL4" i="27"/>
  <c r="BX4" i="27"/>
  <c r="BN4" i="27"/>
  <c r="P4" i="27"/>
  <c r="AD131" i="16" s="1"/>
  <c r="J4" i="27"/>
  <c r="E13" i="27" s="1"/>
  <c r="DL3" i="27"/>
  <c r="DJ3" i="27"/>
  <c r="DH3" i="27"/>
  <c r="DF3" i="27"/>
  <c r="DD3" i="27"/>
  <c r="DB3" i="27"/>
  <c r="CZ3" i="27"/>
  <c r="CU3" i="27"/>
  <c r="CL3" i="27"/>
  <c r="BX3" i="27"/>
  <c r="BN3" i="27"/>
  <c r="DL2" i="27"/>
  <c r="DJ2" i="27"/>
  <c r="DH2" i="27"/>
  <c r="DF2" i="27"/>
  <c r="DD2" i="27"/>
  <c r="DB2" i="27"/>
  <c r="CZ2" i="27"/>
  <c r="CU2" i="27"/>
  <c r="CJ2" i="27"/>
  <c r="CG10" i="27" s="1"/>
  <c r="CG11" i="27" s="1"/>
  <c r="CG12" i="27" s="1"/>
  <c r="CG13" i="27" s="1"/>
  <c r="CG14" i="27" s="1"/>
  <c r="CG15" i="27" s="1"/>
  <c r="CG16" i="27" s="1"/>
  <c r="CG17" i="27" s="1"/>
  <c r="CG18" i="27" s="1"/>
  <c r="CG19" i="27" s="1"/>
  <c r="CG20" i="27" s="1"/>
  <c r="CG21" i="27" s="1"/>
  <c r="CG22" i="27" s="1"/>
  <c r="CG23" i="27" s="1"/>
  <c r="CG24" i="27" s="1"/>
  <c r="CG25" i="27" s="1"/>
  <c r="CG26" i="27" s="1"/>
  <c r="CG27" i="27" s="1"/>
  <c r="CG28" i="27" s="1"/>
  <c r="CG29" i="27" s="1"/>
  <c r="CG30" i="27" s="1"/>
  <c r="CI2" i="27"/>
  <c r="AA1" i="27" s="1"/>
  <c r="CH2" i="27"/>
  <c r="BX2" i="27"/>
  <c r="BN2" i="27"/>
  <c r="CY1" i="27"/>
  <c r="CX1" i="27"/>
  <c r="CU1" i="27"/>
  <c r="CQ1" i="27"/>
  <c r="CM1" i="27"/>
  <c r="BX1" i="27"/>
  <c r="BN1" i="27"/>
  <c r="A1" i="27"/>
  <c r="BL153" i="26"/>
  <c r="BK153" i="26" s="1"/>
  <c r="AO153" i="26"/>
  <c r="AB153" i="26" s="1"/>
  <c r="M153" i="26"/>
  <c r="BU152" i="26"/>
  <c r="BL152" i="26"/>
  <c r="BK152" i="26" s="1"/>
  <c r="AO152" i="26"/>
  <c r="AC152" i="26" s="1"/>
  <c r="M152" i="26"/>
  <c r="BL151" i="26"/>
  <c r="BB151" i="26" s="1"/>
  <c r="AO151" i="26"/>
  <c r="AB151" i="26" s="1"/>
  <c r="M151" i="26"/>
  <c r="BL150" i="26"/>
  <c r="AU150" i="26" s="1"/>
  <c r="AO150" i="26"/>
  <c r="AC150" i="26" s="1"/>
  <c r="M150" i="26"/>
  <c r="BL149" i="26"/>
  <c r="BJ149" i="26" s="1"/>
  <c r="AO149" i="26"/>
  <c r="AC149" i="26" s="1"/>
  <c r="M149" i="26"/>
  <c r="BL148" i="26"/>
  <c r="BJ148" i="26" s="1"/>
  <c r="AO148" i="26"/>
  <c r="AC148" i="26" s="1"/>
  <c r="M148" i="26"/>
  <c r="BW147" i="26"/>
  <c r="BL147" i="26"/>
  <c r="AO147" i="26"/>
  <c r="AC147" i="26" s="1"/>
  <c r="M147" i="26"/>
  <c r="BW146" i="26"/>
  <c r="BL146" i="26"/>
  <c r="AO146" i="26"/>
  <c r="AB146" i="26" s="1"/>
  <c r="M146" i="26"/>
  <c r="BW145" i="26"/>
  <c r="BL145" i="26"/>
  <c r="BJ145" i="26" s="1"/>
  <c r="AO145" i="26"/>
  <c r="AB145" i="26" s="1"/>
  <c r="U145" i="26"/>
  <c r="M145" i="26"/>
  <c r="CB144" i="26"/>
  <c r="BL144" i="26"/>
  <c r="AO144" i="26"/>
  <c r="M144" i="26"/>
  <c r="E140" i="26"/>
  <c r="BN137" i="26"/>
  <c r="BN138" i="26" s="1"/>
  <c r="BN139" i="26" s="1"/>
  <c r="BN140" i="26" s="1"/>
  <c r="BN141" i="26" s="1"/>
  <c r="BN142" i="26" s="1"/>
  <c r="BN143" i="26" s="1"/>
  <c r="BN144" i="26" s="1"/>
  <c r="BN145" i="26" s="1"/>
  <c r="BN146" i="26" s="1"/>
  <c r="BN147" i="26" s="1"/>
  <c r="BN148" i="26" s="1"/>
  <c r="BN149" i="26" s="1"/>
  <c r="BN150" i="26" s="1"/>
  <c r="BN151" i="26" s="1"/>
  <c r="BN152" i="26" s="1"/>
  <c r="BN153" i="26" s="1"/>
  <c r="BN154" i="26" s="1"/>
  <c r="BN155" i="26" s="1"/>
  <c r="BL132" i="26"/>
  <c r="BH132" i="26" s="1"/>
  <c r="AO132" i="26"/>
  <c r="AC132" i="26" s="1"/>
  <c r="M132" i="26"/>
  <c r="BU131" i="26"/>
  <c r="BL131" i="26"/>
  <c r="BH131" i="26" s="1"/>
  <c r="AO131" i="26"/>
  <c r="AC131" i="26" s="1"/>
  <c r="M131" i="26"/>
  <c r="BL130" i="26"/>
  <c r="AO130" i="26"/>
  <c r="AC130" i="26" s="1"/>
  <c r="M130" i="26"/>
  <c r="BL129" i="26"/>
  <c r="BG129" i="26" s="1"/>
  <c r="AO129" i="26"/>
  <c r="AC129" i="26" s="1"/>
  <c r="M129" i="26"/>
  <c r="BL128" i="26"/>
  <c r="AV128" i="26" s="1"/>
  <c r="AO128" i="26"/>
  <c r="AC128" i="26" s="1"/>
  <c r="M128" i="26"/>
  <c r="BL127" i="26"/>
  <c r="BG127" i="26" s="1"/>
  <c r="AO127" i="26"/>
  <c r="AC127" i="26" s="1"/>
  <c r="M127" i="26"/>
  <c r="BW126" i="26"/>
  <c r="BL126" i="26"/>
  <c r="BD126" i="26" s="1"/>
  <c r="AO126" i="26"/>
  <c r="AC126" i="26" s="1"/>
  <c r="M126" i="26"/>
  <c r="BW125" i="26"/>
  <c r="BL125" i="26"/>
  <c r="BK125" i="26" s="1"/>
  <c r="AO125" i="26"/>
  <c r="AC125" i="26" s="1"/>
  <c r="M125" i="26"/>
  <c r="BW124" i="26"/>
  <c r="BL124" i="26"/>
  <c r="AZ124" i="26" s="1"/>
  <c r="AO124" i="26"/>
  <c r="AC124" i="26" s="1"/>
  <c r="U124" i="26"/>
  <c r="M124" i="26"/>
  <c r="CB123" i="26"/>
  <c r="BL123" i="26"/>
  <c r="AO123" i="26"/>
  <c r="M123" i="26"/>
  <c r="E119" i="26"/>
  <c r="BN116" i="26"/>
  <c r="BN117" i="26" s="1"/>
  <c r="BN118" i="26" s="1"/>
  <c r="BN119" i="26" s="1"/>
  <c r="BN120" i="26" s="1"/>
  <c r="BN121" i="26" s="1"/>
  <c r="BN122" i="26" s="1"/>
  <c r="BN123" i="26" s="1"/>
  <c r="BN124" i="26" s="1"/>
  <c r="BN125" i="26" s="1"/>
  <c r="BN126" i="26" s="1"/>
  <c r="BN127" i="26" s="1"/>
  <c r="BN128" i="26" s="1"/>
  <c r="BN129" i="26" s="1"/>
  <c r="BN130" i="26" s="1"/>
  <c r="BN131" i="26" s="1"/>
  <c r="BN132" i="26" s="1"/>
  <c r="BN133" i="26" s="1"/>
  <c r="BN134" i="26" s="1"/>
  <c r="BL111" i="26"/>
  <c r="AO111" i="26"/>
  <c r="M111" i="26"/>
  <c r="BU110" i="26"/>
  <c r="BL110" i="26"/>
  <c r="AW110" i="26" s="1"/>
  <c r="AO110" i="26"/>
  <c r="M110" i="26"/>
  <c r="BL109" i="26"/>
  <c r="AO109" i="26"/>
  <c r="AC109" i="26" s="1"/>
  <c r="M109" i="26"/>
  <c r="BL108" i="26"/>
  <c r="AO108" i="26"/>
  <c r="AC108" i="26" s="1"/>
  <c r="M108" i="26"/>
  <c r="BL107" i="26"/>
  <c r="BK107" i="26" s="1"/>
  <c r="AO107" i="26"/>
  <c r="AC107" i="26" s="1"/>
  <c r="M107" i="26"/>
  <c r="BL106" i="26"/>
  <c r="BB106" i="26" s="1"/>
  <c r="AO106" i="26"/>
  <c r="M106" i="26"/>
  <c r="BW105" i="26"/>
  <c r="BL105" i="26"/>
  <c r="BC105" i="26" s="1"/>
  <c r="AO105" i="26"/>
  <c r="AC105" i="26" s="1"/>
  <c r="M105" i="26"/>
  <c r="BW104" i="26"/>
  <c r="BL104" i="26"/>
  <c r="AO104" i="26"/>
  <c r="AC104" i="26" s="1"/>
  <c r="M104" i="26"/>
  <c r="BW103" i="26"/>
  <c r="BL103" i="26"/>
  <c r="AO103" i="26"/>
  <c r="U103" i="26"/>
  <c r="M103" i="26"/>
  <c r="CB102" i="26"/>
  <c r="BL102" i="26"/>
  <c r="AO102" i="26"/>
  <c r="M102" i="26"/>
  <c r="E98" i="26"/>
  <c r="BN95" i="26"/>
  <c r="BN96" i="26" s="1"/>
  <c r="BN97" i="26" s="1"/>
  <c r="BN98" i="26" s="1"/>
  <c r="BN99" i="26" s="1"/>
  <c r="BN100" i="26" s="1"/>
  <c r="BN101" i="26" s="1"/>
  <c r="BN102" i="26" s="1"/>
  <c r="BN103" i="26" s="1"/>
  <c r="BN104" i="26" s="1"/>
  <c r="BN105" i="26" s="1"/>
  <c r="BN106" i="26" s="1"/>
  <c r="BN107" i="26" s="1"/>
  <c r="BN108" i="26" s="1"/>
  <c r="BN109" i="26" s="1"/>
  <c r="BN110" i="26" s="1"/>
  <c r="BN111" i="26" s="1"/>
  <c r="BN112" i="26" s="1"/>
  <c r="BN113" i="26" s="1"/>
  <c r="BL90" i="26"/>
  <c r="AO90" i="26"/>
  <c r="M90" i="26"/>
  <c r="BU89" i="26"/>
  <c r="BL89" i="26"/>
  <c r="BK89" i="26" s="1"/>
  <c r="AO89" i="26"/>
  <c r="AC89" i="26" s="1"/>
  <c r="M89" i="26"/>
  <c r="BL88" i="26"/>
  <c r="BH88" i="26" s="1"/>
  <c r="AO88" i="26"/>
  <c r="AC88" i="26" s="1"/>
  <c r="M88" i="26"/>
  <c r="BL87" i="26"/>
  <c r="AO87" i="26"/>
  <c r="AB87" i="26" s="1"/>
  <c r="M87" i="26"/>
  <c r="BL86" i="26"/>
  <c r="BH86" i="26" s="1"/>
  <c r="AO86" i="26"/>
  <c r="AB86" i="26" s="1"/>
  <c r="M86" i="26"/>
  <c r="BL85" i="26"/>
  <c r="AV85" i="26" s="1"/>
  <c r="AO85" i="26"/>
  <c r="AC85" i="26" s="1"/>
  <c r="M85" i="26"/>
  <c r="BW84" i="26"/>
  <c r="BL84" i="26"/>
  <c r="AO84" i="26"/>
  <c r="AC84" i="26" s="1"/>
  <c r="M84" i="26"/>
  <c r="BW83" i="26"/>
  <c r="BL83" i="26"/>
  <c r="BF83" i="26" s="1"/>
  <c r="AO83" i="26"/>
  <c r="M83" i="26"/>
  <c r="BW82" i="26"/>
  <c r="BL82" i="26"/>
  <c r="BH82" i="26" s="1"/>
  <c r="AO82" i="26"/>
  <c r="AB82" i="26" s="1"/>
  <c r="U82" i="26"/>
  <c r="M82" i="26"/>
  <c r="CB81" i="26"/>
  <c r="BL81" i="26"/>
  <c r="AO81" i="26"/>
  <c r="M81" i="26"/>
  <c r="E77" i="26"/>
  <c r="BN75" i="26"/>
  <c r="BN76" i="26" s="1"/>
  <c r="BN77" i="26" s="1"/>
  <c r="BN78" i="26" s="1"/>
  <c r="BN79" i="26" s="1"/>
  <c r="BN80" i="26" s="1"/>
  <c r="BN81" i="26" s="1"/>
  <c r="BN82" i="26" s="1"/>
  <c r="BN83" i="26" s="1"/>
  <c r="BN84" i="26" s="1"/>
  <c r="BN85" i="26" s="1"/>
  <c r="BN86" i="26" s="1"/>
  <c r="BN87" i="26" s="1"/>
  <c r="BN88" i="26" s="1"/>
  <c r="BN89" i="26" s="1"/>
  <c r="BN90" i="26" s="1"/>
  <c r="BN91" i="26" s="1"/>
  <c r="BN92" i="26" s="1"/>
  <c r="BN74" i="26"/>
  <c r="BL69" i="26"/>
  <c r="AY69" i="26" s="1"/>
  <c r="AO69" i="26"/>
  <c r="AC69" i="26" s="1"/>
  <c r="M69" i="26"/>
  <c r="BU68" i="26"/>
  <c r="BL68" i="26"/>
  <c r="BH68" i="26" s="1"/>
  <c r="AO68" i="26"/>
  <c r="AC68" i="26" s="1"/>
  <c r="M68" i="26"/>
  <c r="BL67" i="26"/>
  <c r="BJ67" i="26" s="1"/>
  <c r="AO67" i="26"/>
  <c r="AC67" i="26" s="1"/>
  <c r="M67" i="26"/>
  <c r="BL66" i="26"/>
  <c r="BF66" i="26" s="1"/>
  <c r="AO66" i="26"/>
  <c r="M66" i="26"/>
  <c r="BL65" i="26"/>
  <c r="BF65" i="26" s="1"/>
  <c r="AO65" i="26"/>
  <c r="AC65" i="26" s="1"/>
  <c r="M65" i="26"/>
  <c r="BL64" i="26"/>
  <c r="BE64" i="26" s="1"/>
  <c r="AO64" i="26"/>
  <c r="AC64" i="26" s="1"/>
  <c r="M64" i="26"/>
  <c r="BW63" i="26"/>
  <c r="BL63" i="26"/>
  <c r="BH63" i="26" s="1"/>
  <c r="AO63" i="26"/>
  <c r="AC63" i="26" s="1"/>
  <c r="M63" i="26"/>
  <c r="BW62" i="26"/>
  <c r="BL62" i="26"/>
  <c r="BF62" i="26" s="1"/>
  <c r="AO62" i="26"/>
  <c r="M62" i="26"/>
  <c r="BW61" i="26"/>
  <c r="BL61" i="26"/>
  <c r="BD61" i="26" s="1"/>
  <c r="AO61" i="26"/>
  <c r="AC61" i="26" s="1"/>
  <c r="U61" i="26"/>
  <c r="M61" i="26"/>
  <c r="CB60" i="26"/>
  <c r="BL60" i="26"/>
  <c r="AO60" i="26"/>
  <c r="M60" i="26"/>
  <c r="E56" i="26"/>
  <c r="BN53" i="26"/>
  <c r="BN54" i="26" s="1"/>
  <c r="BN55" i="26" s="1"/>
  <c r="BN56" i="26" s="1"/>
  <c r="BN57" i="26" s="1"/>
  <c r="BN58" i="26" s="1"/>
  <c r="BN59" i="26" s="1"/>
  <c r="BN60" i="26" s="1"/>
  <c r="BN61" i="26" s="1"/>
  <c r="BN62" i="26" s="1"/>
  <c r="BN63" i="26" s="1"/>
  <c r="BN64" i="26" s="1"/>
  <c r="BN65" i="26" s="1"/>
  <c r="BN66" i="26" s="1"/>
  <c r="BN67" i="26" s="1"/>
  <c r="BN68" i="26" s="1"/>
  <c r="BN69" i="26" s="1"/>
  <c r="BN70" i="26" s="1"/>
  <c r="BN71" i="26" s="1"/>
  <c r="BL48" i="26"/>
  <c r="BG48" i="26" s="1"/>
  <c r="AO48" i="26"/>
  <c r="AC48" i="26" s="1"/>
  <c r="AN48" i="26"/>
  <c r="AK48" i="26" s="1"/>
  <c r="M48" i="26"/>
  <c r="BU47" i="26"/>
  <c r="BL47" i="26"/>
  <c r="BJ47" i="26" s="1"/>
  <c r="AO47" i="26"/>
  <c r="AP47" i="26" s="1"/>
  <c r="AN47" i="26"/>
  <c r="AJ47" i="26" s="1"/>
  <c r="M47" i="26"/>
  <c r="BL46" i="26"/>
  <c r="BK46" i="26" s="1"/>
  <c r="AO46" i="26"/>
  <c r="AP46" i="26" s="1"/>
  <c r="AN46" i="26"/>
  <c r="AK46" i="26" s="1"/>
  <c r="M46" i="26"/>
  <c r="BL45" i="26"/>
  <c r="AO45" i="26"/>
  <c r="AC45" i="26" s="1"/>
  <c r="AN45" i="26"/>
  <c r="AG45" i="26" s="1"/>
  <c r="M45" i="26"/>
  <c r="BL44" i="26"/>
  <c r="AU44" i="26" s="1"/>
  <c r="AO44" i="26"/>
  <c r="AC44" i="26" s="1"/>
  <c r="AN44" i="26"/>
  <c r="AG44" i="26" s="1"/>
  <c r="M44" i="26"/>
  <c r="BL43" i="26"/>
  <c r="BK43" i="26" s="1"/>
  <c r="AO43" i="26"/>
  <c r="AN43" i="26"/>
  <c r="AG43" i="26" s="1"/>
  <c r="M43" i="26"/>
  <c r="BW42" i="26"/>
  <c r="BL42" i="26"/>
  <c r="AO42" i="26"/>
  <c r="AB42" i="26" s="1"/>
  <c r="AN42" i="26"/>
  <c r="AJ42" i="26" s="1"/>
  <c r="M42" i="26"/>
  <c r="BW41" i="26"/>
  <c r="BL41" i="26"/>
  <c r="BG41" i="26" s="1"/>
  <c r="AO41" i="26"/>
  <c r="AP41" i="26" s="1"/>
  <c r="AN41" i="26"/>
  <c r="AG41" i="26" s="1"/>
  <c r="M41" i="26"/>
  <c r="BW40" i="26"/>
  <c r="BL40" i="26"/>
  <c r="BJ40" i="26" s="1"/>
  <c r="AO40" i="26"/>
  <c r="AN40" i="26"/>
  <c r="AK40" i="26" s="1"/>
  <c r="U40" i="26"/>
  <c r="M40" i="26"/>
  <c r="CB39" i="26"/>
  <c r="BL39" i="26"/>
  <c r="AO39" i="26"/>
  <c r="M39" i="26"/>
  <c r="E35" i="26"/>
  <c r="H35" i="26" s="1"/>
  <c r="BP39" i="26" s="1"/>
  <c r="BN33" i="26"/>
  <c r="BN34" i="26" s="1"/>
  <c r="BN35" i="26" s="1"/>
  <c r="BN36" i="26" s="1"/>
  <c r="BN37" i="26" s="1"/>
  <c r="BN38" i="26" s="1"/>
  <c r="BN39" i="26" s="1"/>
  <c r="BN32" i="26"/>
  <c r="BM31" i="26"/>
  <c r="BL27" i="26"/>
  <c r="BH27" i="26" s="1"/>
  <c r="AO27" i="26"/>
  <c r="AC27" i="26" s="1"/>
  <c r="AN27" i="26"/>
  <c r="AM27" i="26" s="1"/>
  <c r="M27" i="26"/>
  <c r="BU26" i="26"/>
  <c r="BL26" i="26"/>
  <c r="BE26" i="26" s="1"/>
  <c r="AO26" i="26"/>
  <c r="AC26" i="26" s="1"/>
  <c r="AN26" i="26"/>
  <c r="AG26" i="26" s="1"/>
  <c r="M26" i="26"/>
  <c r="BL25" i="26"/>
  <c r="BK25" i="26" s="1"/>
  <c r="AO25" i="26"/>
  <c r="AC25" i="26" s="1"/>
  <c r="AN25" i="26"/>
  <c r="AJ25" i="26" s="1"/>
  <c r="M25" i="26"/>
  <c r="BL24" i="26"/>
  <c r="BK24" i="26" s="1"/>
  <c r="AO24" i="26"/>
  <c r="AC24" i="26" s="1"/>
  <c r="AN24" i="26"/>
  <c r="AG24" i="26" s="1"/>
  <c r="M24" i="26"/>
  <c r="BL23" i="26"/>
  <c r="BK23" i="26" s="1"/>
  <c r="AO23" i="26"/>
  <c r="AC23" i="26" s="1"/>
  <c r="AN23" i="26"/>
  <c r="AL23" i="26" s="1"/>
  <c r="M23" i="26"/>
  <c r="BL22" i="26"/>
  <c r="BH22" i="26" s="1"/>
  <c r="AO22" i="26"/>
  <c r="AP22" i="26" s="1"/>
  <c r="AN22" i="26"/>
  <c r="AJ22" i="26" s="1"/>
  <c r="M22" i="26"/>
  <c r="BW21" i="26"/>
  <c r="BL21" i="26"/>
  <c r="AO21" i="26"/>
  <c r="AP21" i="26" s="1"/>
  <c r="AN21" i="26"/>
  <c r="AI21" i="26" s="1"/>
  <c r="M21" i="26"/>
  <c r="BW20" i="26"/>
  <c r="BL20" i="26"/>
  <c r="BG20" i="26" s="1"/>
  <c r="AO20" i="26"/>
  <c r="AP20" i="26" s="1"/>
  <c r="AN20" i="26"/>
  <c r="AI20" i="26" s="1"/>
  <c r="M20" i="26"/>
  <c r="BW19" i="26"/>
  <c r="BL19" i="26"/>
  <c r="BI19" i="26" s="1"/>
  <c r="AO19" i="26"/>
  <c r="AC19" i="26" s="1"/>
  <c r="AN19" i="26"/>
  <c r="AK19" i="26" s="1"/>
  <c r="U19" i="26"/>
  <c r="M19" i="26"/>
  <c r="CB18" i="26"/>
  <c r="BL18" i="26"/>
  <c r="AO18" i="26"/>
  <c r="M18" i="26"/>
  <c r="E14" i="26"/>
  <c r="H14" i="26" s="1"/>
  <c r="BP18" i="26" s="1"/>
  <c r="BN11" i="26"/>
  <c r="A11" i="26" s="1"/>
  <c r="DL8" i="26"/>
  <c r="DJ8" i="26"/>
  <c r="DH8" i="26"/>
  <c r="DF8" i="26"/>
  <c r="DD8" i="26"/>
  <c r="DB8" i="26"/>
  <c r="CZ8" i="26"/>
  <c r="CU8" i="26"/>
  <c r="DL7" i="26"/>
  <c r="DJ7" i="26"/>
  <c r="DH7" i="26"/>
  <c r="DF7" i="26"/>
  <c r="DD7" i="26"/>
  <c r="DB7" i="26"/>
  <c r="CZ7" i="26"/>
  <c r="CU7" i="26"/>
  <c r="DL6" i="26"/>
  <c r="DJ6" i="26"/>
  <c r="DH6" i="26"/>
  <c r="DF6" i="26"/>
  <c r="DD6" i="26"/>
  <c r="DB6" i="26"/>
  <c r="CZ6" i="26"/>
  <c r="CU6" i="26"/>
  <c r="BX6" i="26"/>
  <c r="DL5" i="26"/>
  <c r="DJ5" i="26"/>
  <c r="DH5" i="26"/>
  <c r="DF5" i="26"/>
  <c r="DD5" i="26"/>
  <c r="DB5" i="26"/>
  <c r="CZ5" i="26"/>
  <c r="CU5" i="26"/>
  <c r="BX5" i="26"/>
  <c r="S5" i="26"/>
  <c r="DL4" i="26"/>
  <c r="DJ4" i="26"/>
  <c r="DH4" i="26"/>
  <c r="DF4" i="26"/>
  <c r="DD4" i="26"/>
  <c r="DB4" i="26"/>
  <c r="CZ4" i="26"/>
  <c r="CU4" i="26"/>
  <c r="BX4" i="26"/>
  <c r="BN4" i="26"/>
  <c r="P4" i="26"/>
  <c r="AD139" i="16" s="1"/>
  <c r="J4" i="26"/>
  <c r="O5" i="26" s="1"/>
  <c r="DL3" i="26"/>
  <c r="DJ3" i="26"/>
  <c r="DH3" i="26"/>
  <c r="DF3" i="26"/>
  <c r="DD3" i="26"/>
  <c r="DB3" i="26"/>
  <c r="CZ3" i="26"/>
  <c r="CU3" i="26"/>
  <c r="CL3" i="26"/>
  <c r="CL4" i="26" s="1"/>
  <c r="CL5" i="26" s="1"/>
  <c r="BX3" i="26"/>
  <c r="BN3" i="26"/>
  <c r="DL2" i="26"/>
  <c r="DJ2" i="26"/>
  <c r="DH2" i="26"/>
  <c r="DF2" i="26"/>
  <c r="DD2" i="26"/>
  <c r="DB2" i="26"/>
  <c r="CZ2" i="26"/>
  <c r="CU2" i="26"/>
  <c r="CJ2" i="26"/>
  <c r="CG10" i="26" s="1"/>
  <c r="CG11" i="26" s="1"/>
  <c r="CG12" i="26" s="1"/>
  <c r="CG13" i="26" s="1"/>
  <c r="CG14" i="26" s="1"/>
  <c r="CG15" i="26" s="1"/>
  <c r="CG16" i="26" s="1"/>
  <c r="CG17" i="26" s="1"/>
  <c r="CG18" i="26" s="1"/>
  <c r="CG19" i="26" s="1"/>
  <c r="CG20" i="26" s="1"/>
  <c r="CG21" i="26" s="1"/>
  <c r="CG22" i="26" s="1"/>
  <c r="CG23" i="26" s="1"/>
  <c r="CG24" i="26" s="1"/>
  <c r="CG25" i="26" s="1"/>
  <c r="CG26" i="26" s="1"/>
  <c r="CG27" i="26" s="1"/>
  <c r="CG28" i="26" s="1"/>
  <c r="CG29" i="26" s="1"/>
  <c r="CG30" i="26" s="1"/>
  <c r="CI2" i="26"/>
  <c r="AA1" i="26" s="1"/>
  <c r="CH2" i="26"/>
  <c r="BX2" i="26"/>
  <c r="BN2" i="26"/>
  <c r="CY1" i="26"/>
  <c r="CX1" i="26"/>
  <c r="CU1" i="26"/>
  <c r="CQ1" i="26"/>
  <c r="CM1" i="26"/>
  <c r="BX1" i="26"/>
  <c r="BN1" i="26"/>
  <c r="A1" i="26"/>
  <c r="BL153" i="25"/>
  <c r="BD153" i="25" s="1"/>
  <c r="AO153" i="25"/>
  <c r="AP153" i="25" s="1"/>
  <c r="M153" i="25"/>
  <c r="BU152" i="25"/>
  <c r="BL152" i="25"/>
  <c r="BK152" i="25" s="1"/>
  <c r="AO152" i="25"/>
  <c r="M152" i="25"/>
  <c r="BL151" i="25"/>
  <c r="BI151" i="25" s="1"/>
  <c r="AO151" i="25"/>
  <c r="AC151" i="25" s="1"/>
  <c r="M151" i="25"/>
  <c r="BL150" i="25"/>
  <c r="BE150" i="25" s="1"/>
  <c r="AO150" i="25"/>
  <c r="AB150" i="25" s="1"/>
  <c r="M150" i="25"/>
  <c r="BL149" i="25"/>
  <c r="AZ149" i="25" s="1"/>
  <c r="AO149" i="25"/>
  <c r="AP149" i="25" s="1"/>
  <c r="M149" i="25"/>
  <c r="BL148" i="25"/>
  <c r="BE148" i="25" s="1"/>
  <c r="AO148" i="25"/>
  <c r="AP148" i="25" s="1"/>
  <c r="M148" i="25"/>
  <c r="BW147" i="25"/>
  <c r="BL147" i="25"/>
  <c r="BI147" i="25" s="1"/>
  <c r="AO147" i="25"/>
  <c r="M147" i="25"/>
  <c r="BW146" i="25"/>
  <c r="BL146" i="25"/>
  <c r="BJ146" i="25" s="1"/>
  <c r="AO146" i="25"/>
  <c r="AC146" i="25" s="1"/>
  <c r="M146" i="25"/>
  <c r="BW145" i="25"/>
  <c r="BL145" i="25"/>
  <c r="AO145" i="25"/>
  <c r="AP145" i="25" s="1"/>
  <c r="U145" i="25"/>
  <c r="M145" i="25"/>
  <c r="CB144" i="25"/>
  <c r="BL144" i="25"/>
  <c r="AO144" i="25"/>
  <c r="M144" i="25"/>
  <c r="E140" i="25"/>
  <c r="BN137" i="25"/>
  <c r="BN138" i="25" s="1"/>
  <c r="BN139" i="25" s="1"/>
  <c r="BN140" i="25" s="1"/>
  <c r="BN141" i="25" s="1"/>
  <c r="BN142" i="25" s="1"/>
  <c r="BN143" i="25" s="1"/>
  <c r="BN144" i="25" s="1"/>
  <c r="BN145" i="25" s="1"/>
  <c r="BN146" i="25" s="1"/>
  <c r="BN147" i="25" s="1"/>
  <c r="BN148" i="25" s="1"/>
  <c r="BN149" i="25" s="1"/>
  <c r="BN150" i="25" s="1"/>
  <c r="BN151" i="25" s="1"/>
  <c r="BN152" i="25" s="1"/>
  <c r="BN153" i="25" s="1"/>
  <c r="BN154" i="25" s="1"/>
  <c r="BN155" i="25" s="1"/>
  <c r="BL132" i="25"/>
  <c r="BK132" i="25" s="1"/>
  <c r="AO132" i="25"/>
  <c r="AB132" i="25" s="1"/>
  <c r="M132" i="25"/>
  <c r="BU131" i="25"/>
  <c r="BL131" i="25"/>
  <c r="AO131" i="25"/>
  <c r="M131" i="25"/>
  <c r="BL130" i="25"/>
  <c r="BJ130" i="25" s="1"/>
  <c r="AO130" i="25"/>
  <c r="AP130" i="25" s="1"/>
  <c r="M130" i="25"/>
  <c r="BL129" i="25"/>
  <c r="BA129" i="25" s="1"/>
  <c r="AO129" i="25"/>
  <c r="AP129" i="25" s="1"/>
  <c r="M129" i="25"/>
  <c r="BL128" i="25"/>
  <c r="AO128" i="25"/>
  <c r="AP128" i="25" s="1"/>
  <c r="M128" i="25"/>
  <c r="BL127" i="25"/>
  <c r="BK127" i="25" s="1"/>
  <c r="AO127" i="25"/>
  <c r="AC127" i="25" s="1"/>
  <c r="M127" i="25"/>
  <c r="BW126" i="25"/>
  <c r="BL126" i="25"/>
  <c r="BH126" i="25" s="1"/>
  <c r="AO126" i="25"/>
  <c r="AB126" i="25" s="1"/>
  <c r="M126" i="25"/>
  <c r="BW125" i="25"/>
  <c r="BL125" i="25"/>
  <c r="BE125" i="25" s="1"/>
  <c r="AO125" i="25"/>
  <c r="AP125" i="25" s="1"/>
  <c r="M125" i="25"/>
  <c r="BW124" i="25"/>
  <c r="BL124" i="25"/>
  <c r="BJ124" i="25" s="1"/>
  <c r="AO124" i="25"/>
  <c r="U124" i="25"/>
  <c r="M124" i="25"/>
  <c r="CB123" i="25"/>
  <c r="BL123" i="25"/>
  <c r="AO123" i="25"/>
  <c r="M123" i="25"/>
  <c r="E119" i="25"/>
  <c r="BN116" i="25"/>
  <c r="BN117" i="25" s="1"/>
  <c r="BN118" i="25" s="1"/>
  <c r="BN119" i="25" s="1"/>
  <c r="BN120" i="25" s="1"/>
  <c r="BN121" i="25" s="1"/>
  <c r="BN122" i="25" s="1"/>
  <c r="BN123" i="25" s="1"/>
  <c r="BN124" i="25" s="1"/>
  <c r="BN125" i="25" s="1"/>
  <c r="BN126" i="25" s="1"/>
  <c r="BN127" i="25" s="1"/>
  <c r="BN128" i="25" s="1"/>
  <c r="BN129" i="25" s="1"/>
  <c r="BN130" i="25" s="1"/>
  <c r="BN131" i="25" s="1"/>
  <c r="BN132" i="25" s="1"/>
  <c r="BN133" i="25" s="1"/>
  <c r="BN134" i="25" s="1"/>
  <c r="BL111" i="25"/>
  <c r="BA111" i="25" s="1"/>
  <c r="AO111" i="25"/>
  <c r="M111" i="25"/>
  <c r="BU110" i="25"/>
  <c r="BL110" i="25"/>
  <c r="AY110" i="25" s="1"/>
  <c r="AO110" i="25"/>
  <c r="AC110" i="25" s="1"/>
  <c r="M110" i="25"/>
  <c r="BL109" i="25"/>
  <c r="BK109" i="25" s="1"/>
  <c r="AO109" i="25"/>
  <c r="AC109" i="25" s="1"/>
  <c r="M109" i="25"/>
  <c r="BL108" i="25"/>
  <c r="BJ108" i="25" s="1"/>
  <c r="AO108" i="25"/>
  <c r="AP108" i="25" s="1"/>
  <c r="M108" i="25"/>
  <c r="BL107" i="25"/>
  <c r="AO107" i="25"/>
  <c r="AP107" i="25" s="1"/>
  <c r="M107" i="25"/>
  <c r="BL106" i="25"/>
  <c r="BJ106" i="25" s="1"/>
  <c r="AO106" i="25"/>
  <c r="AP106" i="25" s="1"/>
  <c r="M106" i="25"/>
  <c r="BW105" i="25"/>
  <c r="BL105" i="25"/>
  <c r="AO105" i="25"/>
  <c r="AB105" i="25" s="1"/>
  <c r="M105" i="25"/>
  <c r="BW104" i="25"/>
  <c r="BL104" i="25"/>
  <c r="BE104" i="25" s="1"/>
  <c r="AO104" i="25"/>
  <c r="AC104" i="25" s="1"/>
  <c r="M104" i="25"/>
  <c r="BW103" i="25"/>
  <c r="BL103" i="25"/>
  <c r="AO103" i="25"/>
  <c r="AP103" i="25" s="1"/>
  <c r="U103" i="25"/>
  <c r="M103" i="25"/>
  <c r="CB102" i="25"/>
  <c r="BL102" i="25"/>
  <c r="AO102" i="25"/>
  <c r="M102" i="25"/>
  <c r="E98" i="25"/>
  <c r="BN96" i="25"/>
  <c r="BN97" i="25" s="1"/>
  <c r="BN98" i="25" s="1"/>
  <c r="BN99" i="25" s="1"/>
  <c r="BN100" i="25" s="1"/>
  <c r="BN101" i="25" s="1"/>
  <c r="BN102" i="25" s="1"/>
  <c r="BN103" i="25" s="1"/>
  <c r="BN104" i="25" s="1"/>
  <c r="BN105" i="25" s="1"/>
  <c r="BN106" i="25" s="1"/>
  <c r="BN107" i="25" s="1"/>
  <c r="BN108" i="25" s="1"/>
  <c r="BN109" i="25" s="1"/>
  <c r="BN110" i="25" s="1"/>
  <c r="BN111" i="25" s="1"/>
  <c r="BN112" i="25" s="1"/>
  <c r="BN113" i="25" s="1"/>
  <c r="BN95" i="25"/>
  <c r="BL90" i="25"/>
  <c r="BJ90" i="25" s="1"/>
  <c r="AO90" i="25"/>
  <c r="AP90" i="25" s="1"/>
  <c r="M90" i="25"/>
  <c r="BU89" i="25"/>
  <c r="BL89" i="25"/>
  <c r="BE89" i="25" s="1"/>
  <c r="AO89" i="25"/>
  <c r="AP89" i="25" s="1"/>
  <c r="M89" i="25"/>
  <c r="BL88" i="25"/>
  <c r="BJ88" i="25" s="1"/>
  <c r="AO88" i="25"/>
  <c r="M88" i="25"/>
  <c r="BL87" i="25"/>
  <c r="BK87" i="25" s="1"/>
  <c r="AO87" i="25"/>
  <c r="AP87" i="25" s="1"/>
  <c r="M87" i="25"/>
  <c r="BL86" i="25"/>
  <c r="BK86" i="25" s="1"/>
  <c r="AO86" i="25"/>
  <c r="AP86" i="25" s="1"/>
  <c r="M86" i="25"/>
  <c r="BL85" i="25"/>
  <c r="BB85" i="25" s="1"/>
  <c r="AO85" i="25"/>
  <c r="M85" i="25"/>
  <c r="BW84" i="25"/>
  <c r="BL84" i="25"/>
  <c r="AO84" i="25"/>
  <c r="AC84" i="25" s="1"/>
  <c r="M84" i="25"/>
  <c r="BW83" i="25"/>
  <c r="BL83" i="25"/>
  <c r="BF83" i="25" s="1"/>
  <c r="AO83" i="25"/>
  <c r="M83" i="25"/>
  <c r="BW82" i="25"/>
  <c r="BL82" i="25"/>
  <c r="BJ82" i="25" s="1"/>
  <c r="AO82" i="25"/>
  <c r="AP82" i="25" s="1"/>
  <c r="U82" i="25"/>
  <c r="M82" i="25"/>
  <c r="CB81" i="25"/>
  <c r="BL81" i="25"/>
  <c r="AO81" i="25"/>
  <c r="M81" i="25"/>
  <c r="E77" i="25"/>
  <c r="BN74" i="25"/>
  <c r="BN75" i="25" s="1"/>
  <c r="BN76" i="25" s="1"/>
  <c r="BN77" i="25" s="1"/>
  <c r="BN78" i="25" s="1"/>
  <c r="BN79" i="25" s="1"/>
  <c r="BN80" i="25" s="1"/>
  <c r="BN81" i="25" s="1"/>
  <c r="BN82" i="25" s="1"/>
  <c r="BN83" i="25" s="1"/>
  <c r="BN84" i="25" s="1"/>
  <c r="BN85" i="25" s="1"/>
  <c r="BN86" i="25" s="1"/>
  <c r="BN87" i="25" s="1"/>
  <c r="BN88" i="25" s="1"/>
  <c r="BN89" i="25" s="1"/>
  <c r="BN90" i="25" s="1"/>
  <c r="BN91" i="25" s="1"/>
  <c r="BN92" i="25" s="1"/>
  <c r="BL69" i="25"/>
  <c r="BK69" i="25" s="1"/>
  <c r="AO69" i="25"/>
  <c r="M69" i="25"/>
  <c r="BU68" i="25"/>
  <c r="BL68" i="25"/>
  <c r="BF68" i="25" s="1"/>
  <c r="AO68" i="25"/>
  <c r="M68" i="25"/>
  <c r="BL67" i="25"/>
  <c r="BK67" i="25" s="1"/>
  <c r="AO67" i="25"/>
  <c r="M67" i="25"/>
  <c r="BL66" i="25"/>
  <c r="BH66" i="25" s="1"/>
  <c r="AO66" i="25"/>
  <c r="AP66" i="25" s="1"/>
  <c r="M66" i="25"/>
  <c r="BL65" i="25"/>
  <c r="BH65" i="25" s="1"/>
  <c r="AO65" i="25"/>
  <c r="M65" i="25"/>
  <c r="BL64" i="25"/>
  <c r="AT64" i="25" s="1"/>
  <c r="AO64" i="25"/>
  <c r="AP64" i="25" s="1"/>
  <c r="M64" i="25"/>
  <c r="BW63" i="25"/>
  <c r="BL63" i="25"/>
  <c r="BF63" i="25" s="1"/>
  <c r="AO63" i="25"/>
  <c r="AP63" i="25" s="1"/>
  <c r="M63" i="25"/>
  <c r="BW62" i="25"/>
  <c r="BL62" i="25"/>
  <c r="BF62" i="25" s="1"/>
  <c r="AO62" i="25"/>
  <c r="AP62" i="25" s="1"/>
  <c r="M62" i="25"/>
  <c r="BW61" i="25"/>
  <c r="BL61" i="25"/>
  <c r="AO61" i="25"/>
  <c r="AP61" i="25" s="1"/>
  <c r="U61" i="25"/>
  <c r="M61" i="25"/>
  <c r="CB60" i="25"/>
  <c r="BL60" i="25"/>
  <c r="AO60" i="25"/>
  <c r="M60" i="25"/>
  <c r="E56" i="25"/>
  <c r="BN53" i="25"/>
  <c r="BN54" i="25" s="1"/>
  <c r="BN55" i="25" s="1"/>
  <c r="BN56" i="25" s="1"/>
  <c r="BN57" i="25" s="1"/>
  <c r="BN58" i="25" s="1"/>
  <c r="BN59" i="25" s="1"/>
  <c r="BN60" i="25" s="1"/>
  <c r="BN61" i="25" s="1"/>
  <c r="BN62" i="25" s="1"/>
  <c r="BN63" i="25" s="1"/>
  <c r="BN64" i="25" s="1"/>
  <c r="BN65" i="25" s="1"/>
  <c r="BN66" i="25" s="1"/>
  <c r="BN67" i="25" s="1"/>
  <c r="BN68" i="25" s="1"/>
  <c r="BN69" i="25" s="1"/>
  <c r="BN70" i="25" s="1"/>
  <c r="BN71" i="25" s="1"/>
  <c r="BL48" i="25"/>
  <c r="BF48" i="25" s="1"/>
  <c r="AO48" i="25"/>
  <c r="AB48" i="25" s="1"/>
  <c r="AN48" i="25"/>
  <c r="AI48" i="25" s="1"/>
  <c r="M48" i="25"/>
  <c r="BU47" i="25"/>
  <c r="BL47" i="25"/>
  <c r="BK47" i="25" s="1"/>
  <c r="AO47" i="25"/>
  <c r="AB47" i="25" s="1"/>
  <c r="AN47" i="25"/>
  <c r="AI47" i="25" s="1"/>
  <c r="M47" i="25"/>
  <c r="BL46" i="25"/>
  <c r="BG46" i="25" s="1"/>
  <c r="AO46" i="25"/>
  <c r="AC46" i="25" s="1"/>
  <c r="AN46" i="25"/>
  <c r="AG46" i="25" s="1"/>
  <c r="M46" i="25"/>
  <c r="BL45" i="25"/>
  <c r="BB45" i="25" s="1"/>
  <c r="AO45" i="25"/>
  <c r="AC45" i="25" s="1"/>
  <c r="AN45" i="25"/>
  <c r="M45" i="25"/>
  <c r="BL44" i="25"/>
  <c r="BK44" i="25" s="1"/>
  <c r="AO44" i="25"/>
  <c r="AP44" i="25" s="1"/>
  <c r="AN44" i="25"/>
  <c r="AL44" i="25" s="1"/>
  <c r="M44" i="25"/>
  <c r="BL43" i="25"/>
  <c r="AO43" i="25"/>
  <c r="AC43" i="25" s="1"/>
  <c r="AN43" i="25"/>
  <c r="AM43" i="25" s="1"/>
  <c r="M43" i="25"/>
  <c r="BW42" i="25"/>
  <c r="BL42" i="25"/>
  <c r="AO42" i="25"/>
  <c r="AB42" i="25" s="1"/>
  <c r="AN42" i="25"/>
  <c r="AJ42" i="25" s="1"/>
  <c r="M42" i="25"/>
  <c r="BW41" i="25"/>
  <c r="BL41" i="25"/>
  <c r="AU41" i="25" s="1"/>
  <c r="AO41" i="25"/>
  <c r="AP41" i="25" s="1"/>
  <c r="AN41" i="25"/>
  <c r="AH41" i="25" s="1"/>
  <c r="M41" i="25"/>
  <c r="BW40" i="25"/>
  <c r="BL40" i="25"/>
  <c r="BJ40" i="25" s="1"/>
  <c r="AO40" i="25"/>
  <c r="AN40" i="25"/>
  <c r="AH40" i="25" s="1"/>
  <c r="U40" i="25"/>
  <c r="M40" i="25"/>
  <c r="CB39" i="25"/>
  <c r="BL39" i="25"/>
  <c r="AO39" i="25"/>
  <c r="M39" i="25"/>
  <c r="E35" i="25"/>
  <c r="H35" i="25" s="1"/>
  <c r="BP39" i="25" s="1"/>
  <c r="BN32" i="25"/>
  <c r="BN33" i="25" s="1"/>
  <c r="BM31" i="25"/>
  <c r="BL27" i="25"/>
  <c r="BI27" i="25" s="1"/>
  <c r="AO27" i="25"/>
  <c r="AN27" i="25"/>
  <c r="AH27" i="25" s="1"/>
  <c r="M27" i="25"/>
  <c r="BU26" i="25"/>
  <c r="BL26" i="25"/>
  <c r="AT26" i="25" s="1"/>
  <c r="AO26" i="25"/>
  <c r="AP26" i="25" s="1"/>
  <c r="AN26" i="25"/>
  <c r="AG26" i="25" s="1"/>
  <c r="M26" i="25"/>
  <c r="BL25" i="25"/>
  <c r="BK25" i="25" s="1"/>
  <c r="AO25" i="25"/>
  <c r="AB25" i="25" s="1"/>
  <c r="AN25" i="25"/>
  <c r="AE25" i="25" s="1"/>
  <c r="M25" i="25"/>
  <c r="BL24" i="25"/>
  <c r="BK24" i="25" s="1"/>
  <c r="AO24" i="25"/>
  <c r="AP24" i="25" s="1"/>
  <c r="AN24" i="25"/>
  <c r="AL24" i="25" s="1"/>
  <c r="M24" i="25"/>
  <c r="BL23" i="25"/>
  <c r="BG23" i="25" s="1"/>
  <c r="AO23" i="25"/>
  <c r="AP23" i="25" s="1"/>
  <c r="AN23" i="25"/>
  <c r="AG23" i="25" s="1"/>
  <c r="M23" i="25"/>
  <c r="BL22" i="25"/>
  <c r="BK22" i="25" s="1"/>
  <c r="AO22" i="25"/>
  <c r="AN22" i="25"/>
  <c r="AH22" i="25" s="1"/>
  <c r="M22" i="25"/>
  <c r="BW21" i="25"/>
  <c r="BL21" i="25"/>
  <c r="BK21" i="25" s="1"/>
  <c r="AO21" i="25"/>
  <c r="AB21" i="25" s="1"/>
  <c r="AN21" i="25"/>
  <c r="AJ21" i="25" s="1"/>
  <c r="M21" i="25"/>
  <c r="BW20" i="25"/>
  <c r="BL20" i="25"/>
  <c r="BE20" i="25" s="1"/>
  <c r="AO20" i="25"/>
  <c r="AC20" i="25" s="1"/>
  <c r="AN20" i="25"/>
  <c r="AG20" i="25" s="1"/>
  <c r="M20" i="25"/>
  <c r="BW19" i="25"/>
  <c r="BL19" i="25"/>
  <c r="BG19" i="25" s="1"/>
  <c r="AO19" i="25"/>
  <c r="AP19" i="25" s="1"/>
  <c r="AN19" i="25"/>
  <c r="AI19" i="25" s="1"/>
  <c r="U19" i="25"/>
  <c r="M19" i="25"/>
  <c r="CB18" i="25"/>
  <c r="BL18" i="25"/>
  <c r="AO18" i="25"/>
  <c r="M18" i="25"/>
  <c r="E14" i="25"/>
  <c r="H14" i="25" s="1"/>
  <c r="BP18" i="25" s="1"/>
  <c r="BN11" i="25"/>
  <c r="DL8" i="25"/>
  <c r="DJ8" i="25"/>
  <c r="DH8" i="25"/>
  <c r="DF8" i="25"/>
  <c r="DD8" i="25"/>
  <c r="DB8" i="25"/>
  <c r="CZ8" i="25"/>
  <c r="CU8" i="25"/>
  <c r="DL7" i="25"/>
  <c r="DJ7" i="25"/>
  <c r="DH7" i="25"/>
  <c r="DF7" i="25"/>
  <c r="DD7" i="25"/>
  <c r="DB7" i="25"/>
  <c r="CZ7" i="25"/>
  <c r="CU7" i="25"/>
  <c r="DL6" i="25"/>
  <c r="DJ6" i="25"/>
  <c r="DH6" i="25"/>
  <c r="DF6" i="25"/>
  <c r="DD6" i="25"/>
  <c r="DB6" i="25"/>
  <c r="CZ6" i="25"/>
  <c r="CU6" i="25"/>
  <c r="BX6" i="25"/>
  <c r="DL5" i="25"/>
  <c r="DJ5" i="25"/>
  <c r="DH5" i="25"/>
  <c r="DF5" i="25"/>
  <c r="DD5" i="25"/>
  <c r="DB5" i="25"/>
  <c r="CZ5" i="25"/>
  <c r="CU5" i="25"/>
  <c r="BX5" i="25"/>
  <c r="S5" i="25"/>
  <c r="DL4" i="25"/>
  <c r="DJ4" i="25"/>
  <c r="DH4" i="25"/>
  <c r="DF4" i="25"/>
  <c r="DD4" i="25"/>
  <c r="DB4" i="25"/>
  <c r="CZ4" i="25"/>
  <c r="CU4" i="25"/>
  <c r="BX4" i="25"/>
  <c r="BN4" i="25"/>
  <c r="P4" i="25"/>
  <c r="AD208" i="16" s="1"/>
  <c r="J4" i="25"/>
  <c r="DL3" i="25"/>
  <c r="DJ3" i="25"/>
  <c r="DH3" i="25"/>
  <c r="DF3" i="25"/>
  <c r="DD3" i="25"/>
  <c r="DB3" i="25"/>
  <c r="CZ3" i="25"/>
  <c r="CU3" i="25"/>
  <c r="CL3" i="25"/>
  <c r="CL4" i="25" s="1"/>
  <c r="BX3" i="25"/>
  <c r="BN3" i="25"/>
  <c r="DL2" i="25"/>
  <c r="DJ2" i="25"/>
  <c r="DH2" i="25"/>
  <c r="DF2" i="25"/>
  <c r="DD2" i="25"/>
  <c r="DB2" i="25"/>
  <c r="CZ2" i="25"/>
  <c r="CU2" i="25"/>
  <c r="CJ2" i="25"/>
  <c r="CI2" i="25"/>
  <c r="AA1" i="25" s="1"/>
  <c r="CH2" i="25"/>
  <c r="BX2" i="25"/>
  <c r="BN2" i="25"/>
  <c r="CY1" i="25"/>
  <c r="CX1" i="25"/>
  <c r="CU1" i="25"/>
  <c r="CQ1" i="25"/>
  <c r="CM1" i="25"/>
  <c r="BX1" i="25"/>
  <c r="BN1" i="25"/>
  <c r="A1" i="25"/>
  <c r="BL153" i="24"/>
  <c r="AV153" i="24" s="1"/>
  <c r="AO153" i="24"/>
  <c r="M153" i="24"/>
  <c r="BU152" i="24"/>
  <c r="BL152" i="24"/>
  <c r="BK152" i="24" s="1"/>
  <c r="AO152" i="24"/>
  <c r="AC152" i="24" s="1"/>
  <c r="M152" i="24"/>
  <c r="BL151" i="24"/>
  <c r="AW151" i="24" s="1"/>
  <c r="AO151" i="24"/>
  <c r="AC151" i="24" s="1"/>
  <c r="M151" i="24"/>
  <c r="BL150" i="24"/>
  <c r="BG150" i="24" s="1"/>
  <c r="AO150" i="24"/>
  <c r="M150" i="24"/>
  <c r="BL149" i="24"/>
  <c r="BD149" i="24" s="1"/>
  <c r="AO149" i="24"/>
  <c r="M149" i="24"/>
  <c r="BL148" i="24"/>
  <c r="BA148" i="24" s="1"/>
  <c r="AO148" i="24"/>
  <c r="AB148" i="24" s="1"/>
  <c r="M148" i="24"/>
  <c r="BW147" i="24"/>
  <c r="BL147" i="24"/>
  <c r="BB147" i="24" s="1"/>
  <c r="AO147" i="24"/>
  <c r="AC147" i="24" s="1"/>
  <c r="M147" i="24"/>
  <c r="BW146" i="24"/>
  <c r="BL146" i="24"/>
  <c r="AY146" i="24" s="1"/>
  <c r="AO146" i="24"/>
  <c r="M146" i="24"/>
  <c r="BW145" i="24"/>
  <c r="BL145" i="24"/>
  <c r="BK145" i="24" s="1"/>
  <c r="AO145" i="24"/>
  <c r="AB145" i="24" s="1"/>
  <c r="U145" i="24"/>
  <c r="M145" i="24"/>
  <c r="CB144" i="24"/>
  <c r="BL144" i="24"/>
  <c r="AO144" i="24"/>
  <c r="M144" i="24"/>
  <c r="E140" i="24"/>
  <c r="BN137" i="24"/>
  <c r="BN138" i="24" s="1"/>
  <c r="BN139" i="24" s="1"/>
  <c r="BN140" i="24" s="1"/>
  <c r="BN141" i="24" s="1"/>
  <c r="BN142" i="24" s="1"/>
  <c r="BN143" i="24" s="1"/>
  <c r="BN144" i="24" s="1"/>
  <c r="BN145" i="24" s="1"/>
  <c r="BN146" i="24" s="1"/>
  <c r="BN147" i="24" s="1"/>
  <c r="BN148" i="24" s="1"/>
  <c r="BN149" i="24" s="1"/>
  <c r="BN150" i="24" s="1"/>
  <c r="BN151" i="24" s="1"/>
  <c r="BN152" i="24" s="1"/>
  <c r="BN153" i="24" s="1"/>
  <c r="BN154" i="24" s="1"/>
  <c r="BN155" i="24" s="1"/>
  <c r="BL132" i="24"/>
  <c r="BH132" i="24" s="1"/>
  <c r="AO132" i="24"/>
  <c r="AP132" i="24" s="1"/>
  <c r="M132" i="24"/>
  <c r="BU131" i="24"/>
  <c r="BL131" i="24"/>
  <c r="BI131" i="24" s="1"/>
  <c r="AO131" i="24"/>
  <c r="AP131" i="24" s="1"/>
  <c r="M131" i="24"/>
  <c r="BL130" i="24"/>
  <c r="BH130" i="24" s="1"/>
  <c r="AO130" i="24"/>
  <c r="AC130" i="24" s="1"/>
  <c r="M130" i="24"/>
  <c r="BL129" i="24"/>
  <c r="AO129" i="24"/>
  <c r="AC129" i="24" s="1"/>
  <c r="M129" i="24"/>
  <c r="BL128" i="24"/>
  <c r="BI128" i="24" s="1"/>
  <c r="AO128" i="24"/>
  <c r="M128" i="24"/>
  <c r="BL127" i="24"/>
  <c r="BF127" i="24" s="1"/>
  <c r="AO127" i="24"/>
  <c r="AP127" i="24" s="1"/>
  <c r="M127" i="24"/>
  <c r="BW126" i="24"/>
  <c r="BL126" i="24"/>
  <c r="BK126" i="24" s="1"/>
  <c r="AO126" i="24"/>
  <c r="AC126" i="24" s="1"/>
  <c r="M126" i="24"/>
  <c r="BW125" i="24"/>
  <c r="BL125" i="24"/>
  <c r="BE125" i="24" s="1"/>
  <c r="AO125" i="24"/>
  <c r="AB125" i="24" s="1"/>
  <c r="M125" i="24"/>
  <c r="BW124" i="24"/>
  <c r="BL124" i="24"/>
  <c r="AU124" i="24" s="1"/>
  <c r="AO124" i="24"/>
  <c r="AC124" i="24" s="1"/>
  <c r="U124" i="24"/>
  <c r="M124" i="24"/>
  <c r="CB123" i="24"/>
  <c r="BL123" i="24"/>
  <c r="AO123" i="24"/>
  <c r="M123" i="24"/>
  <c r="E119" i="24"/>
  <c r="BN116" i="24"/>
  <c r="BN117" i="24" s="1"/>
  <c r="BN118" i="24" s="1"/>
  <c r="BN119" i="24" s="1"/>
  <c r="BN120" i="24" s="1"/>
  <c r="BN121" i="24" s="1"/>
  <c r="BN122" i="24" s="1"/>
  <c r="BN123" i="24" s="1"/>
  <c r="BN124" i="24" s="1"/>
  <c r="BN125" i="24" s="1"/>
  <c r="BN126" i="24" s="1"/>
  <c r="BN127" i="24" s="1"/>
  <c r="BN128" i="24" s="1"/>
  <c r="BN129" i="24" s="1"/>
  <c r="BN130" i="24" s="1"/>
  <c r="BN131" i="24" s="1"/>
  <c r="BN132" i="24" s="1"/>
  <c r="BN133" i="24" s="1"/>
  <c r="BN134" i="24" s="1"/>
  <c r="BL111" i="24"/>
  <c r="BK111" i="24" s="1"/>
  <c r="AO111" i="24"/>
  <c r="M111" i="24"/>
  <c r="BU110" i="24"/>
  <c r="BL110" i="24"/>
  <c r="AZ110" i="24" s="1"/>
  <c r="AO110" i="24"/>
  <c r="M110" i="24"/>
  <c r="BL109" i="24"/>
  <c r="AV109" i="24" s="1"/>
  <c r="AO109" i="24"/>
  <c r="AP109" i="24" s="1"/>
  <c r="M109" i="24"/>
  <c r="BL108" i="24"/>
  <c r="BF108" i="24" s="1"/>
  <c r="AO108" i="24"/>
  <c r="M108" i="24"/>
  <c r="BL107" i="24"/>
  <c r="BF107" i="24" s="1"/>
  <c r="AO107" i="24"/>
  <c r="AP107" i="24" s="1"/>
  <c r="M107" i="24"/>
  <c r="BL106" i="24"/>
  <c r="BF106" i="24" s="1"/>
  <c r="AO106" i="24"/>
  <c r="AP106" i="24" s="1"/>
  <c r="M106" i="24"/>
  <c r="BW105" i="24"/>
  <c r="BL105" i="24"/>
  <c r="BE105" i="24" s="1"/>
  <c r="AO105" i="24"/>
  <c r="AC105" i="24" s="1"/>
  <c r="M105" i="24"/>
  <c r="BW104" i="24"/>
  <c r="BL104" i="24"/>
  <c r="BF104" i="24" s="1"/>
  <c r="AO104" i="24"/>
  <c r="M104" i="24"/>
  <c r="BW103" i="24"/>
  <c r="BL103" i="24"/>
  <c r="BJ103" i="24" s="1"/>
  <c r="AO103" i="24"/>
  <c r="U103" i="24"/>
  <c r="M103" i="24"/>
  <c r="CB102" i="24"/>
  <c r="BL102" i="24"/>
  <c r="AO102" i="24"/>
  <c r="M102" i="24"/>
  <c r="E98" i="24"/>
  <c r="BN95" i="24"/>
  <c r="BN96" i="24" s="1"/>
  <c r="BN97" i="24" s="1"/>
  <c r="BN98" i="24" s="1"/>
  <c r="BN99" i="24" s="1"/>
  <c r="BN100" i="24" s="1"/>
  <c r="BN101" i="24" s="1"/>
  <c r="BN102" i="24" s="1"/>
  <c r="BN103" i="24" s="1"/>
  <c r="BN104" i="24" s="1"/>
  <c r="BN105" i="24" s="1"/>
  <c r="BN106" i="24" s="1"/>
  <c r="BN107" i="24" s="1"/>
  <c r="BN108" i="24" s="1"/>
  <c r="BN109" i="24" s="1"/>
  <c r="BN110" i="24" s="1"/>
  <c r="BN111" i="24" s="1"/>
  <c r="BN112" i="24" s="1"/>
  <c r="BN113" i="24" s="1"/>
  <c r="BL90" i="24"/>
  <c r="BK90" i="24" s="1"/>
  <c r="AO90" i="24"/>
  <c r="AB90" i="24" s="1"/>
  <c r="M90" i="24"/>
  <c r="BU89" i="24"/>
  <c r="BL89" i="24"/>
  <c r="AU89" i="24" s="1"/>
  <c r="AO89" i="24"/>
  <c r="AC89" i="24" s="1"/>
  <c r="M89" i="24"/>
  <c r="BL88" i="24"/>
  <c r="AV88" i="24" s="1"/>
  <c r="AO88" i="24"/>
  <c r="M88" i="24"/>
  <c r="BL87" i="24"/>
  <c r="AO87" i="24"/>
  <c r="M87" i="24"/>
  <c r="BL86" i="24"/>
  <c r="AV86" i="24" s="1"/>
  <c r="AO86" i="24"/>
  <c r="AB86" i="24" s="1"/>
  <c r="M86" i="24"/>
  <c r="BL85" i="24"/>
  <c r="BB85" i="24" s="1"/>
  <c r="AO85" i="24"/>
  <c r="AC85" i="24" s="1"/>
  <c r="M85" i="24"/>
  <c r="BW84" i="24"/>
  <c r="BL84" i="24"/>
  <c r="BE84" i="24" s="1"/>
  <c r="AO84" i="24"/>
  <c r="AB84" i="24" s="1"/>
  <c r="M84" i="24"/>
  <c r="BW83" i="24"/>
  <c r="BL83" i="24"/>
  <c r="BG83" i="24" s="1"/>
  <c r="AO83" i="24"/>
  <c r="M83" i="24"/>
  <c r="BW82" i="24"/>
  <c r="BL82" i="24"/>
  <c r="BA82" i="24" s="1"/>
  <c r="AO82" i="24"/>
  <c r="AB82" i="24" s="1"/>
  <c r="U82" i="24"/>
  <c r="M82" i="24"/>
  <c r="CB81" i="24"/>
  <c r="BL81" i="24"/>
  <c r="AO81" i="24"/>
  <c r="M81" i="24"/>
  <c r="E77" i="24"/>
  <c r="BN74" i="24"/>
  <c r="BN75" i="24" s="1"/>
  <c r="BN76" i="24" s="1"/>
  <c r="BN77" i="24" s="1"/>
  <c r="BN78" i="24" s="1"/>
  <c r="BN79" i="24" s="1"/>
  <c r="BN80" i="24" s="1"/>
  <c r="BN81" i="24" s="1"/>
  <c r="BN82" i="24" s="1"/>
  <c r="BN83" i="24" s="1"/>
  <c r="BN84" i="24" s="1"/>
  <c r="BN85" i="24" s="1"/>
  <c r="BN86" i="24" s="1"/>
  <c r="BN87" i="24" s="1"/>
  <c r="BN88" i="24" s="1"/>
  <c r="BN89" i="24" s="1"/>
  <c r="BN90" i="24" s="1"/>
  <c r="BN91" i="24" s="1"/>
  <c r="BN92" i="24" s="1"/>
  <c r="BL69" i="24"/>
  <c r="BJ69" i="24" s="1"/>
  <c r="AO69" i="24"/>
  <c r="M69" i="24"/>
  <c r="BU68" i="24"/>
  <c r="BL68" i="24"/>
  <c r="AO68" i="24"/>
  <c r="M68" i="24"/>
  <c r="BL67" i="24"/>
  <c r="BG67" i="24" s="1"/>
  <c r="AO67" i="24"/>
  <c r="AC67" i="24" s="1"/>
  <c r="M67" i="24"/>
  <c r="BL66" i="24"/>
  <c r="BF66" i="24" s="1"/>
  <c r="AO66" i="24"/>
  <c r="AB66" i="24" s="1"/>
  <c r="M66" i="24"/>
  <c r="BL65" i="24"/>
  <c r="BF65" i="24" s="1"/>
  <c r="AO65" i="24"/>
  <c r="AB65" i="24" s="1"/>
  <c r="M65" i="24"/>
  <c r="BL64" i="24"/>
  <c r="AO64" i="24"/>
  <c r="AC64" i="24" s="1"/>
  <c r="M64" i="24"/>
  <c r="BW63" i="24"/>
  <c r="BL63" i="24"/>
  <c r="BK63" i="24" s="1"/>
  <c r="AO63" i="24"/>
  <c r="M63" i="24"/>
  <c r="BW62" i="24"/>
  <c r="BL62" i="24"/>
  <c r="AV62" i="24" s="1"/>
  <c r="AO62" i="24"/>
  <c r="AB62" i="24" s="1"/>
  <c r="M62" i="24"/>
  <c r="BW61" i="24"/>
  <c r="BL61" i="24"/>
  <c r="BI61" i="24" s="1"/>
  <c r="AO61" i="24"/>
  <c r="U61" i="24"/>
  <c r="M61" i="24"/>
  <c r="CB60" i="24"/>
  <c r="BL60" i="24"/>
  <c r="AO60" i="24"/>
  <c r="M60" i="24"/>
  <c r="E56" i="24"/>
  <c r="BN53" i="24"/>
  <c r="BN54" i="24" s="1"/>
  <c r="BN55" i="24" s="1"/>
  <c r="BN56" i="24" s="1"/>
  <c r="BN57" i="24" s="1"/>
  <c r="BN58" i="24" s="1"/>
  <c r="BN59" i="24" s="1"/>
  <c r="BN60" i="24" s="1"/>
  <c r="BN61" i="24" s="1"/>
  <c r="BN62" i="24" s="1"/>
  <c r="BN63" i="24" s="1"/>
  <c r="BN64" i="24" s="1"/>
  <c r="BN65" i="24" s="1"/>
  <c r="BN66" i="24" s="1"/>
  <c r="BN67" i="24" s="1"/>
  <c r="BN68" i="24" s="1"/>
  <c r="BN69" i="24" s="1"/>
  <c r="BN70" i="24" s="1"/>
  <c r="BN71" i="24" s="1"/>
  <c r="BL48" i="24"/>
  <c r="AO48" i="24"/>
  <c r="AP48" i="24" s="1"/>
  <c r="AN48" i="24"/>
  <c r="AM48" i="24" s="1"/>
  <c r="M48" i="24"/>
  <c r="BU47" i="24"/>
  <c r="BL47" i="24"/>
  <c r="AO47" i="24"/>
  <c r="AN47" i="24"/>
  <c r="AE47" i="24" s="1"/>
  <c r="M47" i="24"/>
  <c r="BL46" i="24"/>
  <c r="AO46" i="24"/>
  <c r="AP46" i="24" s="1"/>
  <c r="AN46" i="24"/>
  <c r="AE46" i="24" s="1"/>
  <c r="M46" i="24"/>
  <c r="BL45" i="24"/>
  <c r="AW45" i="24" s="1"/>
  <c r="AO45" i="24"/>
  <c r="AP45" i="24" s="1"/>
  <c r="AN45" i="24"/>
  <c r="AG45" i="24" s="1"/>
  <c r="M45" i="24"/>
  <c r="BL44" i="24"/>
  <c r="AO44" i="24"/>
  <c r="AP44" i="24" s="1"/>
  <c r="AN44" i="24"/>
  <c r="AK44" i="24" s="1"/>
  <c r="M44" i="24"/>
  <c r="BL43" i="24"/>
  <c r="AZ43" i="24" s="1"/>
  <c r="AO43" i="24"/>
  <c r="AP43" i="24" s="1"/>
  <c r="AN43" i="24"/>
  <c r="AK43" i="24" s="1"/>
  <c r="M43" i="24"/>
  <c r="BW42" i="24"/>
  <c r="BL42" i="24"/>
  <c r="BK42" i="24" s="1"/>
  <c r="AO42" i="24"/>
  <c r="AC42" i="24" s="1"/>
  <c r="AN42" i="24"/>
  <c r="AM42" i="24" s="1"/>
  <c r="M42" i="24"/>
  <c r="BW41" i="24"/>
  <c r="BL41" i="24"/>
  <c r="AO41" i="24"/>
  <c r="AP41" i="24" s="1"/>
  <c r="AN41" i="24"/>
  <c r="AM41" i="24" s="1"/>
  <c r="M41" i="24"/>
  <c r="BW40" i="24"/>
  <c r="BL40" i="24"/>
  <c r="BF40" i="24" s="1"/>
  <c r="AO40" i="24"/>
  <c r="AP40" i="24" s="1"/>
  <c r="AN40" i="24"/>
  <c r="AJ40" i="24" s="1"/>
  <c r="U40" i="24"/>
  <c r="M40" i="24"/>
  <c r="CB39" i="24"/>
  <c r="BL39" i="24"/>
  <c r="AO39" i="24"/>
  <c r="M39" i="24"/>
  <c r="E35" i="24"/>
  <c r="H35" i="24" s="1"/>
  <c r="BP39" i="24" s="1"/>
  <c r="BN32" i="24"/>
  <c r="BN33" i="24" s="1"/>
  <c r="BN34" i="24" s="1"/>
  <c r="BM31" i="24"/>
  <c r="BL27" i="24"/>
  <c r="BF27" i="24" s="1"/>
  <c r="AO27" i="24"/>
  <c r="AP27" i="24" s="1"/>
  <c r="AN27" i="24"/>
  <c r="AJ27" i="24" s="1"/>
  <c r="M27" i="24"/>
  <c r="BU26" i="24"/>
  <c r="BL26" i="24"/>
  <c r="BF26" i="24" s="1"/>
  <c r="AO26" i="24"/>
  <c r="AC26" i="24" s="1"/>
  <c r="AN26" i="24"/>
  <c r="AJ26" i="24" s="1"/>
  <c r="M26" i="24"/>
  <c r="BL25" i="24"/>
  <c r="BI25" i="24" s="1"/>
  <c r="AO25" i="24"/>
  <c r="AN25" i="24"/>
  <c r="AK25" i="24" s="1"/>
  <c r="M25" i="24"/>
  <c r="BL24" i="24"/>
  <c r="BI24" i="24" s="1"/>
  <c r="AO24" i="24"/>
  <c r="AP24" i="24" s="1"/>
  <c r="AN24" i="24"/>
  <c r="AL24" i="24" s="1"/>
  <c r="M24" i="24"/>
  <c r="BL23" i="24"/>
  <c r="AO23" i="24"/>
  <c r="AB23" i="24" s="1"/>
  <c r="AN23" i="24"/>
  <c r="AM23" i="24" s="1"/>
  <c r="M23" i="24"/>
  <c r="BL22" i="24"/>
  <c r="BE22" i="24" s="1"/>
  <c r="AO22" i="24"/>
  <c r="AP22" i="24" s="1"/>
  <c r="AN22" i="24"/>
  <c r="AH22" i="24" s="1"/>
  <c r="M22" i="24"/>
  <c r="BW21" i="24"/>
  <c r="BL21" i="24"/>
  <c r="AO21" i="24"/>
  <c r="AC21" i="24" s="1"/>
  <c r="AN21" i="24"/>
  <c r="AM21" i="24" s="1"/>
  <c r="M21" i="24"/>
  <c r="BW20" i="24"/>
  <c r="BL20" i="24"/>
  <c r="BK20" i="24" s="1"/>
  <c r="AO20" i="24"/>
  <c r="AC20" i="24" s="1"/>
  <c r="AN20" i="24"/>
  <c r="AJ20" i="24" s="1"/>
  <c r="M20" i="24"/>
  <c r="BW19" i="24"/>
  <c r="BL19" i="24"/>
  <c r="BI19" i="24" s="1"/>
  <c r="AO19" i="24"/>
  <c r="AN19" i="24"/>
  <c r="AK19" i="24" s="1"/>
  <c r="U19" i="24"/>
  <c r="M19" i="24"/>
  <c r="CB18" i="24"/>
  <c r="BL18" i="24"/>
  <c r="AO18" i="24"/>
  <c r="M18" i="24"/>
  <c r="E14" i="24"/>
  <c r="H14" i="24" s="1"/>
  <c r="BP18" i="24" s="1"/>
  <c r="BN12" i="24"/>
  <c r="BN11" i="24"/>
  <c r="A11" i="24" s="1"/>
  <c r="DL8" i="24"/>
  <c r="DJ8" i="24"/>
  <c r="DH8" i="24"/>
  <c r="DF8" i="24"/>
  <c r="DD8" i="24"/>
  <c r="DB8" i="24"/>
  <c r="CZ8" i="24"/>
  <c r="CU8" i="24"/>
  <c r="DL7" i="24"/>
  <c r="DJ7" i="24"/>
  <c r="DH7" i="24"/>
  <c r="DF7" i="24"/>
  <c r="DD7" i="24"/>
  <c r="DB7" i="24"/>
  <c r="CZ7" i="24"/>
  <c r="CU7" i="24"/>
  <c r="DL6" i="24"/>
  <c r="DJ6" i="24"/>
  <c r="DH6" i="24"/>
  <c r="DF6" i="24"/>
  <c r="DD6" i="24"/>
  <c r="DB6" i="24"/>
  <c r="CZ6" i="24"/>
  <c r="CU6" i="24"/>
  <c r="BX6" i="24"/>
  <c r="DL5" i="24"/>
  <c r="DJ5" i="24"/>
  <c r="DH5" i="24"/>
  <c r="DF5" i="24"/>
  <c r="DD5" i="24"/>
  <c r="DB5" i="24"/>
  <c r="CZ5" i="24"/>
  <c r="CU5" i="24"/>
  <c r="BX5" i="24"/>
  <c r="S5" i="24"/>
  <c r="DL4" i="24"/>
  <c r="DJ4" i="24"/>
  <c r="DH4" i="24"/>
  <c r="DF4" i="24"/>
  <c r="DD4" i="24"/>
  <c r="DB4" i="24"/>
  <c r="CZ4" i="24"/>
  <c r="CU4" i="24"/>
  <c r="BX4" i="24"/>
  <c r="BN4" i="24"/>
  <c r="P4" i="24"/>
  <c r="AD216" i="16" s="1"/>
  <c r="J4" i="24"/>
  <c r="DL3" i="24"/>
  <c r="DJ3" i="24"/>
  <c r="DH3" i="24"/>
  <c r="DF3" i="24"/>
  <c r="DD3" i="24"/>
  <c r="DB3" i="24"/>
  <c r="CZ3" i="24"/>
  <c r="CU3" i="24"/>
  <c r="CL3" i="24"/>
  <c r="CL4" i="24" s="1"/>
  <c r="BX3" i="24"/>
  <c r="BN3" i="24"/>
  <c r="DL2" i="24"/>
  <c r="DJ2" i="24"/>
  <c r="DH2" i="24"/>
  <c r="DF2" i="24"/>
  <c r="DD2" i="24"/>
  <c r="DB2" i="24"/>
  <c r="CZ2" i="24"/>
  <c r="CU2" i="24"/>
  <c r="CJ2" i="24"/>
  <c r="CI2" i="24"/>
  <c r="AA1" i="24" s="1"/>
  <c r="CH2" i="24"/>
  <c r="BX2" i="24"/>
  <c r="BN2" i="24"/>
  <c r="CY1" i="24"/>
  <c r="CX1" i="24"/>
  <c r="CU1" i="24"/>
  <c r="CQ1" i="24"/>
  <c r="CM1" i="24"/>
  <c r="BX1" i="24"/>
  <c r="BN1" i="24"/>
  <c r="A1" i="24"/>
  <c r="BL153" i="23"/>
  <c r="AO153" i="23"/>
  <c r="AC153" i="23" s="1"/>
  <c r="M153" i="23"/>
  <c r="BU152" i="23"/>
  <c r="BL152" i="23"/>
  <c r="BI152" i="23" s="1"/>
  <c r="AO152" i="23"/>
  <c r="AC152" i="23" s="1"/>
  <c r="M152" i="23"/>
  <c r="BL151" i="23"/>
  <c r="BI151" i="23" s="1"/>
  <c r="AO151" i="23"/>
  <c r="AB151" i="23" s="1"/>
  <c r="M151" i="23"/>
  <c r="BL150" i="23"/>
  <c r="BE150" i="23" s="1"/>
  <c r="AO150" i="23"/>
  <c r="AC150" i="23" s="1"/>
  <c r="M150" i="23"/>
  <c r="BL149" i="23"/>
  <c r="BG149" i="23" s="1"/>
  <c r="AO149" i="23"/>
  <c r="AC149" i="23" s="1"/>
  <c r="M149" i="23"/>
  <c r="BL148" i="23"/>
  <c r="BK148" i="23" s="1"/>
  <c r="AO148" i="23"/>
  <c r="AC148" i="23" s="1"/>
  <c r="M148" i="23"/>
  <c r="BW147" i="23"/>
  <c r="BL147" i="23"/>
  <c r="BE147" i="23" s="1"/>
  <c r="AO147" i="23"/>
  <c r="AC147" i="23" s="1"/>
  <c r="M147" i="23"/>
  <c r="BW146" i="23"/>
  <c r="BL146" i="23"/>
  <c r="AO146" i="23"/>
  <c r="AP146" i="23" s="1"/>
  <c r="M146" i="23"/>
  <c r="BW145" i="23"/>
  <c r="BL145" i="23"/>
  <c r="BH145" i="23" s="1"/>
  <c r="AO145" i="23"/>
  <c r="AB145" i="23" s="1"/>
  <c r="U145" i="23"/>
  <c r="M145" i="23"/>
  <c r="CB144" i="23"/>
  <c r="BL144" i="23"/>
  <c r="AO144" i="23"/>
  <c r="M144" i="23"/>
  <c r="E140" i="23"/>
  <c r="BN137" i="23"/>
  <c r="BN138" i="23" s="1"/>
  <c r="BN139" i="23" s="1"/>
  <c r="BN140" i="23" s="1"/>
  <c r="BN141" i="23" s="1"/>
  <c r="BN142" i="23" s="1"/>
  <c r="BN143" i="23" s="1"/>
  <c r="BN144" i="23" s="1"/>
  <c r="BN145" i="23" s="1"/>
  <c r="BN146" i="23" s="1"/>
  <c r="BN147" i="23" s="1"/>
  <c r="BN148" i="23" s="1"/>
  <c r="BN149" i="23" s="1"/>
  <c r="BN150" i="23" s="1"/>
  <c r="BN151" i="23" s="1"/>
  <c r="BN152" i="23" s="1"/>
  <c r="BN153" i="23" s="1"/>
  <c r="BN154" i="23" s="1"/>
  <c r="BN155" i="23" s="1"/>
  <c r="BL132" i="23"/>
  <c r="BH132" i="23" s="1"/>
  <c r="AO132" i="23"/>
  <c r="AB132" i="23" s="1"/>
  <c r="M132" i="23"/>
  <c r="BU131" i="23"/>
  <c r="BL131" i="23"/>
  <c r="BK131" i="23" s="1"/>
  <c r="AO131" i="23"/>
  <c r="AC131" i="23" s="1"/>
  <c r="M131" i="23"/>
  <c r="BL130" i="23"/>
  <c r="BH130" i="23" s="1"/>
  <c r="AO130" i="23"/>
  <c r="AP130" i="23" s="1"/>
  <c r="M130" i="23"/>
  <c r="BL129" i="23"/>
  <c r="AZ129" i="23" s="1"/>
  <c r="AO129" i="23"/>
  <c r="AP129" i="23" s="1"/>
  <c r="M129" i="23"/>
  <c r="BL128" i="23"/>
  <c r="AO128" i="23"/>
  <c r="AP128" i="23" s="1"/>
  <c r="M128" i="23"/>
  <c r="BL127" i="23"/>
  <c r="BJ127" i="23" s="1"/>
  <c r="AO127" i="23"/>
  <c r="M127" i="23"/>
  <c r="BW126" i="23"/>
  <c r="BL126" i="23"/>
  <c r="BJ126" i="23" s="1"/>
  <c r="AO126" i="23"/>
  <c r="AC126" i="23" s="1"/>
  <c r="M126" i="23"/>
  <c r="BW125" i="23"/>
  <c r="BL125" i="23"/>
  <c r="BF125" i="23" s="1"/>
  <c r="AO125" i="23"/>
  <c r="AP125" i="23" s="1"/>
  <c r="M125" i="23"/>
  <c r="BW124" i="23"/>
  <c r="BL124" i="23"/>
  <c r="BB124" i="23" s="1"/>
  <c r="AO124" i="23"/>
  <c r="AB124" i="23" s="1"/>
  <c r="U124" i="23"/>
  <c r="M124" i="23"/>
  <c r="CB123" i="23"/>
  <c r="BL123" i="23"/>
  <c r="AO123" i="23"/>
  <c r="M123" i="23"/>
  <c r="E119" i="23"/>
  <c r="BN116" i="23"/>
  <c r="BN117" i="23" s="1"/>
  <c r="BN118" i="23" s="1"/>
  <c r="BN119" i="23" s="1"/>
  <c r="BN120" i="23" s="1"/>
  <c r="BN121" i="23" s="1"/>
  <c r="BN122" i="23" s="1"/>
  <c r="BN123" i="23" s="1"/>
  <c r="BN124" i="23" s="1"/>
  <c r="BN125" i="23" s="1"/>
  <c r="BN126" i="23" s="1"/>
  <c r="BN127" i="23" s="1"/>
  <c r="BN128" i="23" s="1"/>
  <c r="BN129" i="23" s="1"/>
  <c r="BN130" i="23" s="1"/>
  <c r="BN131" i="23" s="1"/>
  <c r="BN132" i="23" s="1"/>
  <c r="BN133" i="23" s="1"/>
  <c r="BN134" i="23" s="1"/>
  <c r="BL111" i="23"/>
  <c r="BK111" i="23" s="1"/>
  <c r="AO111" i="23"/>
  <c r="AC111" i="23" s="1"/>
  <c r="M111" i="23"/>
  <c r="BU110" i="23"/>
  <c r="BL110" i="23"/>
  <c r="BA110" i="23" s="1"/>
  <c r="AO110" i="23"/>
  <c r="M110" i="23"/>
  <c r="BL109" i="23"/>
  <c r="BA109" i="23" s="1"/>
  <c r="AO109" i="23"/>
  <c r="AC109" i="23" s="1"/>
  <c r="M109" i="23"/>
  <c r="BL108" i="23"/>
  <c r="BJ108" i="23" s="1"/>
  <c r="AO108" i="23"/>
  <c r="AP108" i="23" s="1"/>
  <c r="M108" i="23"/>
  <c r="BL107" i="23"/>
  <c r="BF107" i="23" s="1"/>
  <c r="AO107" i="23"/>
  <c r="M107" i="23"/>
  <c r="BL106" i="23"/>
  <c r="AO106" i="23"/>
  <c r="AB106" i="23" s="1"/>
  <c r="M106" i="23"/>
  <c r="BW105" i="23"/>
  <c r="BL105" i="23"/>
  <c r="AO105" i="23"/>
  <c r="AC105" i="23" s="1"/>
  <c r="M105" i="23"/>
  <c r="BW104" i="23"/>
  <c r="BL104" i="23"/>
  <c r="BG104" i="23" s="1"/>
  <c r="AO104" i="23"/>
  <c r="AB104" i="23" s="1"/>
  <c r="M104" i="23"/>
  <c r="BW103" i="23"/>
  <c r="BL103" i="23"/>
  <c r="BK103" i="23" s="1"/>
  <c r="AO103" i="23"/>
  <c r="U103" i="23"/>
  <c r="M103" i="23"/>
  <c r="CB102" i="23"/>
  <c r="BL102" i="23"/>
  <c r="AO102" i="23"/>
  <c r="M102" i="23"/>
  <c r="E98" i="23"/>
  <c r="BN95" i="23"/>
  <c r="BN96" i="23" s="1"/>
  <c r="BN97" i="23" s="1"/>
  <c r="BN98" i="23" s="1"/>
  <c r="BN99" i="23" s="1"/>
  <c r="BN100" i="23" s="1"/>
  <c r="BN101" i="23" s="1"/>
  <c r="BN102" i="23" s="1"/>
  <c r="BN103" i="23" s="1"/>
  <c r="BN104" i="23" s="1"/>
  <c r="BN105" i="23" s="1"/>
  <c r="BN106" i="23" s="1"/>
  <c r="BN107" i="23" s="1"/>
  <c r="BN108" i="23" s="1"/>
  <c r="BN109" i="23" s="1"/>
  <c r="BN110" i="23" s="1"/>
  <c r="BN111" i="23" s="1"/>
  <c r="BN112" i="23" s="1"/>
  <c r="BN113" i="23" s="1"/>
  <c r="BL90" i="23"/>
  <c r="BK90" i="23" s="1"/>
  <c r="AO90" i="23"/>
  <c r="M90" i="23"/>
  <c r="BU89" i="23"/>
  <c r="BL89" i="23"/>
  <c r="AV89" i="23" s="1"/>
  <c r="AO89" i="23"/>
  <c r="AB89" i="23" s="1"/>
  <c r="M89" i="23"/>
  <c r="BL88" i="23"/>
  <c r="AV88" i="23" s="1"/>
  <c r="AO88" i="23"/>
  <c r="AB88" i="23" s="1"/>
  <c r="M88" i="23"/>
  <c r="BL87" i="23"/>
  <c r="BG87" i="23" s="1"/>
  <c r="AO87" i="23"/>
  <c r="AC87" i="23" s="1"/>
  <c r="M87" i="23"/>
  <c r="BL86" i="23"/>
  <c r="AO86" i="23"/>
  <c r="AC86" i="23" s="1"/>
  <c r="M86" i="23"/>
  <c r="BL85" i="23"/>
  <c r="AO85" i="23"/>
  <c r="AC85" i="23" s="1"/>
  <c r="M85" i="23"/>
  <c r="BW84" i="23"/>
  <c r="BL84" i="23"/>
  <c r="BH84" i="23" s="1"/>
  <c r="AO84" i="23"/>
  <c r="AC84" i="23" s="1"/>
  <c r="M84" i="23"/>
  <c r="BW83" i="23"/>
  <c r="BL83" i="23"/>
  <c r="BI83" i="23" s="1"/>
  <c r="AO83" i="23"/>
  <c r="AP83" i="23" s="1"/>
  <c r="M83" i="23"/>
  <c r="BW82" i="23"/>
  <c r="BL82" i="23"/>
  <c r="BG82" i="23" s="1"/>
  <c r="AO82" i="23"/>
  <c r="AB82" i="23" s="1"/>
  <c r="U82" i="23"/>
  <c r="M82" i="23"/>
  <c r="CB81" i="23"/>
  <c r="BL81" i="23"/>
  <c r="AO81" i="23"/>
  <c r="M81" i="23"/>
  <c r="E77" i="23"/>
  <c r="H77" i="23" s="1"/>
  <c r="BP81" i="23" s="1"/>
  <c r="BN74" i="23"/>
  <c r="BN75" i="23" s="1"/>
  <c r="BN76" i="23" s="1"/>
  <c r="BN77" i="23" s="1"/>
  <c r="BN78" i="23" s="1"/>
  <c r="BN79" i="23" s="1"/>
  <c r="BN80" i="23" s="1"/>
  <c r="BN81" i="23" s="1"/>
  <c r="BN82" i="23" s="1"/>
  <c r="BN83" i="23" s="1"/>
  <c r="BN84" i="23" s="1"/>
  <c r="BN85" i="23" s="1"/>
  <c r="BN86" i="23" s="1"/>
  <c r="BN87" i="23" s="1"/>
  <c r="BN88" i="23" s="1"/>
  <c r="BN89" i="23" s="1"/>
  <c r="BN90" i="23" s="1"/>
  <c r="BN91" i="23" s="1"/>
  <c r="BN92" i="23" s="1"/>
  <c r="BL69" i="23"/>
  <c r="BJ69" i="23" s="1"/>
  <c r="AO69" i="23"/>
  <c r="AB69" i="23" s="1"/>
  <c r="M69" i="23"/>
  <c r="BU68" i="23"/>
  <c r="BL68" i="23"/>
  <c r="BI68" i="23" s="1"/>
  <c r="AO68" i="23"/>
  <c r="AC68" i="23" s="1"/>
  <c r="M68" i="23"/>
  <c r="BL67" i="23"/>
  <c r="AV67" i="23" s="1"/>
  <c r="AO67" i="23"/>
  <c r="AP67" i="23" s="1"/>
  <c r="M67" i="23"/>
  <c r="BL66" i="23"/>
  <c r="AZ66" i="23" s="1"/>
  <c r="AO66" i="23"/>
  <c r="AP66" i="23" s="1"/>
  <c r="M66" i="23"/>
  <c r="BL65" i="23"/>
  <c r="AV65" i="23" s="1"/>
  <c r="AO65" i="23"/>
  <c r="AP65" i="23" s="1"/>
  <c r="M65" i="23"/>
  <c r="BL64" i="23"/>
  <c r="BD64" i="23" s="1"/>
  <c r="AO64" i="23"/>
  <c r="AP64" i="23" s="1"/>
  <c r="M64" i="23"/>
  <c r="BW63" i="23"/>
  <c r="BL63" i="23"/>
  <c r="BI63" i="23" s="1"/>
  <c r="AO63" i="23"/>
  <c r="AC63" i="23" s="1"/>
  <c r="M63" i="23"/>
  <c r="BW62" i="23"/>
  <c r="BL62" i="23"/>
  <c r="AZ62" i="23" s="1"/>
  <c r="AO62" i="23"/>
  <c r="AP62" i="23" s="1"/>
  <c r="M62" i="23"/>
  <c r="BW61" i="23"/>
  <c r="BL61" i="23"/>
  <c r="BD61" i="23" s="1"/>
  <c r="AO61" i="23"/>
  <c r="AP61" i="23" s="1"/>
  <c r="U61" i="23"/>
  <c r="M61" i="23"/>
  <c r="CB60" i="23"/>
  <c r="BL60" i="23"/>
  <c r="AO60" i="23"/>
  <c r="M60" i="23"/>
  <c r="E56" i="23"/>
  <c r="BN53" i="23"/>
  <c r="BN54" i="23" s="1"/>
  <c r="BN55" i="23" s="1"/>
  <c r="BN56" i="23" s="1"/>
  <c r="BN57" i="23" s="1"/>
  <c r="BN58" i="23" s="1"/>
  <c r="BN59" i="23" s="1"/>
  <c r="BN60" i="23" s="1"/>
  <c r="BN61" i="23" s="1"/>
  <c r="BN62" i="23" s="1"/>
  <c r="BN63" i="23" s="1"/>
  <c r="BN64" i="23" s="1"/>
  <c r="BN65" i="23" s="1"/>
  <c r="BN66" i="23" s="1"/>
  <c r="BN67" i="23" s="1"/>
  <c r="BN68" i="23" s="1"/>
  <c r="BN69" i="23" s="1"/>
  <c r="BN70" i="23" s="1"/>
  <c r="BN71" i="23" s="1"/>
  <c r="BL48" i="23"/>
  <c r="BK48" i="23" s="1"/>
  <c r="AO48" i="23"/>
  <c r="AC48" i="23" s="1"/>
  <c r="AN48" i="23"/>
  <c r="AM48" i="23" s="1"/>
  <c r="M48" i="23"/>
  <c r="BU47" i="23"/>
  <c r="BL47" i="23"/>
  <c r="BH47" i="23" s="1"/>
  <c r="AO47" i="23"/>
  <c r="AC47" i="23" s="1"/>
  <c r="AN47" i="23"/>
  <c r="AK47" i="23" s="1"/>
  <c r="M47" i="23"/>
  <c r="BL46" i="23"/>
  <c r="BJ46" i="23" s="1"/>
  <c r="AO46" i="23"/>
  <c r="AC46" i="23" s="1"/>
  <c r="AN46" i="23"/>
  <c r="AK46" i="23" s="1"/>
  <c r="M46" i="23"/>
  <c r="BL45" i="23"/>
  <c r="BE45" i="23" s="1"/>
  <c r="AO45" i="23"/>
  <c r="AC45" i="23" s="1"/>
  <c r="AN45" i="23"/>
  <c r="AG45" i="23" s="1"/>
  <c r="M45" i="23"/>
  <c r="BL44" i="23"/>
  <c r="BE44" i="23" s="1"/>
  <c r="AO44" i="23"/>
  <c r="AC44" i="23" s="1"/>
  <c r="AN44" i="23"/>
  <c r="AG44" i="23" s="1"/>
  <c r="M44" i="23"/>
  <c r="BL43" i="23"/>
  <c r="BE43" i="23" s="1"/>
  <c r="AO43" i="23"/>
  <c r="AC43" i="23" s="1"/>
  <c r="AN43" i="23"/>
  <c r="AG43" i="23" s="1"/>
  <c r="M43" i="23"/>
  <c r="BW42" i="23"/>
  <c r="BL42" i="23"/>
  <c r="BI42" i="23" s="1"/>
  <c r="AO42" i="23"/>
  <c r="AC42" i="23" s="1"/>
  <c r="AN42" i="23"/>
  <c r="AK42" i="23" s="1"/>
  <c r="M42" i="23"/>
  <c r="BW41" i="23"/>
  <c r="BL41" i="23"/>
  <c r="BE41" i="23" s="1"/>
  <c r="AO41" i="23"/>
  <c r="AB41" i="23" s="1"/>
  <c r="AN41" i="23"/>
  <c r="AG41" i="23" s="1"/>
  <c r="M41" i="23"/>
  <c r="BW40" i="23"/>
  <c r="BL40" i="23"/>
  <c r="AO40" i="23"/>
  <c r="AB40" i="23" s="1"/>
  <c r="AN40" i="23"/>
  <c r="AM40" i="23" s="1"/>
  <c r="U40" i="23"/>
  <c r="M40" i="23"/>
  <c r="CB39" i="23"/>
  <c r="BL39" i="23"/>
  <c r="AO39" i="23"/>
  <c r="M39" i="23"/>
  <c r="E35" i="23"/>
  <c r="H35" i="23" s="1"/>
  <c r="BP39" i="23" s="1"/>
  <c r="BN32" i="23"/>
  <c r="BN33" i="23" s="1"/>
  <c r="BN34" i="23" s="1"/>
  <c r="BN35" i="23" s="1"/>
  <c r="BN36" i="23" s="1"/>
  <c r="BN37" i="23" s="1"/>
  <c r="BN38" i="23" s="1"/>
  <c r="BN39" i="23" s="1"/>
  <c r="BN40" i="23" s="1"/>
  <c r="BN41" i="23" s="1"/>
  <c r="BN42" i="23" s="1"/>
  <c r="BN43" i="23" s="1"/>
  <c r="BN44" i="23" s="1"/>
  <c r="BN45" i="23" s="1"/>
  <c r="BN46" i="23" s="1"/>
  <c r="BN47" i="23" s="1"/>
  <c r="BN48" i="23" s="1"/>
  <c r="BN49" i="23" s="1"/>
  <c r="BN50" i="23" s="1"/>
  <c r="BM31" i="23"/>
  <c r="BL27" i="23"/>
  <c r="BK27" i="23" s="1"/>
  <c r="AO27" i="23"/>
  <c r="AP27" i="23" s="1"/>
  <c r="AN27" i="23"/>
  <c r="AM27" i="23" s="1"/>
  <c r="M27" i="23"/>
  <c r="BU26" i="23"/>
  <c r="BL26" i="23"/>
  <c r="BK26" i="23" s="1"/>
  <c r="AO26" i="23"/>
  <c r="AP26" i="23" s="1"/>
  <c r="AN26" i="23"/>
  <c r="AJ26" i="23" s="1"/>
  <c r="M26" i="23"/>
  <c r="BL25" i="23"/>
  <c r="BH25" i="23" s="1"/>
  <c r="AO25" i="23"/>
  <c r="AP25" i="23" s="1"/>
  <c r="AN25" i="23"/>
  <c r="AF25" i="23" s="1"/>
  <c r="M25" i="23"/>
  <c r="BL24" i="23"/>
  <c r="BD24" i="23" s="1"/>
  <c r="AO24" i="23"/>
  <c r="AP24" i="23" s="1"/>
  <c r="AN24" i="23"/>
  <c r="AJ24" i="23" s="1"/>
  <c r="M24" i="23"/>
  <c r="BL23" i="23"/>
  <c r="BD23" i="23" s="1"/>
  <c r="AO23" i="23"/>
  <c r="AP23" i="23" s="1"/>
  <c r="AN23" i="23"/>
  <c r="AF23" i="23" s="1"/>
  <c r="M23" i="23"/>
  <c r="BL22" i="23"/>
  <c r="BH22" i="23" s="1"/>
  <c r="AO22" i="23"/>
  <c r="AP22" i="23" s="1"/>
  <c r="AN22" i="23"/>
  <c r="AF22" i="23" s="1"/>
  <c r="M22" i="23"/>
  <c r="BW21" i="23"/>
  <c r="BL21" i="23"/>
  <c r="BI21" i="23" s="1"/>
  <c r="AO21" i="23"/>
  <c r="AC21" i="23" s="1"/>
  <c r="AN21" i="23"/>
  <c r="AK21" i="23" s="1"/>
  <c r="M21" i="23"/>
  <c r="BW20" i="23"/>
  <c r="BL20" i="23"/>
  <c r="BI20" i="23" s="1"/>
  <c r="AO20" i="23"/>
  <c r="AC20" i="23" s="1"/>
  <c r="AN20" i="23"/>
  <c r="AK20" i="23" s="1"/>
  <c r="M20" i="23"/>
  <c r="BW19" i="23"/>
  <c r="BL19" i="23"/>
  <c r="AO19" i="23"/>
  <c r="AP19" i="23" s="1"/>
  <c r="AN19" i="23"/>
  <c r="AJ19" i="23" s="1"/>
  <c r="U19" i="23"/>
  <c r="M19" i="23"/>
  <c r="CB18" i="23"/>
  <c r="BL18" i="23"/>
  <c r="AO18" i="23"/>
  <c r="M18" i="23"/>
  <c r="E14" i="23"/>
  <c r="H14" i="23" s="1"/>
  <c r="BP18" i="23" s="1"/>
  <c r="BN11" i="23"/>
  <c r="DL8" i="23"/>
  <c r="DJ8" i="23"/>
  <c r="DH8" i="23"/>
  <c r="DF8" i="23"/>
  <c r="DD8" i="23"/>
  <c r="DB8" i="23"/>
  <c r="CZ8" i="23"/>
  <c r="CU8" i="23"/>
  <c r="DL7" i="23"/>
  <c r="DJ7" i="23"/>
  <c r="DH7" i="23"/>
  <c r="DF7" i="23"/>
  <c r="DD7" i="23"/>
  <c r="DB7" i="23"/>
  <c r="CZ7" i="23"/>
  <c r="CU7" i="23"/>
  <c r="DL6" i="23"/>
  <c r="DJ6" i="23"/>
  <c r="DH6" i="23"/>
  <c r="DF6" i="23"/>
  <c r="DD6" i="23"/>
  <c r="DB6" i="23"/>
  <c r="CZ6" i="23"/>
  <c r="CU6" i="23"/>
  <c r="BX6" i="23"/>
  <c r="DL5" i="23"/>
  <c r="DJ5" i="23"/>
  <c r="DH5" i="23"/>
  <c r="DF5" i="23"/>
  <c r="DD5" i="23"/>
  <c r="DB5" i="23"/>
  <c r="CZ5" i="23"/>
  <c r="CU5" i="23"/>
  <c r="BX5" i="23"/>
  <c r="S5" i="23"/>
  <c r="DL4" i="23"/>
  <c r="DJ4" i="23"/>
  <c r="DH4" i="23"/>
  <c r="DF4" i="23"/>
  <c r="DD4" i="23"/>
  <c r="DB4" i="23"/>
  <c r="CZ4" i="23"/>
  <c r="CU4" i="23"/>
  <c r="BX4" i="23"/>
  <c r="BN4" i="23"/>
  <c r="P4" i="23"/>
  <c r="AD224" i="16" s="1"/>
  <c r="J4" i="23"/>
  <c r="E34" i="23" s="1"/>
  <c r="DL3" i="23"/>
  <c r="DJ3" i="23"/>
  <c r="DH3" i="23"/>
  <c r="DF3" i="23"/>
  <c r="DD3" i="23"/>
  <c r="DB3" i="23"/>
  <c r="CZ3" i="23"/>
  <c r="CU3" i="23"/>
  <c r="CL3" i="23"/>
  <c r="CL4" i="23" s="1"/>
  <c r="CL5" i="23" s="1"/>
  <c r="CL6" i="23" s="1"/>
  <c r="BX3" i="23"/>
  <c r="BN3" i="23"/>
  <c r="DL2" i="23"/>
  <c r="DJ2" i="23"/>
  <c r="DH2" i="23"/>
  <c r="DF2" i="23"/>
  <c r="DD2" i="23"/>
  <c r="DB2" i="23"/>
  <c r="CZ2" i="23"/>
  <c r="CU2" i="23"/>
  <c r="CJ2" i="23"/>
  <c r="CI2" i="23"/>
  <c r="AA1" i="23" s="1"/>
  <c r="CH2" i="23"/>
  <c r="BX2" i="23"/>
  <c r="BN2" i="23"/>
  <c r="CY1" i="23"/>
  <c r="CX1" i="23"/>
  <c r="CU1" i="23"/>
  <c r="CQ1" i="23"/>
  <c r="CM1" i="23"/>
  <c r="BX1" i="23"/>
  <c r="BN1" i="23"/>
  <c r="A1" i="23"/>
  <c r="BL153" i="22"/>
  <c r="AO153" i="22"/>
  <c r="M153" i="22"/>
  <c r="BU152" i="22"/>
  <c r="BL152" i="22"/>
  <c r="BD152" i="22" s="1"/>
  <c r="AO152" i="22"/>
  <c r="AP152" i="22" s="1"/>
  <c r="M152" i="22"/>
  <c r="BL151" i="22"/>
  <c r="BI151" i="22" s="1"/>
  <c r="AO151" i="22"/>
  <c r="AC151" i="22" s="1"/>
  <c r="M151" i="22"/>
  <c r="BL150" i="22"/>
  <c r="BG150" i="22" s="1"/>
  <c r="AO150" i="22"/>
  <c r="AC150" i="22" s="1"/>
  <c r="M150" i="22"/>
  <c r="BL149" i="22"/>
  <c r="BH149" i="22" s="1"/>
  <c r="AO149" i="22"/>
  <c r="AC149" i="22" s="1"/>
  <c r="M149" i="22"/>
  <c r="BL148" i="22"/>
  <c r="BD148" i="22" s="1"/>
  <c r="AO148" i="22"/>
  <c r="AB148" i="22" s="1"/>
  <c r="M148" i="22"/>
  <c r="BW147" i="22"/>
  <c r="BL147" i="22"/>
  <c r="BK147" i="22" s="1"/>
  <c r="AO147" i="22"/>
  <c r="M147" i="22"/>
  <c r="BW146" i="22"/>
  <c r="BL146" i="22"/>
  <c r="BI146" i="22" s="1"/>
  <c r="AO146" i="22"/>
  <c r="AC146" i="22" s="1"/>
  <c r="M146" i="22"/>
  <c r="BW145" i="22"/>
  <c r="BL145" i="22"/>
  <c r="AS145" i="22" s="1"/>
  <c r="AR145" i="22" s="1"/>
  <c r="AQ145" i="22" s="1"/>
  <c r="AO145" i="22"/>
  <c r="AC145" i="22" s="1"/>
  <c r="U145" i="22"/>
  <c r="M145" i="22"/>
  <c r="CB144" i="22"/>
  <c r="BL144" i="22"/>
  <c r="AO144" i="22"/>
  <c r="M144" i="22"/>
  <c r="E140" i="22"/>
  <c r="BN137" i="22"/>
  <c r="BN138" i="22" s="1"/>
  <c r="BN139" i="22" s="1"/>
  <c r="BN140" i="22" s="1"/>
  <c r="BN141" i="22" s="1"/>
  <c r="BN142" i="22" s="1"/>
  <c r="BN143" i="22" s="1"/>
  <c r="BN144" i="22" s="1"/>
  <c r="BN145" i="22" s="1"/>
  <c r="BN146" i="22" s="1"/>
  <c r="BN147" i="22" s="1"/>
  <c r="BN148" i="22" s="1"/>
  <c r="BN149" i="22" s="1"/>
  <c r="BN150" i="22" s="1"/>
  <c r="BN151" i="22" s="1"/>
  <c r="BN152" i="22" s="1"/>
  <c r="BN153" i="22" s="1"/>
  <c r="BN154" i="22" s="1"/>
  <c r="BN155" i="22" s="1"/>
  <c r="BL132" i="22"/>
  <c r="BH132" i="22" s="1"/>
  <c r="AO132" i="22"/>
  <c r="AB132" i="22" s="1"/>
  <c r="M132" i="22"/>
  <c r="BU131" i="22"/>
  <c r="BL131" i="22"/>
  <c r="BI131" i="22" s="1"/>
  <c r="AO131" i="22"/>
  <c r="M131" i="22"/>
  <c r="BL130" i="22"/>
  <c r="BF130" i="22" s="1"/>
  <c r="AO130" i="22"/>
  <c r="AP130" i="22" s="1"/>
  <c r="M130" i="22"/>
  <c r="BL129" i="22"/>
  <c r="AO129" i="22"/>
  <c r="AP129" i="22" s="1"/>
  <c r="M129" i="22"/>
  <c r="BL128" i="22"/>
  <c r="AO128" i="22"/>
  <c r="M128" i="22"/>
  <c r="BL127" i="22"/>
  <c r="BK127" i="22" s="1"/>
  <c r="AO127" i="22"/>
  <c r="AB127" i="22" s="1"/>
  <c r="M127" i="22"/>
  <c r="BW126" i="22"/>
  <c r="BL126" i="22"/>
  <c r="BG126" i="22" s="1"/>
  <c r="AO126" i="22"/>
  <c r="AB126" i="22" s="1"/>
  <c r="M126" i="22"/>
  <c r="BW125" i="22"/>
  <c r="BL125" i="22"/>
  <c r="AO125" i="22"/>
  <c r="AC125" i="22" s="1"/>
  <c r="M125" i="22"/>
  <c r="BW124" i="22"/>
  <c r="BL124" i="22"/>
  <c r="AV124" i="22" s="1"/>
  <c r="AO124" i="22"/>
  <c r="U124" i="22"/>
  <c r="M124" i="22"/>
  <c r="CB123" i="22"/>
  <c r="BL123" i="22"/>
  <c r="AO123" i="22"/>
  <c r="M123" i="22"/>
  <c r="E119" i="22"/>
  <c r="BN116" i="22"/>
  <c r="BN117" i="22" s="1"/>
  <c r="BN118" i="22" s="1"/>
  <c r="BN119" i="22" s="1"/>
  <c r="BN120" i="22" s="1"/>
  <c r="BN121" i="22" s="1"/>
  <c r="BN122" i="22" s="1"/>
  <c r="BN123" i="22" s="1"/>
  <c r="BN124" i="22" s="1"/>
  <c r="BN125" i="22" s="1"/>
  <c r="BN126" i="22" s="1"/>
  <c r="BN127" i="22" s="1"/>
  <c r="BN128" i="22" s="1"/>
  <c r="BN129" i="22" s="1"/>
  <c r="BN130" i="22" s="1"/>
  <c r="BN131" i="22" s="1"/>
  <c r="BN132" i="22" s="1"/>
  <c r="BN133" i="22" s="1"/>
  <c r="BN134" i="22" s="1"/>
  <c r="BL111" i="22"/>
  <c r="BK111" i="22" s="1"/>
  <c r="AO111" i="22"/>
  <c r="AC111" i="22" s="1"/>
  <c r="M111" i="22"/>
  <c r="BU110" i="22"/>
  <c r="BL110" i="22"/>
  <c r="AO110" i="22"/>
  <c r="AC110" i="22" s="1"/>
  <c r="M110" i="22"/>
  <c r="BL109" i="22"/>
  <c r="BI109" i="22" s="1"/>
  <c r="AO109" i="22"/>
  <c r="AP109" i="22" s="1"/>
  <c r="M109" i="22"/>
  <c r="BL108" i="22"/>
  <c r="AO108" i="22"/>
  <c r="AC108" i="22" s="1"/>
  <c r="M108" i="22"/>
  <c r="BL107" i="22"/>
  <c r="AY107" i="22" s="1"/>
  <c r="AO107" i="22"/>
  <c r="AB107" i="22" s="1"/>
  <c r="M107" i="22"/>
  <c r="BL106" i="22"/>
  <c r="BK106" i="22" s="1"/>
  <c r="AO106" i="22"/>
  <c r="AB106" i="22" s="1"/>
  <c r="M106" i="22"/>
  <c r="BW105" i="22"/>
  <c r="BL105" i="22"/>
  <c r="BG105" i="22" s="1"/>
  <c r="AO105" i="22"/>
  <c r="AC105" i="22" s="1"/>
  <c r="M105" i="22"/>
  <c r="BW104" i="22"/>
  <c r="BL104" i="22"/>
  <c r="BG104" i="22" s="1"/>
  <c r="AO104" i="22"/>
  <c r="M104" i="22"/>
  <c r="BW103" i="22"/>
  <c r="BL103" i="22"/>
  <c r="BG103" i="22" s="1"/>
  <c r="AO103" i="22"/>
  <c r="AB103" i="22" s="1"/>
  <c r="U103" i="22"/>
  <c r="M103" i="22"/>
  <c r="CB102" i="22"/>
  <c r="BL102" i="22"/>
  <c r="AO102" i="22"/>
  <c r="M102" i="22"/>
  <c r="E98" i="22"/>
  <c r="BN95" i="22"/>
  <c r="BN96" i="22" s="1"/>
  <c r="BN97" i="22" s="1"/>
  <c r="BN98" i="22" s="1"/>
  <c r="BN99" i="22" s="1"/>
  <c r="BN100" i="22" s="1"/>
  <c r="BN101" i="22" s="1"/>
  <c r="BN102" i="22" s="1"/>
  <c r="BN103" i="22" s="1"/>
  <c r="BN104" i="22" s="1"/>
  <c r="BN105" i="22" s="1"/>
  <c r="BN106" i="22" s="1"/>
  <c r="BN107" i="22" s="1"/>
  <c r="BN108" i="22" s="1"/>
  <c r="BN109" i="22" s="1"/>
  <c r="BN110" i="22" s="1"/>
  <c r="BN111" i="22" s="1"/>
  <c r="BN112" i="22" s="1"/>
  <c r="BN113" i="22" s="1"/>
  <c r="BL90" i="22"/>
  <c r="AO90" i="22"/>
  <c r="AB90" i="22" s="1"/>
  <c r="M90" i="22"/>
  <c r="BU89" i="22"/>
  <c r="BL89" i="22"/>
  <c r="BD89" i="22" s="1"/>
  <c r="AO89" i="22"/>
  <c r="AC89" i="22" s="1"/>
  <c r="M89" i="22"/>
  <c r="BL88" i="22"/>
  <c r="BC88" i="22" s="1"/>
  <c r="AO88" i="22"/>
  <c r="AP88" i="22" s="1"/>
  <c r="M88" i="22"/>
  <c r="BL87" i="22"/>
  <c r="BG87" i="22" s="1"/>
  <c r="AO87" i="22"/>
  <c r="M87" i="22"/>
  <c r="BL86" i="22"/>
  <c r="BG86" i="22" s="1"/>
  <c r="AO86" i="22"/>
  <c r="AP86" i="22" s="1"/>
  <c r="M86" i="22"/>
  <c r="BL85" i="22"/>
  <c r="AV85" i="22" s="1"/>
  <c r="AO85" i="22"/>
  <c r="AP85" i="22" s="1"/>
  <c r="M85" i="22"/>
  <c r="BW84" i="22"/>
  <c r="BL84" i="22"/>
  <c r="BK84" i="22" s="1"/>
  <c r="AO84" i="22"/>
  <c r="M84" i="22"/>
  <c r="BW83" i="22"/>
  <c r="BL83" i="22"/>
  <c r="AS83" i="22" s="1"/>
  <c r="AR83" i="22" s="1"/>
  <c r="AQ83" i="22" s="1"/>
  <c r="AO83" i="22"/>
  <c r="AP83" i="22" s="1"/>
  <c r="M83" i="22"/>
  <c r="BW82" i="22"/>
  <c r="BL82" i="22"/>
  <c r="AO82" i="22"/>
  <c r="AP82" i="22" s="1"/>
  <c r="U82" i="22"/>
  <c r="M82" i="22"/>
  <c r="CB81" i="22"/>
  <c r="BL81" i="22"/>
  <c r="AO81" i="22"/>
  <c r="M81" i="22"/>
  <c r="E77" i="22"/>
  <c r="BN74" i="22"/>
  <c r="BN75" i="22" s="1"/>
  <c r="BN76" i="22" s="1"/>
  <c r="BN77" i="22" s="1"/>
  <c r="BN78" i="22" s="1"/>
  <c r="BN79" i="22" s="1"/>
  <c r="BN80" i="22" s="1"/>
  <c r="BN81" i="22" s="1"/>
  <c r="BN82" i="22" s="1"/>
  <c r="BN83" i="22" s="1"/>
  <c r="BN84" i="22" s="1"/>
  <c r="BN85" i="22" s="1"/>
  <c r="BN86" i="22" s="1"/>
  <c r="BN87" i="22" s="1"/>
  <c r="BN88" i="22" s="1"/>
  <c r="BN89" i="22" s="1"/>
  <c r="BN90" i="22" s="1"/>
  <c r="BN91" i="22" s="1"/>
  <c r="BN92" i="22" s="1"/>
  <c r="BL69" i="22"/>
  <c r="BJ69" i="22" s="1"/>
  <c r="AO69" i="22"/>
  <c r="M69" i="22"/>
  <c r="BU68" i="22"/>
  <c r="BL68" i="22"/>
  <c r="BE68" i="22" s="1"/>
  <c r="AO68" i="22"/>
  <c r="AC68" i="22" s="1"/>
  <c r="M68" i="22"/>
  <c r="BL67" i="22"/>
  <c r="BJ67" i="22" s="1"/>
  <c r="AO67" i="22"/>
  <c r="AP67" i="22" s="1"/>
  <c r="M67" i="22"/>
  <c r="BL66" i="22"/>
  <c r="AO66" i="22"/>
  <c r="AP66" i="22" s="1"/>
  <c r="M66" i="22"/>
  <c r="BL65" i="22"/>
  <c r="BF65" i="22" s="1"/>
  <c r="AO65" i="22"/>
  <c r="AP65" i="22" s="1"/>
  <c r="M65" i="22"/>
  <c r="BL64" i="22"/>
  <c r="BF64" i="22" s="1"/>
  <c r="AO64" i="22"/>
  <c r="AP64" i="22" s="1"/>
  <c r="M64" i="22"/>
  <c r="BW63" i="22"/>
  <c r="BL63" i="22"/>
  <c r="BE63" i="22" s="1"/>
  <c r="AO63" i="22"/>
  <c r="AC63" i="22" s="1"/>
  <c r="M63" i="22"/>
  <c r="BW62" i="22"/>
  <c r="BL62" i="22"/>
  <c r="AV62" i="22" s="1"/>
  <c r="AO62" i="22"/>
  <c r="AP62" i="22" s="1"/>
  <c r="M62" i="22"/>
  <c r="BW61" i="22"/>
  <c r="BL61" i="22"/>
  <c r="BI61" i="22" s="1"/>
  <c r="AO61" i="22"/>
  <c r="AC61" i="22" s="1"/>
  <c r="U61" i="22"/>
  <c r="M61" i="22"/>
  <c r="CB60" i="22"/>
  <c r="BL60" i="22"/>
  <c r="AO60" i="22"/>
  <c r="M60" i="22"/>
  <c r="E56" i="22"/>
  <c r="BN53" i="22"/>
  <c r="BN54" i="22" s="1"/>
  <c r="BN55" i="22" s="1"/>
  <c r="BN56" i="22" s="1"/>
  <c r="BN57" i="22" s="1"/>
  <c r="BN58" i="22" s="1"/>
  <c r="BN59" i="22" s="1"/>
  <c r="BN60" i="22" s="1"/>
  <c r="BN61" i="22" s="1"/>
  <c r="BN62" i="22" s="1"/>
  <c r="BN63" i="22" s="1"/>
  <c r="BN64" i="22" s="1"/>
  <c r="BN65" i="22" s="1"/>
  <c r="BN66" i="22" s="1"/>
  <c r="BN67" i="22" s="1"/>
  <c r="BN68" i="22" s="1"/>
  <c r="BN69" i="22" s="1"/>
  <c r="BN70" i="22" s="1"/>
  <c r="BN71" i="22" s="1"/>
  <c r="BL48" i="22"/>
  <c r="AO48" i="22"/>
  <c r="AN48" i="22"/>
  <c r="AM48" i="22" s="1"/>
  <c r="M48" i="22"/>
  <c r="BU47" i="22"/>
  <c r="BL47" i="22"/>
  <c r="AO47" i="22"/>
  <c r="AC47" i="22" s="1"/>
  <c r="AN47" i="22"/>
  <c r="AM47" i="22" s="1"/>
  <c r="M47" i="22"/>
  <c r="BL46" i="22"/>
  <c r="AU46" i="22" s="1"/>
  <c r="AO46" i="22"/>
  <c r="AC46" i="22" s="1"/>
  <c r="AN46" i="22"/>
  <c r="AK46" i="22" s="1"/>
  <c r="M46" i="22"/>
  <c r="BL45" i="22"/>
  <c r="BG45" i="22" s="1"/>
  <c r="AO45" i="22"/>
  <c r="AC45" i="22" s="1"/>
  <c r="AN45" i="22"/>
  <c r="AM45" i="22" s="1"/>
  <c r="M45" i="22"/>
  <c r="BL44" i="22"/>
  <c r="BF44" i="22" s="1"/>
  <c r="AO44" i="22"/>
  <c r="AB44" i="22" s="1"/>
  <c r="AN44" i="22"/>
  <c r="AJ44" i="22" s="1"/>
  <c r="M44" i="22"/>
  <c r="BL43" i="22"/>
  <c r="BH43" i="22" s="1"/>
  <c r="AO43" i="22"/>
  <c r="AP43" i="22" s="1"/>
  <c r="AN43" i="22"/>
  <c r="AI43" i="22" s="1"/>
  <c r="M43" i="22"/>
  <c r="BW42" i="22"/>
  <c r="BL42" i="22"/>
  <c r="AO42" i="22"/>
  <c r="AC42" i="22" s="1"/>
  <c r="AN42" i="22"/>
  <c r="AM42" i="22" s="1"/>
  <c r="M42" i="22"/>
  <c r="BW41" i="22"/>
  <c r="BL41" i="22"/>
  <c r="BK41" i="22" s="1"/>
  <c r="AO41" i="22"/>
  <c r="AC41" i="22" s="1"/>
  <c r="AN41" i="22"/>
  <c r="AK41" i="22" s="1"/>
  <c r="M41" i="22"/>
  <c r="BW40" i="22"/>
  <c r="BL40" i="22"/>
  <c r="AO40" i="22"/>
  <c r="AB40" i="22" s="1"/>
  <c r="AN40" i="22"/>
  <c r="AJ40" i="22" s="1"/>
  <c r="U40" i="22"/>
  <c r="M40" i="22"/>
  <c r="CB39" i="22"/>
  <c r="BL39" i="22"/>
  <c r="AO39" i="22"/>
  <c r="M39" i="22"/>
  <c r="E35" i="22"/>
  <c r="H35" i="22" s="1"/>
  <c r="BP39" i="22" s="1"/>
  <c r="BN32" i="22"/>
  <c r="BN33" i="22" s="1"/>
  <c r="BN34" i="22" s="1"/>
  <c r="BM31" i="22"/>
  <c r="BL27" i="22"/>
  <c r="BG27" i="22" s="1"/>
  <c r="AO27" i="22"/>
  <c r="AN27" i="22"/>
  <c r="AK27" i="22" s="1"/>
  <c r="M27" i="22"/>
  <c r="BU26" i="22"/>
  <c r="BL26" i="22"/>
  <c r="BG26" i="22" s="1"/>
  <c r="AO26" i="22"/>
  <c r="AB26" i="22" s="1"/>
  <c r="AN26" i="22"/>
  <c r="AJ26" i="22" s="1"/>
  <c r="M26" i="22"/>
  <c r="BL25" i="22"/>
  <c r="BE25" i="22" s="1"/>
  <c r="AO25" i="22"/>
  <c r="AC25" i="22" s="1"/>
  <c r="AN25" i="22"/>
  <c r="AG25" i="22" s="1"/>
  <c r="M25" i="22"/>
  <c r="BL24" i="22"/>
  <c r="BI24" i="22" s="1"/>
  <c r="AO24" i="22"/>
  <c r="AC24" i="22" s="1"/>
  <c r="AN24" i="22"/>
  <c r="AK24" i="22" s="1"/>
  <c r="M24" i="22"/>
  <c r="BL23" i="22"/>
  <c r="BI23" i="22" s="1"/>
  <c r="AO23" i="22"/>
  <c r="AC23" i="22" s="1"/>
  <c r="AN23" i="22"/>
  <c r="AK23" i="22" s="1"/>
  <c r="M23" i="22"/>
  <c r="BL22" i="22"/>
  <c r="BI22" i="22" s="1"/>
  <c r="AO22" i="22"/>
  <c r="AC22" i="22" s="1"/>
  <c r="AN22" i="22"/>
  <c r="AK22" i="22" s="1"/>
  <c r="M22" i="22"/>
  <c r="BW21" i="22"/>
  <c r="BL21" i="22"/>
  <c r="BD21" i="22" s="1"/>
  <c r="AO21" i="22"/>
  <c r="AN21" i="22"/>
  <c r="AG21" i="22" s="1"/>
  <c r="M21" i="22"/>
  <c r="BW20" i="22"/>
  <c r="BL20" i="22"/>
  <c r="BE20" i="22" s="1"/>
  <c r="AO20" i="22"/>
  <c r="AN20" i="22"/>
  <c r="M20" i="22"/>
  <c r="BW19" i="22"/>
  <c r="BL19" i="22"/>
  <c r="BE19" i="22" s="1"/>
  <c r="AO19" i="22"/>
  <c r="AP19" i="22" s="1"/>
  <c r="AN19" i="22"/>
  <c r="AG19" i="22" s="1"/>
  <c r="U19" i="22"/>
  <c r="M19" i="22"/>
  <c r="CB18" i="22"/>
  <c r="BL18" i="22"/>
  <c r="AO18" i="22"/>
  <c r="M18" i="22"/>
  <c r="E14" i="22"/>
  <c r="H14" i="22" s="1"/>
  <c r="BP18" i="22" s="1"/>
  <c r="BN11" i="22"/>
  <c r="DL8" i="22"/>
  <c r="DJ8" i="22"/>
  <c r="DH8" i="22"/>
  <c r="DF8" i="22"/>
  <c r="DD8" i="22"/>
  <c r="DB8" i="22"/>
  <c r="CZ8" i="22"/>
  <c r="CU8" i="22"/>
  <c r="DL7" i="22"/>
  <c r="DJ7" i="22"/>
  <c r="DH7" i="22"/>
  <c r="DF7" i="22"/>
  <c r="DD7" i="22"/>
  <c r="DB7" i="22"/>
  <c r="CZ7" i="22"/>
  <c r="CU7" i="22"/>
  <c r="DL6" i="22"/>
  <c r="DJ6" i="22"/>
  <c r="DH6" i="22"/>
  <c r="DF6" i="22"/>
  <c r="DD6" i="22"/>
  <c r="DB6" i="22"/>
  <c r="CZ6" i="22"/>
  <c r="CU6" i="22"/>
  <c r="BX6" i="22"/>
  <c r="DL5" i="22"/>
  <c r="DJ5" i="22"/>
  <c r="DH5" i="22"/>
  <c r="DF5" i="22"/>
  <c r="DD5" i="22"/>
  <c r="DB5" i="22"/>
  <c r="CZ5" i="22"/>
  <c r="CU5" i="22"/>
  <c r="BX5" i="22"/>
  <c r="S5" i="22"/>
  <c r="DL4" i="22"/>
  <c r="DJ4" i="22"/>
  <c r="DH4" i="22"/>
  <c r="DF4" i="22"/>
  <c r="DD4" i="22"/>
  <c r="DB4" i="22"/>
  <c r="CZ4" i="22"/>
  <c r="CU4" i="22"/>
  <c r="BX4" i="22"/>
  <c r="BN4" i="22"/>
  <c r="P4" i="22"/>
  <c r="AD232" i="16" s="1"/>
  <c r="J4" i="22"/>
  <c r="DL3" i="22"/>
  <c r="DJ3" i="22"/>
  <c r="DH3" i="22"/>
  <c r="DF3" i="22"/>
  <c r="DD3" i="22"/>
  <c r="DB3" i="22"/>
  <c r="CZ3" i="22"/>
  <c r="CU3" i="22"/>
  <c r="CL3" i="22"/>
  <c r="CL4" i="22" s="1"/>
  <c r="CL5" i="22" s="1"/>
  <c r="BX3" i="22"/>
  <c r="BN3" i="22"/>
  <c r="DL2" i="22"/>
  <c r="DJ2" i="22"/>
  <c r="DH2" i="22"/>
  <c r="DF2" i="22"/>
  <c r="DD2" i="22"/>
  <c r="DB2" i="22"/>
  <c r="CZ2" i="22"/>
  <c r="CU2" i="22"/>
  <c r="CJ2" i="22"/>
  <c r="CI2" i="22"/>
  <c r="AA1" i="22" s="1"/>
  <c r="CH2" i="22"/>
  <c r="BX2" i="22"/>
  <c r="BN2" i="22"/>
  <c r="CY1" i="22"/>
  <c r="CX1" i="22"/>
  <c r="CU1" i="22"/>
  <c r="CQ1" i="22"/>
  <c r="CM1" i="22"/>
  <c r="BX1" i="22"/>
  <c r="BN1" i="22"/>
  <c r="A1" i="22"/>
  <c r="BL153" i="21"/>
  <c r="BK153" i="21" s="1"/>
  <c r="AO153" i="21"/>
  <c r="AC153" i="21" s="1"/>
  <c r="M153" i="21"/>
  <c r="BU152" i="21"/>
  <c r="BL152" i="21"/>
  <c r="BK152" i="21" s="1"/>
  <c r="AO152" i="21"/>
  <c r="AB152" i="21" s="1"/>
  <c r="M152" i="21"/>
  <c r="BL151" i="21"/>
  <c r="AZ151" i="21" s="1"/>
  <c r="AO151" i="21"/>
  <c r="AP151" i="21" s="1"/>
  <c r="M151" i="21"/>
  <c r="BL150" i="21"/>
  <c r="BI150" i="21" s="1"/>
  <c r="AO150" i="21"/>
  <c r="AC150" i="21" s="1"/>
  <c r="M150" i="21"/>
  <c r="BL149" i="21"/>
  <c r="BI149" i="21" s="1"/>
  <c r="AO149" i="21"/>
  <c r="AP149" i="21" s="1"/>
  <c r="M149" i="21"/>
  <c r="BL148" i="21"/>
  <c r="AO148" i="21"/>
  <c r="AP148" i="21" s="1"/>
  <c r="M148" i="21"/>
  <c r="BW147" i="21"/>
  <c r="BL147" i="21"/>
  <c r="AO147" i="21"/>
  <c r="AB147" i="21" s="1"/>
  <c r="M147" i="21"/>
  <c r="BW146" i="21"/>
  <c r="BL146" i="21"/>
  <c r="BB146" i="21" s="1"/>
  <c r="AO146" i="21"/>
  <c r="AP146" i="21" s="1"/>
  <c r="M146" i="21"/>
  <c r="BW145" i="21"/>
  <c r="BL145" i="21"/>
  <c r="AY145" i="21" s="1"/>
  <c r="AO145" i="21"/>
  <c r="AC145" i="21" s="1"/>
  <c r="U145" i="21"/>
  <c r="M145" i="21"/>
  <c r="CB144" i="21"/>
  <c r="BL144" i="21"/>
  <c r="AO144" i="21"/>
  <c r="M144" i="21"/>
  <c r="E140" i="21"/>
  <c r="BN137" i="21"/>
  <c r="BN138" i="21" s="1"/>
  <c r="BN139" i="21" s="1"/>
  <c r="BN140" i="21" s="1"/>
  <c r="BN141" i="21" s="1"/>
  <c r="BN142" i="21" s="1"/>
  <c r="BN143" i="21" s="1"/>
  <c r="BN144" i="21" s="1"/>
  <c r="BN145" i="21" s="1"/>
  <c r="BN146" i="21" s="1"/>
  <c r="BN147" i="21" s="1"/>
  <c r="BN148" i="21" s="1"/>
  <c r="BN149" i="21" s="1"/>
  <c r="BN150" i="21" s="1"/>
  <c r="BN151" i="21" s="1"/>
  <c r="BN152" i="21" s="1"/>
  <c r="BN153" i="21" s="1"/>
  <c r="BN154" i="21" s="1"/>
  <c r="BN155" i="21" s="1"/>
  <c r="BL132" i="21"/>
  <c r="BH132" i="21" s="1"/>
  <c r="AO132" i="21"/>
  <c r="AC132" i="21" s="1"/>
  <c r="M132" i="21"/>
  <c r="BU131" i="21"/>
  <c r="BL131" i="21"/>
  <c r="BH131" i="21" s="1"/>
  <c r="AO131" i="21"/>
  <c r="AB131" i="21" s="1"/>
  <c r="M131" i="21"/>
  <c r="BL130" i="21"/>
  <c r="BK130" i="21" s="1"/>
  <c r="AO130" i="21"/>
  <c r="AC130" i="21" s="1"/>
  <c r="M130" i="21"/>
  <c r="BL129" i="21"/>
  <c r="AO129" i="21"/>
  <c r="AC129" i="21" s="1"/>
  <c r="M129" i="21"/>
  <c r="BL128" i="21"/>
  <c r="BH128" i="21" s="1"/>
  <c r="AO128" i="21"/>
  <c r="AP128" i="21" s="1"/>
  <c r="M128" i="21"/>
  <c r="BL127" i="21"/>
  <c r="AT127" i="21" s="1"/>
  <c r="AO127" i="21"/>
  <c r="AP127" i="21" s="1"/>
  <c r="M127" i="21"/>
  <c r="BW126" i="21"/>
  <c r="BL126" i="21"/>
  <c r="BK126" i="21" s="1"/>
  <c r="AO126" i="21"/>
  <c r="AC126" i="21" s="1"/>
  <c r="M126" i="21"/>
  <c r="BW125" i="21"/>
  <c r="BL125" i="21"/>
  <c r="AO125" i="21"/>
  <c r="AP125" i="21" s="1"/>
  <c r="M125" i="21"/>
  <c r="BW124" i="21"/>
  <c r="BL124" i="21"/>
  <c r="BH124" i="21" s="1"/>
  <c r="AO124" i="21"/>
  <c r="AP124" i="21" s="1"/>
  <c r="U124" i="21"/>
  <c r="M124" i="21"/>
  <c r="CB123" i="21"/>
  <c r="BL123" i="21"/>
  <c r="AO123" i="21"/>
  <c r="M123" i="21"/>
  <c r="E119" i="21"/>
  <c r="BN116" i="21"/>
  <c r="BN117" i="21" s="1"/>
  <c r="BN118" i="21" s="1"/>
  <c r="BN119" i="21" s="1"/>
  <c r="BN120" i="21" s="1"/>
  <c r="BN121" i="21" s="1"/>
  <c r="BN122" i="21" s="1"/>
  <c r="BN123" i="21" s="1"/>
  <c r="BN124" i="21" s="1"/>
  <c r="BN125" i="21" s="1"/>
  <c r="BN126" i="21" s="1"/>
  <c r="BN127" i="21" s="1"/>
  <c r="BN128" i="21" s="1"/>
  <c r="BN129" i="21" s="1"/>
  <c r="BN130" i="21" s="1"/>
  <c r="BN131" i="21" s="1"/>
  <c r="BN132" i="21" s="1"/>
  <c r="BN133" i="21" s="1"/>
  <c r="BN134" i="21" s="1"/>
  <c r="BL111" i="21"/>
  <c r="BJ111" i="21" s="1"/>
  <c r="AO111" i="21"/>
  <c r="AP111" i="21" s="1"/>
  <c r="M111" i="21"/>
  <c r="BU110" i="21"/>
  <c r="BL110" i="21"/>
  <c r="BJ110" i="21" s="1"/>
  <c r="AO110" i="21"/>
  <c r="AB110" i="21" s="1"/>
  <c r="M110" i="21"/>
  <c r="BL109" i="21"/>
  <c r="AO109" i="21"/>
  <c r="AC109" i="21" s="1"/>
  <c r="M109" i="21"/>
  <c r="BL108" i="21"/>
  <c r="BK108" i="21" s="1"/>
  <c r="AO108" i="21"/>
  <c r="AC108" i="21" s="1"/>
  <c r="M108" i="21"/>
  <c r="BL107" i="21"/>
  <c r="BK107" i="21" s="1"/>
  <c r="AO107" i="21"/>
  <c r="M107" i="21"/>
  <c r="BL106" i="21"/>
  <c r="AT106" i="21" s="1"/>
  <c r="AO106" i="21"/>
  <c r="M106" i="21"/>
  <c r="BW105" i="21"/>
  <c r="BL105" i="21"/>
  <c r="BJ105" i="21" s="1"/>
  <c r="AO105" i="21"/>
  <c r="AB105" i="21" s="1"/>
  <c r="M105" i="21"/>
  <c r="BW104" i="21"/>
  <c r="BL104" i="21"/>
  <c r="AO104" i="21"/>
  <c r="AC104" i="21" s="1"/>
  <c r="M104" i="21"/>
  <c r="BW103" i="21"/>
  <c r="BL103" i="21"/>
  <c r="BE103" i="21" s="1"/>
  <c r="AO103" i="21"/>
  <c r="AB103" i="21" s="1"/>
  <c r="U103" i="21"/>
  <c r="M103" i="21"/>
  <c r="CB102" i="21"/>
  <c r="BL102" i="21"/>
  <c r="AO102" i="21"/>
  <c r="M102" i="21"/>
  <c r="E98" i="21"/>
  <c r="H98" i="21" s="1"/>
  <c r="BP102" i="21" s="1"/>
  <c r="BN95" i="21"/>
  <c r="BN96" i="21" s="1"/>
  <c r="BN97" i="21" s="1"/>
  <c r="BN98" i="21" s="1"/>
  <c r="BN99" i="21" s="1"/>
  <c r="BN100" i="21" s="1"/>
  <c r="BN101" i="21" s="1"/>
  <c r="BN102" i="21" s="1"/>
  <c r="BN103" i="21" s="1"/>
  <c r="BN104" i="21" s="1"/>
  <c r="BN105" i="21" s="1"/>
  <c r="BN106" i="21" s="1"/>
  <c r="BN107" i="21" s="1"/>
  <c r="BN108" i="21" s="1"/>
  <c r="BN109" i="21" s="1"/>
  <c r="BN110" i="21" s="1"/>
  <c r="BN111" i="21" s="1"/>
  <c r="BN112" i="21" s="1"/>
  <c r="BN113" i="21" s="1"/>
  <c r="BL90" i="21"/>
  <c r="BD90" i="21" s="1"/>
  <c r="AO90" i="21"/>
  <c r="AB90" i="21" s="1"/>
  <c r="M90" i="21"/>
  <c r="BU89" i="21"/>
  <c r="BL89" i="21"/>
  <c r="BI89" i="21" s="1"/>
  <c r="AO89" i="21"/>
  <c r="AB89" i="21" s="1"/>
  <c r="M89" i="21"/>
  <c r="BL88" i="21"/>
  <c r="BG88" i="21" s="1"/>
  <c r="AO88" i="21"/>
  <c r="AB88" i="21" s="1"/>
  <c r="M88" i="21"/>
  <c r="BL87" i="21"/>
  <c r="BK87" i="21" s="1"/>
  <c r="AO87" i="21"/>
  <c r="AB87" i="21" s="1"/>
  <c r="M87" i="21"/>
  <c r="BL86" i="21"/>
  <c r="BK86" i="21" s="1"/>
  <c r="AO86" i="21"/>
  <c r="M86" i="21"/>
  <c r="BL85" i="21"/>
  <c r="BK85" i="21" s="1"/>
  <c r="AO85" i="21"/>
  <c r="AB85" i="21" s="1"/>
  <c r="M85" i="21"/>
  <c r="BW84" i="21"/>
  <c r="BL84" i="21"/>
  <c r="BF84" i="21" s="1"/>
  <c r="AO84" i="21"/>
  <c r="AB84" i="21" s="1"/>
  <c r="M84" i="21"/>
  <c r="BW83" i="21"/>
  <c r="BL83" i="21"/>
  <c r="BH83" i="21" s="1"/>
  <c r="AO83" i="21"/>
  <c r="AB83" i="21" s="1"/>
  <c r="M83" i="21"/>
  <c r="BW82" i="21"/>
  <c r="BL82" i="21"/>
  <c r="AO82" i="21"/>
  <c r="AC82" i="21" s="1"/>
  <c r="U82" i="21"/>
  <c r="M82" i="21"/>
  <c r="CB81" i="21"/>
  <c r="BL81" i="21"/>
  <c r="AO81" i="21"/>
  <c r="M81" i="21"/>
  <c r="E77" i="21"/>
  <c r="BN74" i="21"/>
  <c r="BN75" i="21" s="1"/>
  <c r="BN76" i="21" s="1"/>
  <c r="BN77" i="21" s="1"/>
  <c r="BN78" i="21" s="1"/>
  <c r="BN79" i="21" s="1"/>
  <c r="BN80" i="21" s="1"/>
  <c r="BN81" i="21" s="1"/>
  <c r="BN82" i="21" s="1"/>
  <c r="BN83" i="21" s="1"/>
  <c r="BN84" i="21" s="1"/>
  <c r="BN85" i="21" s="1"/>
  <c r="BN86" i="21" s="1"/>
  <c r="BN87" i="21" s="1"/>
  <c r="BN88" i="21" s="1"/>
  <c r="BN89" i="21" s="1"/>
  <c r="BN90" i="21" s="1"/>
  <c r="BN91" i="21" s="1"/>
  <c r="BN92" i="21" s="1"/>
  <c r="BL69" i="21"/>
  <c r="AO69" i="21"/>
  <c r="AP69" i="21" s="1"/>
  <c r="M69" i="21"/>
  <c r="BU68" i="21"/>
  <c r="BL68" i="21"/>
  <c r="BG68" i="21" s="1"/>
  <c r="AO68" i="21"/>
  <c r="AB68" i="21" s="1"/>
  <c r="M68" i="21"/>
  <c r="BL67" i="21"/>
  <c r="AO67" i="21"/>
  <c r="AC67" i="21" s="1"/>
  <c r="M67" i="21"/>
  <c r="BL66" i="21"/>
  <c r="BJ66" i="21" s="1"/>
  <c r="AO66" i="21"/>
  <c r="AB66" i="21" s="1"/>
  <c r="M66" i="21"/>
  <c r="BL65" i="21"/>
  <c r="BB65" i="21" s="1"/>
  <c r="AO65" i="21"/>
  <c r="M65" i="21"/>
  <c r="BL64" i="21"/>
  <c r="BF64" i="21" s="1"/>
  <c r="AO64" i="21"/>
  <c r="AB64" i="21" s="1"/>
  <c r="M64" i="21"/>
  <c r="BW63" i="21"/>
  <c r="BL63" i="21"/>
  <c r="BD63" i="21" s="1"/>
  <c r="AO63" i="21"/>
  <c r="AB63" i="21" s="1"/>
  <c r="M63" i="21"/>
  <c r="BW62" i="21"/>
  <c r="BL62" i="21"/>
  <c r="BK62" i="21" s="1"/>
  <c r="AO62" i="21"/>
  <c r="AC62" i="21" s="1"/>
  <c r="M62" i="21"/>
  <c r="BW61" i="21"/>
  <c r="BL61" i="21"/>
  <c r="BJ61" i="21" s="1"/>
  <c r="AO61" i="21"/>
  <c r="U61" i="21"/>
  <c r="M61" i="21"/>
  <c r="CB60" i="21"/>
  <c r="BL60" i="21"/>
  <c r="AO60" i="21"/>
  <c r="M60" i="21"/>
  <c r="E56" i="21"/>
  <c r="BN53" i="21"/>
  <c r="BN54" i="21" s="1"/>
  <c r="BN55" i="21" s="1"/>
  <c r="BN56" i="21" s="1"/>
  <c r="BN57" i="21" s="1"/>
  <c r="BN58" i="21" s="1"/>
  <c r="BN59" i="21" s="1"/>
  <c r="BN60" i="21" s="1"/>
  <c r="BN61" i="21" s="1"/>
  <c r="BN62" i="21" s="1"/>
  <c r="BN63" i="21" s="1"/>
  <c r="BN64" i="21" s="1"/>
  <c r="BN65" i="21" s="1"/>
  <c r="BN66" i="21" s="1"/>
  <c r="BN67" i="21" s="1"/>
  <c r="BN68" i="21" s="1"/>
  <c r="BN69" i="21" s="1"/>
  <c r="BN70" i="21" s="1"/>
  <c r="BN71" i="21" s="1"/>
  <c r="BL48" i="21"/>
  <c r="BK48" i="21" s="1"/>
  <c r="AO48" i="21"/>
  <c r="AN48" i="21"/>
  <c r="AM48" i="21" s="1"/>
  <c r="M48" i="21"/>
  <c r="BU47" i="21"/>
  <c r="BL47" i="21"/>
  <c r="BK47" i="21" s="1"/>
  <c r="AO47" i="21"/>
  <c r="AP47" i="21" s="1"/>
  <c r="AN47" i="21"/>
  <c r="AI47" i="21" s="1"/>
  <c r="M47" i="21"/>
  <c r="BL46" i="21"/>
  <c r="BH46" i="21" s="1"/>
  <c r="AO46" i="21"/>
  <c r="AN46" i="21"/>
  <c r="AL46" i="21" s="1"/>
  <c r="M46" i="21"/>
  <c r="BL45" i="21"/>
  <c r="BJ45" i="21" s="1"/>
  <c r="AO45" i="21"/>
  <c r="AP45" i="21" s="1"/>
  <c r="AN45" i="21"/>
  <c r="AD45" i="21" s="1"/>
  <c r="M45" i="21"/>
  <c r="BL44" i="21"/>
  <c r="BH44" i="21" s="1"/>
  <c r="AO44" i="21"/>
  <c r="AC44" i="21" s="1"/>
  <c r="AN44" i="21"/>
  <c r="M44" i="21"/>
  <c r="BL43" i="21"/>
  <c r="BH43" i="21" s="1"/>
  <c r="AO43" i="21"/>
  <c r="AN43" i="21"/>
  <c r="AL43" i="21" s="1"/>
  <c r="M43" i="21"/>
  <c r="BW42" i="21"/>
  <c r="BL42" i="21"/>
  <c r="BE42" i="21" s="1"/>
  <c r="AO42" i="21"/>
  <c r="AC42" i="21" s="1"/>
  <c r="AN42" i="21"/>
  <c r="AG42" i="21" s="1"/>
  <c r="M42" i="21"/>
  <c r="BW41" i="21"/>
  <c r="BL41" i="21"/>
  <c r="BJ41" i="21" s="1"/>
  <c r="AO41" i="21"/>
  <c r="AB41" i="21" s="1"/>
  <c r="AN41" i="21"/>
  <c r="AL41" i="21" s="1"/>
  <c r="M41" i="21"/>
  <c r="BW40" i="21"/>
  <c r="BL40" i="21"/>
  <c r="BI40" i="21" s="1"/>
  <c r="AO40" i="21"/>
  <c r="AP40" i="21" s="1"/>
  <c r="AN40" i="21"/>
  <c r="AK40" i="21" s="1"/>
  <c r="U40" i="21"/>
  <c r="M40" i="21"/>
  <c r="CB39" i="21"/>
  <c r="BL39" i="21"/>
  <c r="AO39" i="21"/>
  <c r="M39" i="21"/>
  <c r="E35" i="21"/>
  <c r="H35" i="21" s="1"/>
  <c r="BP39" i="21" s="1"/>
  <c r="BN32" i="21"/>
  <c r="BN33" i="21" s="1"/>
  <c r="BM31" i="21"/>
  <c r="BL27" i="21"/>
  <c r="BG27" i="21" s="1"/>
  <c r="AO27" i="21"/>
  <c r="AP27" i="21" s="1"/>
  <c r="AN27" i="21"/>
  <c r="AK27" i="21" s="1"/>
  <c r="M27" i="21"/>
  <c r="BU26" i="21"/>
  <c r="BL26" i="21"/>
  <c r="BH26" i="21" s="1"/>
  <c r="AO26" i="21"/>
  <c r="AB26" i="21" s="1"/>
  <c r="AN26" i="21"/>
  <c r="AL26" i="21" s="1"/>
  <c r="M26" i="21"/>
  <c r="BL25" i="21"/>
  <c r="BH25" i="21" s="1"/>
  <c r="AO25" i="21"/>
  <c r="AB25" i="21" s="1"/>
  <c r="AN25" i="21"/>
  <c r="M25" i="21"/>
  <c r="BL24" i="21"/>
  <c r="BI24" i="21" s="1"/>
  <c r="AO24" i="21"/>
  <c r="AP24" i="21" s="1"/>
  <c r="AN24" i="21"/>
  <c r="AJ24" i="21" s="1"/>
  <c r="M24" i="21"/>
  <c r="BL23" i="21"/>
  <c r="BD23" i="21" s="1"/>
  <c r="AO23" i="21"/>
  <c r="AN23" i="21"/>
  <c r="AM23" i="21" s="1"/>
  <c r="M23" i="21"/>
  <c r="BL22" i="21"/>
  <c r="BI22" i="21" s="1"/>
  <c r="AO22" i="21"/>
  <c r="AP22" i="21" s="1"/>
  <c r="AN22" i="21"/>
  <c r="AI22" i="21" s="1"/>
  <c r="M22" i="21"/>
  <c r="BW21" i="21"/>
  <c r="BL21" i="21"/>
  <c r="BI21" i="21" s="1"/>
  <c r="AO21" i="21"/>
  <c r="AP21" i="21" s="1"/>
  <c r="AN21" i="21"/>
  <c r="AK21" i="21" s="1"/>
  <c r="M21" i="21"/>
  <c r="BW20" i="21"/>
  <c r="BL20" i="21"/>
  <c r="AO20" i="21"/>
  <c r="AC20" i="21" s="1"/>
  <c r="AN20" i="21"/>
  <c r="AM20" i="21" s="1"/>
  <c r="M20" i="21"/>
  <c r="BW19" i="21"/>
  <c r="BL19" i="21"/>
  <c r="AO19" i="21"/>
  <c r="AB19" i="21" s="1"/>
  <c r="AN19" i="21"/>
  <c r="AD19" i="21" s="1"/>
  <c r="U19" i="21"/>
  <c r="M19" i="21"/>
  <c r="CB18" i="21"/>
  <c r="BL18" i="21"/>
  <c r="AO18" i="21"/>
  <c r="M18" i="21"/>
  <c r="E14" i="21"/>
  <c r="H14" i="21" s="1"/>
  <c r="BP18" i="21" s="1"/>
  <c r="BN11" i="21"/>
  <c r="A11" i="21" s="1"/>
  <c r="DL8" i="21"/>
  <c r="DJ8" i="21"/>
  <c r="DH8" i="21"/>
  <c r="DF8" i="21"/>
  <c r="DD8" i="21"/>
  <c r="DB8" i="21"/>
  <c r="CZ8" i="21"/>
  <c r="CU8" i="21"/>
  <c r="DL7" i="21"/>
  <c r="DJ7" i="21"/>
  <c r="DH7" i="21"/>
  <c r="DF7" i="21"/>
  <c r="DD7" i="21"/>
  <c r="DB7" i="21"/>
  <c r="CZ7" i="21"/>
  <c r="CU7" i="21"/>
  <c r="DL6" i="21"/>
  <c r="DJ6" i="21"/>
  <c r="DH6" i="21"/>
  <c r="DF6" i="21"/>
  <c r="DD6" i="21"/>
  <c r="DB6" i="21"/>
  <c r="CZ6" i="21"/>
  <c r="CU6" i="21"/>
  <c r="BX6" i="21"/>
  <c r="DL5" i="21"/>
  <c r="DJ5" i="21"/>
  <c r="DH5" i="21"/>
  <c r="DF5" i="21"/>
  <c r="DD5" i="21"/>
  <c r="DB5" i="21"/>
  <c r="CZ5" i="21"/>
  <c r="CU5" i="21"/>
  <c r="BX5" i="21"/>
  <c r="S5" i="21"/>
  <c r="DL4" i="21"/>
  <c r="DJ4" i="21"/>
  <c r="DH4" i="21"/>
  <c r="DF4" i="21"/>
  <c r="DD4" i="21"/>
  <c r="DB4" i="21"/>
  <c r="CZ4" i="21"/>
  <c r="CU4" i="21"/>
  <c r="BX4" i="21"/>
  <c r="BN4" i="21"/>
  <c r="P4" i="21"/>
  <c r="AD240" i="16" s="1"/>
  <c r="J4" i="21"/>
  <c r="O5" i="21" s="1"/>
  <c r="DL3" i="21"/>
  <c r="DJ3" i="21"/>
  <c r="DH3" i="21"/>
  <c r="DF3" i="21"/>
  <c r="DD3" i="21"/>
  <c r="DB3" i="21"/>
  <c r="CZ3" i="21"/>
  <c r="CU3" i="21"/>
  <c r="CL3" i="21"/>
  <c r="CL4" i="21" s="1"/>
  <c r="CL5" i="21" s="1"/>
  <c r="CL6" i="21" s="1"/>
  <c r="BX3" i="21"/>
  <c r="BN3" i="21"/>
  <c r="DL2" i="21"/>
  <c r="DJ2" i="21"/>
  <c r="DH2" i="21"/>
  <c r="DF2" i="21"/>
  <c r="DD2" i="21"/>
  <c r="DB2" i="21"/>
  <c r="CZ2" i="21"/>
  <c r="CU2" i="21"/>
  <c r="CJ2" i="21"/>
  <c r="CG31" i="21" s="1"/>
  <c r="CG32" i="21" s="1"/>
  <c r="CG33" i="21" s="1"/>
  <c r="CG34" i="21" s="1"/>
  <c r="CG35" i="21" s="1"/>
  <c r="CG36" i="21" s="1"/>
  <c r="CG37" i="21" s="1"/>
  <c r="CG38" i="21" s="1"/>
  <c r="CG39" i="21" s="1"/>
  <c r="CG40" i="21" s="1"/>
  <c r="CG41" i="21" s="1"/>
  <c r="CG42" i="21" s="1"/>
  <c r="CG43" i="21" s="1"/>
  <c r="CG44" i="21" s="1"/>
  <c r="CG45" i="21" s="1"/>
  <c r="CG46" i="21" s="1"/>
  <c r="CG47" i="21" s="1"/>
  <c r="CG48" i="21" s="1"/>
  <c r="CG49" i="21" s="1"/>
  <c r="CG50" i="21" s="1"/>
  <c r="CG51" i="21" s="1"/>
  <c r="CI2" i="21"/>
  <c r="AA1" i="21" s="1"/>
  <c r="CH2" i="21"/>
  <c r="BX2" i="21"/>
  <c r="BN2" i="21"/>
  <c r="CY1" i="21"/>
  <c r="CX1" i="21"/>
  <c r="CU1" i="21"/>
  <c r="CQ1" i="21"/>
  <c r="CM1" i="21"/>
  <c r="BX1" i="21"/>
  <c r="BN1" i="21"/>
  <c r="A1" i="21"/>
  <c r="BL153" i="20"/>
  <c r="AO153" i="20"/>
  <c r="M153" i="20"/>
  <c r="BU152" i="20"/>
  <c r="BL152" i="20"/>
  <c r="BJ152" i="20" s="1"/>
  <c r="AO152" i="20"/>
  <c r="M152" i="20"/>
  <c r="BL151" i="20"/>
  <c r="BK151" i="20" s="1"/>
  <c r="AO151" i="20"/>
  <c r="M151" i="20"/>
  <c r="BL150" i="20"/>
  <c r="BF150" i="20" s="1"/>
  <c r="AO150" i="20"/>
  <c r="AC150" i="20" s="1"/>
  <c r="M150" i="20"/>
  <c r="BL149" i="20"/>
  <c r="BE149" i="20" s="1"/>
  <c r="AO149" i="20"/>
  <c r="AC149" i="20" s="1"/>
  <c r="M149" i="20"/>
  <c r="BL148" i="20"/>
  <c r="BI148" i="20" s="1"/>
  <c r="AO148" i="20"/>
  <c r="M148" i="20"/>
  <c r="BW147" i="20"/>
  <c r="BN147" i="20"/>
  <c r="BN148" i="20" s="1"/>
  <c r="BN149" i="20" s="1"/>
  <c r="BN150" i="20" s="1"/>
  <c r="BN151" i="20" s="1"/>
  <c r="BN152" i="20" s="1"/>
  <c r="BN153" i="20" s="1"/>
  <c r="BN154" i="20" s="1"/>
  <c r="BN155" i="20" s="1"/>
  <c r="BL147" i="20"/>
  <c r="BK147" i="20" s="1"/>
  <c r="AO147" i="20"/>
  <c r="AP147" i="20" s="1"/>
  <c r="M147" i="20"/>
  <c r="BW146" i="20"/>
  <c r="BL146" i="20"/>
  <c r="BH146" i="20" s="1"/>
  <c r="AO146" i="20"/>
  <c r="AB146" i="20" s="1"/>
  <c r="M146" i="20"/>
  <c r="BW145" i="20"/>
  <c r="BL145" i="20"/>
  <c r="AO145" i="20"/>
  <c r="AB145" i="20" s="1"/>
  <c r="U145" i="20"/>
  <c r="M145" i="20"/>
  <c r="CB144" i="20"/>
  <c r="BL144" i="20"/>
  <c r="AO144" i="20"/>
  <c r="M144" i="20"/>
  <c r="E140" i="20"/>
  <c r="H140" i="20" s="1"/>
  <c r="BP144" i="20" s="1"/>
  <c r="BN137" i="20"/>
  <c r="BN138" i="20" s="1"/>
  <c r="BN139" i="20" s="1"/>
  <c r="BN140" i="20" s="1"/>
  <c r="BN141" i="20" s="1"/>
  <c r="BN142" i="20" s="1"/>
  <c r="BN143" i="20" s="1"/>
  <c r="BN144" i="20" s="1"/>
  <c r="BN145" i="20" s="1"/>
  <c r="BN146" i="20" s="1"/>
  <c r="BL132" i="20"/>
  <c r="BG132" i="20" s="1"/>
  <c r="AO132" i="20"/>
  <c r="AB132" i="20" s="1"/>
  <c r="M132" i="20"/>
  <c r="BU131" i="20"/>
  <c r="BL131" i="20"/>
  <c r="BH131" i="20" s="1"/>
  <c r="AO131" i="20"/>
  <c r="AC131" i="20" s="1"/>
  <c r="M131" i="20"/>
  <c r="BL130" i="20"/>
  <c r="BC130" i="20" s="1"/>
  <c r="AO130" i="20"/>
  <c r="AB130" i="20" s="1"/>
  <c r="M130" i="20"/>
  <c r="BL129" i="20"/>
  <c r="BK129" i="20" s="1"/>
  <c r="AO129" i="20"/>
  <c r="AC129" i="20" s="1"/>
  <c r="M129" i="20"/>
  <c r="BL128" i="20"/>
  <c r="BK128" i="20" s="1"/>
  <c r="AO128" i="20"/>
  <c r="AC128" i="20" s="1"/>
  <c r="M128" i="20"/>
  <c r="BL127" i="20"/>
  <c r="BK127" i="20" s="1"/>
  <c r="AO127" i="20"/>
  <c r="AP127" i="20" s="1"/>
  <c r="M127" i="20"/>
  <c r="BW126" i="20"/>
  <c r="BL126" i="20"/>
  <c r="AO126" i="20"/>
  <c r="M126" i="20"/>
  <c r="BW125" i="20"/>
  <c r="BL125" i="20"/>
  <c r="BK125" i="20" s="1"/>
  <c r="AO125" i="20"/>
  <c r="AP125" i="20" s="1"/>
  <c r="M125" i="20"/>
  <c r="BW124" i="20"/>
  <c r="BL124" i="20"/>
  <c r="BF124" i="20" s="1"/>
  <c r="AO124" i="20"/>
  <c r="AP124" i="20" s="1"/>
  <c r="U124" i="20"/>
  <c r="M124" i="20"/>
  <c r="CB123" i="20"/>
  <c r="BL123" i="20"/>
  <c r="AO123" i="20"/>
  <c r="M123" i="20"/>
  <c r="BN121" i="20"/>
  <c r="BN122" i="20" s="1"/>
  <c r="BN123" i="20" s="1"/>
  <c r="BN124" i="20" s="1"/>
  <c r="BN125" i="20" s="1"/>
  <c r="BN126" i="20" s="1"/>
  <c r="BN127" i="20" s="1"/>
  <c r="BN128" i="20" s="1"/>
  <c r="BN129" i="20" s="1"/>
  <c r="BN130" i="20" s="1"/>
  <c r="BN131" i="20" s="1"/>
  <c r="BN132" i="20" s="1"/>
  <c r="BN133" i="20" s="1"/>
  <c r="BN134" i="20" s="1"/>
  <c r="E119" i="20"/>
  <c r="BN116" i="20"/>
  <c r="BN117" i="20" s="1"/>
  <c r="BN118" i="20" s="1"/>
  <c r="BN119" i="20" s="1"/>
  <c r="BN120" i="20" s="1"/>
  <c r="BL111" i="20"/>
  <c r="BF111" i="20" s="1"/>
  <c r="AO111" i="20"/>
  <c r="AP111" i="20" s="1"/>
  <c r="M111" i="20"/>
  <c r="BU110" i="20"/>
  <c r="BL110" i="20"/>
  <c r="BI110" i="20" s="1"/>
  <c r="AO110" i="20"/>
  <c r="AP110" i="20" s="1"/>
  <c r="M110" i="20"/>
  <c r="BL109" i="20"/>
  <c r="AZ109" i="20" s="1"/>
  <c r="AO109" i="20"/>
  <c r="AC109" i="20" s="1"/>
  <c r="M109" i="20"/>
  <c r="BL108" i="20"/>
  <c r="AO108" i="20"/>
  <c r="AC108" i="20" s="1"/>
  <c r="M108" i="20"/>
  <c r="BL107" i="20"/>
  <c r="AV107" i="20" s="1"/>
  <c r="AO107" i="20"/>
  <c r="AB107" i="20" s="1"/>
  <c r="M107" i="20"/>
  <c r="BL106" i="20"/>
  <c r="BK106" i="20" s="1"/>
  <c r="AO106" i="20"/>
  <c r="AB106" i="20" s="1"/>
  <c r="M106" i="20"/>
  <c r="BW105" i="20"/>
  <c r="BL105" i="20"/>
  <c r="BG105" i="20" s="1"/>
  <c r="AO105" i="20"/>
  <c r="AP105" i="20" s="1"/>
  <c r="M105" i="20"/>
  <c r="BW104" i="20"/>
  <c r="BL104" i="20"/>
  <c r="BE104" i="20" s="1"/>
  <c r="AO104" i="20"/>
  <c r="AC104" i="20" s="1"/>
  <c r="M104" i="20"/>
  <c r="BW103" i="20"/>
  <c r="BL103" i="20"/>
  <c r="BJ103" i="20" s="1"/>
  <c r="AO103" i="20"/>
  <c r="AB103" i="20" s="1"/>
  <c r="U103" i="20"/>
  <c r="M103" i="20"/>
  <c r="CB102" i="20"/>
  <c r="BL102" i="20"/>
  <c r="AO102" i="20"/>
  <c r="M102" i="20"/>
  <c r="E98" i="20"/>
  <c r="BN96" i="20"/>
  <c r="BN97" i="20" s="1"/>
  <c r="BN98" i="20" s="1"/>
  <c r="BN99" i="20" s="1"/>
  <c r="BN100" i="20" s="1"/>
  <c r="BN101" i="20" s="1"/>
  <c r="BN102" i="20" s="1"/>
  <c r="BN103" i="20" s="1"/>
  <c r="BN104" i="20" s="1"/>
  <c r="BN105" i="20" s="1"/>
  <c r="BN106" i="20" s="1"/>
  <c r="BN107" i="20" s="1"/>
  <c r="BN108" i="20" s="1"/>
  <c r="BN109" i="20" s="1"/>
  <c r="BN110" i="20" s="1"/>
  <c r="BN111" i="20" s="1"/>
  <c r="BN112" i="20" s="1"/>
  <c r="BN113" i="20" s="1"/>
  <c r="BN95" i="20"/>
  <c r="BL90" i="20"/>
  <c r="AO90" i="20"/>
  <c r="M90" i="20"/>
  <c r="BU89" i="20"/>
  <c r="BL89" i="20"/>
  <c r="AO89" i="20"/>
  <c r="AC89" i="20" s="1"/>
  <c r="M89" i="20"/>
  <c r="BL88" i="20"/>
  <c r="BK88" i="20" s="1"/>
  <c r="AO88" i="20"/>
  <c r="AC88" i="20" s="1"/>
  <c r="M88" i="20"/>
  <c r="BL87" i="20"/>
  <c r="AV87" i="20" s="1"/>
  <c r="AO87" i="20"/>
  <c r="AP87" i="20" s="1"/>
  <c r="M87" i="20"/>
  <c r="BL86" i="20"/>
  <c r="BG86" i="20" s="1"/>
  <c r="AO86" i="20"/>
  <c r="AP86" i="20" s="1"/>
  <c r="M86" i="20"/>
  <c r="BL85" i="20"/>
  <c r="AW85" i="20" s="1"/>
  <c r="AO85" i="20"/>
  <c r="AC85" i="20" s="1"/>
  <c r="M85" i="20"/>
  <c r="BW84" i="20"/>
  <c r="BL84" i="20"/>
  <c r="BK84" i="20" s="1"/>
  <c r="AO84" i="20"/>
  <c r="AC84" i="20" s="1"/>
  <c r="M84" i="20"/>
  <c r="BW83" i="20"/>
  <c r="BL83" i="20"/>
  <c r="BK83" i="20" s="1"/>
  <c r="AO83" i="20"/>
  <c r="AC83" i="20" s="1"/>
  <c r="M83" i="20"/>
  <c r="BW82" i="20"/>
  <c r="BL82" i="20"/>
  <c r="BH82" i="20" s="1"/>
  <c r="AO82" i="20"/>
  <c r="AB82" i="20" s="1"/>
  <c r="U82" i="20"/>
  <c r="M82" i="20"/>
  <c r="CB81" i="20"/>
  <c r="BL81" i="20"/>
  <c r="AO81" i="20"/>
  <c r="M81" i="20"/>
  <c r="E77" i="20"/>
  <c r="BN74" i="20"/>
  <c r="BN75" i="20" s="1"/>
  <c r="BN76" i="20" s="1"/>
  <c r="BN77" i="20" s="1"/>
  <c r="BN78" i="20" s="1"/>
  <c r="BN79" i="20" s="1"/>
  <c r="BN80" i="20" s="1"/>
  <c r="BN81" i="20" s="1"/>
  <c r="BN82" i="20" s="1"/>
  <c r="BN83" i="20" s="1"/>
  <c r="BN84" i="20" s="1"/>
  <c r="BN85" i="20" s="1"/>
  <c r="BN86" i="20" s="1"/>
  <c r="BN87" i="20" s="1"/>
  <c r="BN88" i="20" s="1"/>
  <c r="BN89" i="20" s="1"/>
  <c r="BN90" i="20" s="1"/>
  <c r="BN91" i="20" s="1"/>
  <c r="BN92" i="20" s="1"/>
  <c r="BL69" i="20"/>
  <c r="AO69" i="20"/>
  <c r="AB69" i="20" s="1"/>
  <c r="M69" i="20"/>
  <c r="BU68" i="20"/>
  <c r="BL68" i="20"/>
  <c r="BJ68" i="20" s="1"/>
  <c r="AO68" i="20"/>
  <c r="M68" i="20"/>
  <c r="BL67" i="20"/>
  <c r="BK67" i="20" s="1"/>
  <c r="AO67" i="20"/>
  <c r="AP67" i="20" s="1"/>
  <c r="M67" i="20"/>
  <c r="BL66" i="20"/>
  <c r="BK66" i="20" s="1"/>
  <c r="AO66" i="20"/>
  <c r="AP66" i="20" s="1"/>
  <c r="M66" i="20"/>
  <c r="BL65" i="20"/>
  <c r="AX65" i="20" s="1"/>
  <c r="AO65" i="20"/>
  <c r="AB65" i="20" s="1"/>
  <c r="M65" i="20"/>
  <c r="BL64" i="20"/>
  <c r="BC64" i="20" s="1"/>
  <c r="AO64" i="20"/>
  <c r="M64" i="20"/>
  <c r="BW63" i="20"/>
  <c r="BL63" i="20"/>
  <c r="AO63" i="20"/>
  <c r="AP63" i="20" s="1"/>
  <c r="M63" i="20"/>
  <c r="BW62" i="20"/>
  <c r="BL62" i="20"/>
  <c r="BJ62" i="20" s="1"/>
  <c r="AO62" i="20"/>
  <c r="AC62" i="20" s="1"/>
  <c r="M62" i="20"/>
  <c r="BW61" i="20"/>
  <c r="BL61" i="20"/>
  <c r="AO61" i="20"/>
  <c r="U61" i="20"/>
  <c r="M61" i="20"/>
  <c r="CB60" i="20"/>
  <c r="BL60" i="20"/>
  <c r="AO60" i="20"/>
  <c r="M60" i="20"/>
  <c r="E56" i="20"/>
  <c r="BN53" i="20"/>
  <c r="BN54" i="20" s="1"/>
  <c r="BN55" i="20" s="1"/>
  <c r="BN56" i="20" s="1"/>
  <c r="BN57" i="20" s="1"/>
  <c r="BN58" i="20" s="1"/>
  <c r="BN59" i="20" s="1"/>
  <c r="BN60" i="20" s="1"/>
  <c r="BN61" i="20" s="1"/>
  <c r="BN62" i="20" s="1"/>
  <c r="BN63" i="20" s="1"/>
  <c r="BN64" i="20" s="1"/>
  <c r="BN65" i="20" s="1"/>
  <c r="BN66" i="20" s="1"/>
  <c r="BN67" i="20" s="1"/>
  <c r="BN68" i="20" s="1"/>
  <c r="BN69" i="20" s="1"/>
  <c r="BN70" i="20" s="1"/>
  <c r="BN71" i="20" s="1"/>
  <c r="BL48" i="20"/>
  <c r="BG48" i="20" s="1"/>
  <c r="AO48" i="20"/>
  <c r="AN48" i="20"/>
  <c r="AI48" i="20" s="1"/>
  <c r="M48" i="20"/>
  <c r="BU47" i="20"/>
  <c r="BL47" i="20"/>
  <c r="BK47" i="20" s="1"/>
  <c r="AO47" i="20"/>
  <c r="AC47" i="20" s="1"/>
  <c r="AN47" i="20"/>
  <c r="AK47" i="20" s="1"/>
  <c r="M47" i="20"/>
  <c r="BL46" i="20"/>
  <c r="BI46" i="20" s="1"/>
  <c r="AO46" i="20"/>
  <c r="AC46" i="20" s="1"/>
  <c r="AN46" i="20"/>
  <c r="AH46" i="20" s="1"/>
  <c r="M46" i="20"/>
  <c r="BL45" i="20"/>
  <c r="AO45" i="20"/>
  <c r="AN45" i="20"/>
  <c r="AL45" i="20" s="1"/>
  <c r="M45" i="20"/>
  <c r="BL44" i="20"/>
  <c r="BD44" i="20" s="1"/>
  <c r="AO44" i="20"/>
  <c r="AB44" i="20" s="1"/>
  <c r="AN44" i="20"/>
  <c r="AL44" i="20" s="1"/>
  <c r="M44" i="20"/>
  <c r="BL43" i="20"/>
  <c r="BJ43" i="20" s="1"/>
  <c r="AO43" i="20"/>
  <c r="AB43" i="20" s="1"/>
  <c r="AN43" i="20"/>
  <c r="AL43" i="20" s="1"/>
  <c r="M43" i="20"/>
  <c r="BW42" i="20"/>
  <c r="BL42" i="20"/>
  <c r="BD42" i="20" s="1"/>
  <c r="AO42" i="20"/>
  <c r="AB42" i="20" s="1"/>
  <c r="AN42" i="20"/>
  <c r="AG42" i="20" s="1"/>
  <c r="M42" i="20"/>
  <c r="BW41" i="20"/>
  <c r="BL41" i="20"/>
  <c r="BJ41" i="20" s="1"/>
  <c r="AO41" i="20"/>
  <c r="AC41" i="20" s="1"/>
  <c r="AN41" i="20"/>
  <c r="AH41" i="20" s="1"/>
  <c r="M41" i="20"/>
  <c r="BW40" i="20"/>
  <c r="BL40" i="20"/>
  <c r="AZ40" i="20" s="1"/>
  <c r="AO40" i="20"/>
  <c r="AP40" i="20" s="1"/>
  <c r="AN40" i="20"/>
  <c r="AK40" i="20" s="1"/>
  <c r="U40" i="20"/>
  <c r="M40" i="20"/>
  <c r="CB39" i="20"/>
  <c r="BL39" i="20"/>
  <c r="AO39" i="20"/>
  <c r="M39" i="20"/>
  <c r="E35" i="20"/>
  <c r="H35" i="20" s="1"/>
  <c r="BP39" i="20" s="1"/>
  <c r="BN32" i="20"/>
  <c r="BN33" i="20" s="1"/>
  <c r="BN34" i="20" s="1"/>
  <c r="BN35" i="20" s="1"/>
  <c r="BN36" i="20" s="1"/>
  <c r="BN37" i="20" s="1"/>
  <c r="BN38" i="20" s="1"/>
  <c r="BN39" i="20" s="1"/>
  <c r="BN40" i="20" s="1"/>
  <c r="BN41" i="20" s="1"/>
  <c r="BM31" i="20"/>
  <c r="BL27" i="20"/>
  <c r="BH27" i="20" s="1"/>
  <c r="AO27" i="20"/>
  <c r="AP27" i="20" s="1"/>
  <c r="AN27" i="20"/>
  <c r="AI27" i="20" s="1"/>
  <c r="M27" i="20"/>
  <c r="BU26" i="20"/>
  <c r="BL26" i="20"/>
  <c r="BK26" i="20" s="1"/>
  <c r="AO26" i="20"/>
  <c r="AN26" i="20"/>
  <c r="AM26" i="20" s="1"/>
  <c r="M26" i="20"/>
  <c r="BL25" i="20"/>
  <c r="AY25" i="20" s="1"/>
  <c r="AO25" i="20"/>
  <c r="AP25" i="20" s="1"/>
  <c r="AN25" i="20"/>
  <c r="AL25" i="20" s="1"/>
  <c r="M25" i="20"/>
  <c r="BL24" i="20"/>
  <c r="BE24" i="20" s="1"/>
  <c r="AO24" i="20"/>
  <c r="AC24" i="20" s="1"/>
  <c r="AN24" i="20"/>
  <c r="AG24" i="20" s="1"/>
  <c r="M24" i="20"/>
  <c r="BL23" i="20"/>
  <c r="BG23" i="20" s="1"/>
  <c r="AO23" i="20"/>
  <c r="AP23" i="20" s="1"/>
  <c r="AN23" i="20"/>
  <c r="AI23" i="20" s="1"/>
  <c r="M23" i="20"/>
  <c r="BL22" i="20"/>
  <c r="BG22" i="20" s="1"/>
  <c r="AO22" i="20"/>
  <c r="AP22" i="20" s="1"/>
  <c r="AN22" i="20"/>
  <c r="AI22" i="20" s="1"/>
  <c r="M22" i="20"/>
  <c r="BW21" i="20"/>
  <c r="BL21" i="20"/>
  <c r="BD21" i="20" s="1"/>
  <c r="AO21" i="20"/>
  <c r="AC21" i="20" s="1"/>
  <c r="AN21" i="20"/>
  <c r="M21" i="20"/>
  <c r="BW20" i="20"/>
  <c r="BL20" i="20"/>
  <c r="BD20" i="20" s="1"/>
  <c r="AO20" i="20"/>
  <c r="AC20" i="20" s="1"/>
  <c r="AN20" i="20"/>
  <c r="AF20" i="20" s="1"/>
  <c r="M20" i="20"/>
  <c r="BW19" i="20"/>
  <c r="BL19" i="20"/>
  <c r="BI19" i="20" s="1"/>
  <c r="AO19" i="20"/>
  <c r="AC19" i="20" s="1"/>
  <c r="AN19" i="20"/>
  <c r="AK19" i="20" s="1"/>
  <c r="U19" i="20"/>
  <c r="M19" i="20"/>
  <c r="CB18" i="20"/>
  <c r="BL18" i="20"/>
  <c r="AO18" i="20"/>
  <c r="M18" i="20"/>
  <c r="E14" i="20"/>
  <c r="H14" i="20" s="1"/>
  <c r="BP18" i="20" s="1"/>
  <c r="BN11" i="20"/>
  <c r="A11" i="20" s="1"/>
  <c r="DL8" i="20"/>
  <c r="DJ8" i="20"/>
  <c r="DH8" i="20"/>
  <c r="DF8" i="20"/>
  <c r="DD8" i="20"/>
  <c r="DB8" i="20"/>
  <c r="CZ8" i="20"/>
  <c r="CU8" i="20"/>
  <c r="DL7" i="20"/>
  <c r="DJ7" i="20"/>
  <c r="DH7" i="20"/>
  <c r="DF7" i="20"/>
  <c r="DD7" i="20"/>
  <c r="DB7" i="20"/>
  <c r="CZ7" i="20"/>
  <c r="CU7" i="20"/>
  <c r="DL6" i="20"/>
  <c r="DJ6" i="20"/>
  <c r="DH6" i="20"/>
  <c r="DF6" i="20"/>
  <c r="DD6" i="20"/>
  <c r="DB6" i="20"/>
  <c r="CZ6" i="20"/>
  <c r="CU6" i="20"/>
  <c r="BX6" i="20"/>
  <c r="DL5" i="20"/>
  <c r="DJ5" i="20"/>
  <c r="DH5" i="20"/>
  <c r="DF5" i="20"/>
  <c r="DD5" i="20"/>
  <c r="DB5" i="20"/>
  <c r="CZ5" i="20"/>
  <c r="CU5" i="20"/>
  <c r="BX5" i="20"/>
  <c r="S5" i="20"/>
  <c r="DL4" i="20"/>
  <c r="DJ4" i="20"/>
  <c r="DH4" i="20"/>
  <c r="DF4" i="20"/>
  <c r="DD4" i="20"/>
  <c r="DB4" i="20"/>
  <c r="CZ4" i="20"/>
  <c r="CU4" i="20"/>
  <c r="BX4" i="20"/>
  <c r="BN4" i="20"/>
  <c r="P4" i="20"/>
  <c r="AD248" i="16" s="1"/>
  <c r="J4" i="20"/>
  <c r="DL3" i="20"/>
  <c r="DJ3" i="20"/>
  <c r="DH3" i="20"/>
  <c r="DF3" i="20"/>
  <c r="DD3" i="20"/>
  <c r="DB3" i="20"/>
  <c r="CZ3" i="20"/>
  <c r="CU3" i="20"/>
  <c r="CL3" i="20"/>
  <c r="CL4" i="20" s="1"/>
  <c r="CL5" i="20" s="1"/>
  <c r="CL6" i="20" s="1"/>
  <c r="CL7" i="20" s="1"/>
  <c r="BX3" i="20"/>
  <c r="BN3" i="20"/>
  <c r="DL2" i="20"/>
  <c r="DJ2" i="20"/>
  <c r="DH2" i="20"/>
  <c r="DF2" i="20"/>
  <c r="DD2" i="20"/>
  <c r="DB2" i="20"/>
  <c r="CZ2" i="20"/>
  <c r="CU2" i="20"/>
  <c r="CJ2" i="20"/>
  <c r="CI2" i="20"/>
  <c r="AA1" i="20" s="1"/>
  <c r="CH2" i="20"/>
  <c r="BX2" i="20"/>
  <c r="BN2" i="20"/>
  <c r="CY1" i="20"/>
  <c r="CX1" i="20"/>
  <c r="CU1" i="20"/>
  <c r="CQ1" i="20"/>
  <c r="CM1" i="20"/>
  <c r="BX1" i="20"/>
  <c r="BN1" i="20"/>
  <c r="A1" i="20"/>
  <c r="AA202" i="16"/>
  <c r="BN12" i="28" l="1"/>
  <c r="AA48" i="1"/>
  <c r="AF49" i="1"/>
  <c r="BN12" i="20"/>
  <c r="BN12" i="25"/>
  <c r="A12" i="25" s="1"/>
  <c r="A11" i="25"/>
  <c r="A34" i="28"/>
  <c r="A33" i="28"/>
  <c r="B31" i="28"/>
  <c r="A31" i="28"/>
  <c r="A32" i="28"/>
  <c r="A33" i="29"/>
  <c r="A32" i="29"/>
  <c r="B31" i="29"/>
  <c r="A38" i="29"/>
  <c r="A31" i="29"/>
  <c r="A37" i="29"/>
  <c r="A35" i="29"/>
  <c r="A34" i="29"/>
  <c r="A36" i="29"/>
  <c r="AB1" i="39"/>
  <c r="A2" i="39"/>
  <c r="A2" i="38"/>
  <c r="AB1" i="38"/>
  <c r="A2" i="37"/>
  <c r="AB1" i="37"/>
  <c r="A2" i="36"/>
  <c r="AB1" i="36"/>
  <c r="AB1" i="35"/>
  <c r="A2" i="35"/>
  <c r="A2" i="34"/>
  <c r="AB1" i="34"/>
  <c r="A2" i="33"/>
  <c r="AB1" i="33"/>
  <c r="A2" i="32"/>
  <c r="AB1" i="32"/>
  <c r="AB1" i="31"/>
  <c r="A2" i="31"/>
  <c r="A2" i="30"/>
  <c r="AB1" i="30"/>
  <c r="A34" i="22"/>
  <c r="A33" i="22"/>
  <c r="A32" i="22"/>
  <c r="B31" i="22"/>
  <c r="A31" i="22"/>
  <c r="A34" i="24"/>
  <c r="A33" i="24"/>
  <c r="A32" i="24"/>
  <c r="B31" i="24"/>
  <c r="A31" i="24"/>
  <c r="BN12" i="26"/>
  <c r="BN13" i="28"/>
  <c r="A13" i="28" s="1"/>
  <c r="A12" i="28"/>
  <c r="BN12" i="29"/>
  <c r="A12" i="29" s="1"/>
  <c r="A11" i="29"/>
  <c r="B49" i="37"/>
  <c r="BN12" i="22"/>
  <c r="A11" i="22"/>
  <c r="A47" i="23"/>
  <c r="A43" i="23"/>
  <c r="A39" i="23"/>
  <c r="B31" i="23"/>
  <c r="A38" i="23"/>
  <c r="A31" i="23"/>
  <c r="A46" i="23"/>
  <c r="A42" i="23"/>
  <c r="A37" i="23"/>
  <c r="A50" i="23"/>
  <c r="A36" i="23"/>
  <c r="A49" i="23"/>
  <c r="A45" i="23"/>
  <c r="A41" i="23"/>
  <c r="A35" i="23"/>
  <c r="A48" i="23"/>
  <c r="A44" i="23"/>
  <c r="A40" i="23"/>
  <c r="A33" i="23"/>
  <c r="A32" i="23"/>
  <c r="A34" i="23"/>
  <c r="BN13" i="24"/>
  <c r="A13" i="24" s="1"/>
  <c r="A12" i="24"/>
  <c r="A37" i="26"/>
  <c r="A36" i="26"/>
  <c r="A35" i="26"/>
  <c r="A34" i="26"/>
  <c r="A33" i="26"/>
  <c r="A39" i="26"/>
  <c r="B31" i="26"/>
  <c r="A38" i="26"/>
  <c r="A31" i="26"/>
  <c r="A32" i="26"/>
  <c r="BN12" i="23"/>
  <c r="A11" i="23"/>
  <c r="A33" i="27"/>
  <c r="A32" i="27"/>
  <c r="B31" i="27"/>
  <c r="A31" i="27"/>
  <c r="A35" i="27"/>
  <c r="A34" i="27"/>
  <c r="BM52" i="21"/>
  <c r="A31" i="21"/>
  <c r="A33" i="21"/>
  <c r="A32" i="21"/>
  <c r="B31" i="21"/>
  <c r="BN12" i="27"/>
  <c r="S27" i="36"/>
  <c r="A34" i="20"/>
  <c r="A40" i="20"/>
  <c r="A33" i="20"/>
  <c r="A32" i="20"/>
  <c r="A39" i="20"/>
  <c r="B31" i="20"/>
  <c r="A38" i="20"/>
  <c r="A31" i="20"/>
  <c r="A37" i="20"/>
  <c r="A36" i="20"/>
  <c r="A41" i="20"/>
  <c r="A35" i="20"/>
  <c r="B31" i="25"/>
  <c r="A31" i="25"/>
  <c r="A33" i="25"/>
  <c r="A32" i="25"/>
  <c r="CG31" i="24"/>
  <c r="CG32" i="24" s="1"/>
  <c r="CG33" i="24" s="1"/>
  <c r="CG34" i="24" s="1"/>
  <c r="CG35" i="24" s="1"/>
  <c r="CG36" i="24" s="1"/>
  <c r="CG37" i="24" s="1"/>
  <c r="CG38" i="24" s="1"/>
  <c r="CG39" i="24" s="1"/>
  <c r="CG40" i="24" s="1"/>
  <c r="CG41" i="24" s="1"/>
  <c r="CG42" i="24" s="1"/>
  <c r="CG43" i="24" s="1"/>
  <c r="CG44" i="24" s="1"/>
  <c r="CG45" i="24" s="1"/>
  <c r="CG46" i="24" s="1"/>
  <c r="CG47" i="24" s="1"/>
  <c r="CG48" i="24" s="1"/>
  <c r="CG49" i="24" s="1"/>
  <c r="CG50" i="24" s="1"/>
  <c r="CG51" i="24" s="1"/>
  <c r="AO12" i="20"/>
  <c r="AO11" i="20"/>
  <c r="AO53" i="25"/>
  <c r="AO54" i="25"/>
  <c r="AO53" i="21"/>
  <c r="AO54" i="21"/>
  <c r="AO96" i="21"/>
  <c r="AO95" i="21"/>
  <c r="AO96" i="22"/>
  <c r="AO95" i="22"/>
  <c r="AO54" i="23"/>
  <c r="AO53" i="23"/>
  <c r="AO75" i="23"/>
  <c r="AO74" i="23"/>
  <c r="AO75" i="25"/>
  <c r="AO74" i="25"/>
  <c r="AO96" i="28"/>
  <c r="AO95" i="28"/>
  <c r="AO117" i="20"/>
  <c r="AO116" i="20"/>
  <c r="AO75" i="22"/>
  <c r="AO74" i="22"/>
  <c r="AO116" i="26"/>
  <c r="AO117" i="26"/>
  <c r="AO96" i="29"/>
  <c r="AO95" i="29"/>
  <c r="AO117" i="24"/>
  <c r="AO116" i="24"/>
  <c r="AO54" i="20"/>
  <c r="AO53" i="20"/>
  <c r="AO54" i="22"/>
  <c r="AO53" i="22"/>
  <c r="AO137" i="25"/>
  <c r="AO138" i="25"/>
  <c r="AO96" i="26"/>
  <c r="AO95" i="26"/>
  <c r="AO12" i="28"/>
  <c r="AO11" i="28"/>
  <c r="AO33" i="28"/>
  <c r="AO32" i="28"/>
  <c r="AO54" i="28"/>
  <c r="AO53" i="28"/>
  <c r="AO12" i="29"/>
  <c r="AO11" i="29"/>
  <c r="AO117" i="29"/>
  <c r="AO116" i="29"/>
  <c r="AO74" i="28"/>
  <c r="AO75" i="28"/>
  <c r="AO137" i="29"/>
  <c r="AO138" i="29"/>
  <c r="AO12" i="22"/>
  <c r="AO11" i="22"/>
  <c r="AO32" i="22"/>
  <c r="AO33" i="22"/>
  <c r="AO12" i="24"/>
  <c r="AO11" i="24"/>
  <c r="AO74" i="24"/>
  <c r="AO75" i="24"/>
  <c r="AO96" i="24"/>
  <c r="AO95" i="24"/>
  <c r="AO138" i="24"/>
  <c r="AO137" i="24"/>
  <c r="AO117" i="27"/>
  <c r="AO116" i="27"/>
  <c r="AO138" i="27"/>
  <c r="AO137" i="27"/>
  <c r="AO96" i="20"/>
  <c r="AO95" i="20"/>
  <c r="AO11" i="23"/>
  <c r="AO12" i="23"/>
  <c r="AO33" i="24"/>
  <c r="AO32" i="24"/>
  <c r="AO117" i="25"/>
  <c r="AO116" i="25"/>
  <c r="AO12" i="26"/>
  <c r="AO11" i="26"/>
  <c r="AO75" i="26"/>
  <c r="AO74" i="26"/>
  <c r="AO75" i="27"/>
  <c r="AO74" i="27"/>
  <c r="AO95" i="27"/>
  <c r="AO96" i="27"/>
  <c r="AO138" i="28"/>
  <c r="AO137" i="28"/>
  <c r="AO53" i="29"/>
  <c r="AO54" i="29"/>
  <c r="AO74" i="20"/>
  <c r="AO75" i="20"/>
  <c r="AO12" i="25"/>
  <c r="AO11" i="25"/>
  <c r="AO117" i="21"/>
  <c r="AO116" i="21"/>
  <c r="AO137" i="21"/>
  <c r="AO138" i="21"/>
  <c r="AO116" i="22"/>
  <c r="AO117" i="22"/>
  <c r="AO138" i="22"/>
  <c r="AO137" i="22"/>
  <c r="AO95" i="23"/>
  <c r="AO96" i="23"/>
  <c r="AO117" i="23"/>
  <c r="AO116" i="23"/>
  <c r="AO138" i="23"/>
  <c r="AO137" i="23"/>
  <c r="AO54" i="24"/>
  <c r="AO53" i="24"/>
  <c r="AO54" i="26"/>
  <c r="AO53" i="26"/>
  <c r="AO11" i="27"/>
  <c r="AO12" i="27"/>
  <c r="AO33" i="29"/>
  <c r="AO32" i="29"/>
  <c r="AO33" i="20"/>
  <c r="AO32" i="20"/>
  <c r="AO33" i="25"/>
  <c r="AO32" i="25"/>
  <c r="AO75" i="29"/>
  <c r="AO74" i="29"/>
  <c r="AO138" i="20"/>
  <c r="AO137" i="20"/>
  <c r="AO12" i="21"/>
  <c r="AO11" i="21"/>
  <c r="AO33" i="21"/>
  <c r="AO32" i="21"/>
  <c r="AO75" i="21"/>
  <c r="AO74" i="21"/>
  <c r="AO33" i="23"/>
  <c r="AO32" i="23"/>
  <c r="AO96" i="25"/>
  <c r="AO95" i="25"/>
  <c r="AO32" i="26"/>
  <c r="AO33" i="26"/>
  <c r="AO138" i="26"/>
  <c r="AO137" i="26"/>
  <c r="AO33" i="27"/>
  <c r="AO32" i="27"/>
  <c r="AO54" i="27"/>
  <c r="AO53" i="27"/>
  <c r="AO117" i="28"/>
  <c r="AO116" i="28"/>
  <c r="BQ83" i="23"/>
  <c r="BQ82" i="23"/>
  <c r="BQ84" i="23"/>
  <c r="BQ41" i="24"/>
  <c r="BQ40" i="24"/>
  <c r="BQ42" i="24"/>
  <c r="BQ103" i="21"/>
  <c r="BQ104" i="21"/>
  <c r="BQ105" i="21"/>
  <c r="BQ19" i="22"/>
  <c r="BQ21" i="22"/>
  <c r="BQ20" i="22"/>
  <c r="H77" i="24"/>
  <c r="BP81" i="24" s="1"/>
  <c r="BQ40" i="25"/>
  <c r="BQ41" i="25"/>
  <c r="BQ42" i="25"/>
  <c r="H140" i="28"/>
  <c r="BP144" i="28" s="1"/>
  <c r="BQ41" i="29"/>
  <c r="BQ42" i="29"/>
  <c r="BQ40" i="29"/>
  <c r="H56" i="29"/>
  <c r="BP60" i="29" s="1"/>
  <c r="H77" i="21"/>
  <c r="BP81" i="21" s="1"/>
  <c r="H56" i="22"/>
  <c r="BP60" i="22" s="1"/>
  <c r="H140" i="25"/>
  <c r="BP144" i="25" s="1"/>
  <c r="H119" i="26"/>
  <c r="BP123" i="26" s="1"/>
  <c r="BQ41" i="21"/>
  <c r="BQ42" i="21"/>
  <c r="BQ40" i="21"/>
  <c r="H119" i="21"/>
  <c r="BP123" i="21" s="1"/>
  <c r="H140" i="21"/>
  <c r="BP144" i="21" s="1"/>
  <c r="BQ41" i="22"/>
  <c r="BQ42" i="22"/>
  <c r="BQ40" i="22"/>
  <c r="H56" i="24"/>
  <c r="BP60" i="24" s="1"/>
  <c r="BQ20" i="26"/>
  <c r="BQ19" i="26"/>
  <c r="BQ21" i="26"/>
  <c r="H119" i="28"/>
  <c r="BP123" i="28" s="1"/>
  <c r="H56" i="21"/>
  <c r="BP60" i="21" s="1"/>
  <c r="BQ21" i="23"/>
  <c r="BQ20" i="23"/>
  <c r="BQ19" i="23"/>
  <c r="H119" i="25"/>
  <c r="BP123" i="25" s="1"/>
  <c r="H98" i="26"/>
  <c r="BP102" i="26" s="1"/>
  <c r="H119" i="27"/>
  <c r="BP123" i="27" s="1"/>
  <c r="H140" i="27"/>
  <c r="BP144" i="27" s="1"/>
  <c r="BQ19" i="28"/>
  <c r="BQ20" i="28"/>
  <c r="BQ21" i="28"/>
  <c r="H98" i="28"/>
  <c r="BP102" i="28" s="1"/>
  <c r="H119" i="22"/>
  <c r="BP123" i="22" s="1"/>
  <c r="H140" i="22"/>
  <c r="BP144" i="22" s="1"/>
  <c r="BQ41" i="23"/>
  <c r="BQ40" i="23"/>
  <c r="BQ42" i="23"/>
  <c r="BQ21" i="24"/>
  <c r="BQ20" i="24"/>
  <c r="BQ19" i="24"/>
  <c r="H98" i="27"/>
  <c r="BP102" i="27" s="1"/>
  <c r="H77" i="28"/>
  <c r="BP81" i="28" s="1"/>
  <c r="H119" i="29"/>
  <c r="BP123" i="29" s="1"/>
  <c r="BQ19" i="20"/>
  <c r="BQ21" i="20"/>
  <c r="BQ20" i="20"/>
  <c r="H119" i="20"/>
  <c r="BP123" i="20" s="1"/>
  <c r="BQ145" i="20"/>
  <c r="BQ146" i="20"/>
  <c r="BQ147" i="20"/>
  <c r="BQ19" i="21"/>
  <c r="BQ20" i="21"/>
  <c r="BQ21" i="21"/>
  <c r="H98" i="22"/>
  <c r="BP102" i="22" s="1"/>
  <c r="H140" i="23"/>
  <c r="BP144" i="23" s="1"/>
  <c r="H98" i="25"/>
  <c r="BP102" i="25" s="1"/>
  <c r="H77" i="26"/>
  <c r="BP81" i="26" s="1"/>
  <c r="H77" i="27"/>
  <c r="BP81" i="27" s="1"/>
  <c r="H98" i="29"/>
  <c r="BP102" i="29" s="1"/>
  <c r="H56" i="23"/>
  <c r="BP60" i="23" s="1"/>
  <c r="H98" i="23"/>
  <c r="BP102" i="23" s="1"/>
  <c r="H119" i="23"/>
  <c r="BP123" i="23" s="1"/>
  <c r="H119" i="24"/>
  <c r="BP123" i="24" s="1"/>
  <c r="BQ20" i="25"/>
  <c r="BQ21" i="25"/>
  <c r="BQ19" i="25"/>
  <c r="H77" i="25"/>
  <c r="BP81" i="25" s="1"/>
  <c r="H56" i="26"/>
  <c r="BP60" i="26" s="1"/>
  <c r="BQ20" i="27"/>
  <c r="BQ19" i="27"/>
  <c r="BQ21" i="27"/>
  <c r="BQ42" i="28"/>
  <c r="BQ41" i="28"/>
  <c r="BQ40" i="28"/>
  <c r="H56" i="28"/>
  <c r="BP60" i="28" s="1"/>
  <c r="BQ19" i="29"/>
  <c r="BQ20" i="29"/>
  <c r="BQ21" i="29"/>
  <c r="H77" i="29"/>
  <c r="BP81" i="29" s="1"/>
  <c r="H140" i="29"/>
  <c r="BP144" i="29" s="1"/>
  <c r="BQ42" i="20"/>
  <c r="BQ40" i="20"/>
  <c r="BQ41" i="20"/>
  <c r="H56" i="20"/>
  <c r="BP60" i="20" s="1"/>
  <c r="H77" i="20"/>
  <c r="BP81" i="20" s="1"/>
  <c r="H98" i="20"/>
  <c r="BP102" i="20" s="1"/>
  <c r="H77" i="22"/>
  <c r="BP81" i="22" s="1"/>
  <c r="H98" i="24"/>
  <c r="BP102" i="24" s="1"/>
  <c r="H140" i="24"/>
  <c r="BP144" i="24" s="1"/>
  <c r="H56" i="25"/>
  <c r="BP60" i="25" s="1"/>
  <c r="BQ40" i="26"/>
  <c r="BQ42" i="26"/>
  <c r="BQ41" i="26"/>
  <c r="H140" i="26"/>
  <c r="BP144" i="26" s="1"/>
  <c r="BQ42" i="27"/>
  <c r="BQ40" i="27"/>
  <c r="BQ41" i="27"/>
  <c r="H56" i="27"/>
  <c r="BP60" i="27" s="1"/>
  <c r="C20" i="27"/>
  <c r="C20" i="29"/>
  <c r="BD144" i="20"/>
  <c r="BH18" i="24"/>
  <c r="BD102" i="25"/>
  <c r="BI81" i="27"/>
  <c r="BF102" i="27"/>
  <c r="AY81" i="28"/>
  <c r="BD102" i="29"/>
  <c r="BI18" i="20"/>
  <c r="AU123" i="20"/>
  <c r="BA18" i="21"/>
  <c r="BI39" i="23"/>
  <c r="AT123" i="23"/>
  <c r="BF144" i="23"/>
  <c r="AS123" i="24"/>
  <c r="AR123" i="24" s="1"/>
  <c r="AR134" i="24" s="1"/>
  <c r="BH81" i="25"/>
  <c r="AT18" i="27"/>
  <c r="BE60" i="28"/>
  <c r="AT18" i="29"/>
  <c r="BB81" i="29"/>
  <c r="BE144" i="29"/>
  <c r="BD81" i="20"/>
  <c r="BH81" i="22"/>
  <c r="BE18" i="25"/>
  <c r="BF144" i="26"/>
  <c r="BA39" i="27"/>
  <c r="AY123" i="29"/>
  <c r="AY39" i="20"/>
  <c r="BD81" i="23"/>
  <c r="AU39" i="24"/>
  <c r="AV39" i="24" s="1"/>
  <c r="BG81" i="24"/>
  <c r="BA144" i="24"/>
  <c r="BH60" i="25"/>
  <c r="BH60" i="29"/>
  <c r="BH18" i="22"/>
  <c r="BH144" i="25"/>
  <c r="BG123" i="26"/>
  <c r="AW39" i="29"/>
  <c r="BH39" i="21"/>
  <c r="BF144" i="21"/>
  <c r="BE60" i="24"/>
  <c r="BI123" i="28"/>
  <c r="BE18" i="23"/>
  <c r="BE123" i="25"/>
  <c r="BH102" i="28"/>
  <c r="AU102" i="21"/>
  <c r="BI144" i="22"/>
  <c r="BH123" i="27"/>
  <c r="BG144" i="27"/>
  <c r="AW18" i="28"/>
  <c r="DC2" i="24"/>
  <c r="DG2" i="28"/>
  <c r="DM8" i="25"/>
  <c r="DC143" i="29"/>
  <c r="CZ141" i="29" s="1"/>
  <c r="O138" i="29" s="1"/>
  <c r="DC80" i="27"/>
  <c r="CZ78" i="27" s="1"/>
  <c r="O75" i="27" s="1"/>
  <c r="DC59" i="24"/>
  <c r="CZ57" i="24" s="1"/>
  <c r="O54" i="24" s="1"/>
  <c r="DC143" i="25"/>
  <c r="CZ141" i="25" s="1"/>
  <c r="O138" i="25" s="1"/>
  <c r="DG2" i="26"/>
  <c r="DC101" i="24"/>
  <c r="CZ99" i="24" s="1"/>
  <c r="O96" i="24" s="1"/>
  <c r="DC17" i="27"/>
  <c r="CZ15" i="27" s="1"/>
  <c r="O12" i="27" s="1"/>
  <c r="DC38" i="29"/>
  <c r="CZ36" i="29" s="1"/>
  <c r="O33" i="29" s="1"/>
  <c r="DC122" i="23"/>
  <c r="CZ120" i="23" s="1"/>
  <c r="O117" i="23" s="1"/>
  <c r="DC101" i="20"/>
  <c r="CZ99" i="20" s="1"/>
  <c r="O96" i="20" s="1"/>
  <c r="DC17" i="25"/>
  <c r="CZ15" i="25" s="1"/>
  <c r="O12" i="25" s="1"/>
  <c r="AC81" i="23"/>
  <c r="AC92" i="23" s="1"/>
  <c r="DC80" i="23"/>
  <c r="CZ78" i="23" s="1"/>
  <c r="O75" i="23" s="1"/>
  <c r="AC144" i="23"/>
  <c r="AC155" i="23" s="1"/>
  <c r="DC143" i="23"/>
  <c r="CZ141" i="23" s="1"/>
  <c r="O138" i="23" s="1"/>
  <c r="AO92" i="24"/>
  <c r="DC80" i="24"/>
  <c r="CZ78" i="24" s="1"/>
  <c r="O75" i="24" s="1"/>
  <c r="DC122" i="25"/>
  <c r="CZ120" i="25" s="1"/>
  <c r="O117" i="25" s="1"/>
  <c r="AO92" i="26"/>
  <c r="DC80" i="26"/>
  <c r="CZ78" i="26" s="1"/>
  <c r="O75" i="26" s="1"/>
  <c r="AP39" i="27"/>
  <c r="AP50" i="27" s="1"/>
  <c r="DC38" i="27"/>
  <c r="CZ36" i="27" s="1"/>
  <c r="O33" i="27" s="1"/>
  <c r="DC122" i="27"/>
  <c r="CZ120" i="27" s="1"/>
  <c r="O117" i="27" s="1"/>
  <c r="AO92" i="28"/>
  <c r="DC80" i="28"/>
  <c r="CZ78" i="28" s="1"/>
  <c r="O75" i="28" s="1"/>
  <c r="AO113" i="29"/>
  <c r="DC101" i="29"/>
  <c r="CZ99" i="29" s="1"/>
  <c r="O96" i="29" s="1"/>
  <c r="AB102" i="21"/>
  <c r="AB113" i="21" s="1"/>
  <c r="DC101" i="21"/>
  <c r="CZ99" i="21" s="1"/>
  <c r="O96" i="21" s="1"/>
  <c r="AO50" i="22"/>
  <c r="DC38" i="22"/>
  <c r="CZ36" i="22" s="1"/>
  <c r="O33" i="22" s="1"/>
  <c r="AC39" i="23"/>
  <c r="AC50" i="23" s="1"/>
  <c r="DC38" i="23"/>
  <c r="CZ36" i="23" s="1"/>
  <c r="O33" i="23" s="1"/>
  <c r="AP102" i="26"/>
  <c r="AP113" i="26" s="1"/>
  <c r="DC101" i="26"/>
  <c r="CZ99" i="26" s="1"/>
  <c r="O96" i="26" s="1"/>
  <c r="AO29" i="20"/>
  <c r="DC17" i="20"/>
  <c r="CZ15" i="20" s="1"/>
  <c r="O12" i="20" s="1"/>
  <c r="AO134" i="20"/>
  <c r="DC122" i="20"/>
  <c r="CZ120" i="20" s="1"/>
  <c r="O117" i="20" s="1"/>
  <c r="AB60" i="21"/>
  <c r="AB71" i="21" s="1"/>
  <c r="DC59" i="21"/>
  <c r="CZ57" i="21" s="1"/>
  <c r="O54" i="21" s="1"/>
  <c r="AO134" i="21"/>
  <c r="DC122" i="21"/>
  <c r="CZ120" i="21" s="1"/>
  <c r="O117" i="21" s="1"/>
  <c r="AO71" i="22"/>
  <c r="DC59" i="22"/>
  <c r="CZ57" i="22" s="1"/>
  <c r="O54" i="22" s="1"/>
  <c r="AP144" i="22"/>
  <c r="AP155" i="22" s="1"/>
  <c r="DC143" i="22"/>
  <c r="CZ141" i="22" s="1"/>
  <c r="O138" i="22" s="1"/>
  <c r="AO113" i="23"/>
  <c r="DC101" i="23"/>
  <c r="CZ99" i="23" s="1"/>
  <c r="O96" i="23" s="1"/>
  <c r="AP18" i="24"/>
  <c r="AP29" i="24" s="1"/>
  <c r="DC17" i="24"/>
  <c r="CZ15" i="24" s="1"/>
  <c r="O12" i="24" s="1"/>
  <c r="AB39" i="24"/>
  <c r="AB50" i="24" s="1"/>
  <c r="DC38" i="24"/>
  <c r="CZ36" i="24" s="1"/>
  <c r="O33" i="24" s="1"/>
  <c r="AO155" i="24"/>
  <c r="DC143" i="24"/>
  <c r="CZ141" i="24" s="1"/>
  <c r="O138" i="24" s="1"/>
  <c r="AP60" i="25"/>
  <c r="AP71" i="25" s="1"/>
  <c r="DC59" i="25"/>
  <c r="CZ57" i="25" s="1"/>
  <c r="O54" i="25" s="1"/>
  <c r="AO134" i="26"/>
  <c r="DC122" i="26"/>
  <c r="CZ120" i="26" s="1"/>
  <c r="O117" i="26" s="1"/>
  <c r="AO71" i="27"/>
  <c r="DC59" i="27"/>
  <c r="CZ57" i="27" s="1"/>
  <c r="O54" i="27" s="1"/>
  <c r="AC102" i="28"/>
  <c r="AC113" i="28" s="1"/>
  <c r="DC101" i="28"/>
  <c r="CZ99" i="28" s="1"/>
  <c r="O96" i="28" s="1"/>
  <c r="AC60" i="20"/>
  <c r="AC71" i="20" s="1"/>
  <c r="DC59" i="20"/>
  <c r="CZ57" i="20" s="1"/>
  <c r="O54" i="20" s="1"/>
  <c r="AO92" i="22"/>
  <c r="DC80" i="22"/>
  <c r="CZ78" i="22" s="1"/>
  <c r="O75" i="22" s="1"/>
  <c r="AO29" i="23"/>
  <c r="DC17" i="23"/>
  <c r="CZ15" i="23" s="1"/>
  <c r="O12" i="23" s="1"/>
  <c r="AC144" i="26"/>
  <c r="AC155" i="26" s="1"/>
  <c r="DC143" i="26"/>
  <c r="CZ141" i="26" s="1"/>
  <c r="O138" i="26" s="1"/>
  <c r="AC144" i="27"/>
  <c r="AC155" i="27" s="1"/>
  <c r="DC143" i="27"/>
  <c r="CZ141" i="27" s="1"/>
  <c r="O138" i="27" s="1"/>
  <c r="AP144" i="20"/>
  <c r="AP155" i="20" s="1"/>
  <c r="DC143" i="20"/>
  <c r="CZ141" i="20" s="1"/>
  <c r="O138" i="20" s="1"/>
  <c r="DC80" i="21"/>
  <c r="CZ78" i="21" s="1"/>
  <c r="O75" i="21" s="1"/>
  <c r="AO71" i="23"/>
  <c r="DC59" i="23"/>
  <c r="CZ57" i="23" s="1"/>
  <c r="O54" i="23" s="1"/>
  <c r="AO92" i="25"/>
  <c r="DC80" i="25"/>
  <c r="CZ78" i="25" s="1"/>
  <c r="O75" i="25" s="1"/>
  <c r="AB39" i="28"/>
  <c r="AB50" i="28" s="1"/>
  <c r="DC38" i="28"/>
  <c r="CZ36" i="28" s="1"/>
  <c r="O33" i="28" s="1"/>
  <c r="AB123" i="28"/>
  <c r="AB134" i="28" s="1"/>
  <c r="DC122" i="28"/>
  <c r="CZ120" i="28" s="1"/>
  <c r="O117" i="28" s="1"/>
  <c r="AO29" i="29"/>
  <c r="DC17" i="29"/>
  <c r="CZ15" i="29" s="1"/>
  <c r="O12" i="29" s="1"/>
  <c r="AB81" i="20"/>
  <c r="AB92" i="20" s="1"/>
  <c r="DC80" i="20"/>
  <c r="CZ78" i="20" s="1"/>
  <c r="O75" i="20" s="1"/>
  <c r="AC18" i="21"/>
  <c r="AC29" i="21" s="1"/>
  <c r="DC17" i="21"/>
  <c r="CZ15" i="21" s="1"/>
  <c r="O12" i="21" s="1"/>
  <c r="AO155" i="21"/>
  <c r="DC143" i="21"/>
  <c r="CZ141" i="21" s="1"/>
  <c r="O138" i="21" s="1"/>
  <c r="AO29" i="22"/>
  <c r="DC17" i="22"/>
  <c r="CZ15" i="22" s="1"/>
  <c r="O12" i="22" s="1"/>
  <c r="AP102" i="22"/>
  <c r="AP113" i="22" s="1"/>
  <c r="DC101" i="22"/>
  <c r="CZ99" i="22" s="1"/>
  <c r="O96" i="22" s="1"/>
  <c r="AO134" i="24"/>
  <c r="DC122" i="24"/>
  <c r="CZ120" i="24" s="1"/>
  <c r="O117" i="24" s="1"/>
  <c r="AC39" i="26"/>
  <c r="AC50" i="26" s="1"/>
  <c r="DC38" i="26"/>
  <c r="CZ36" i="26" s="1"/>
  <c r="O33" i="26" s="1"/>
  <c r="AC18" i="28"/>
  <c r="AC29" i="28" s="1"/>
  <c r="DC17" i="28"/>
  <c r="CZ15" i="28" s="1"/>
  <c r="O12" i="28" s="1"/>
  <c r="AP144" i="28"/>
  <c r="AP155" i="28" s="1"/>
  <c r="DC143" i="28"/>
  <c r="CZ141" i="28" s="1"/>
  <c r="O138" i="28" s="1"/>
  <c r="AB60" i="29"/>
  <c r="AB71" i="29" s="1"/>
  <c r="DC59" i="29"/>
  <c r="CZ57" i="29" s="1"/>
  <c r="O54" i="29" s="1"/>
  <c r="AO134" i="29"/>
  <c r="DC122" i="29"/>
  <c r="CZ120" i="29" s="1"/>
  <c r="O117" i="29" s="1"/>
  <c r="AC39" i="21"/>
  <c r="AC50" i="21" s="1"/>
  <c r="DC38" i="21"/>
  <c r="CZ36" i="21" s="1"/>
  <c r="O33" i="21" s="1"/>
  <c r="AO134" i="22"/>
  <c r="DC122" i="22"/>
  <c r="CZ120" i="22" s="1"/>
  <c r="O117" i="22" s="1"/>
  <c r="AO113" i="25"/>
  <c r="DC101" i="25"/>
  <c r="CZ99" i="25" s="1"/>
  <c r="O96" i="25" s="1"/>
  <c r="AO71" i="26"/>
  <c r="DC59" i="26"/>
  <c r="CZ57" i="26" s="1"/>
  <c r="O54" i="26" s="1"/>
  <c r="AO113" i="27"/>
  <c r="DC101" i="27"/>
  <c r="CZ99" i="27" s="1"/>
  <c r="O96" i="27" s="1"/>
  <c r="AB60" i="28"/>
  <c r="AB71" i="28" s="1"/>
  <c r="DC59" i="28"/>
  <c r="CZ57" i="28" s="1"/>
  <c r="O54" i="28" s="1"/>
  <c r="AC81" i="29"/>
  <c r="AC92" i="29" s="1"/>
  <c r="DC80" i="29"/>
  <c r="CZ78" i="29" s="1"/>
  <c r="O75" i="29" s="1"/>
  <c r="AC39" i="20"/>
  <c r="AC50" i="20" s="1"/>
  <c r="DC38" i="20"/>
  <c r="CZ36" i="20" s="1"/>
  <c r="O33" i="20" s="1"/>
  <c r="AO50" i="25"/>
  <c r="DC38" i="25"/>
  <c r="CZ36" i="25" s="1"/>
  <c r="O33" i="25" s="1"/>
  <c r="AO29" i="26"/>
  <c r="DC17" i="26"/>
  <c r="CZ15" i="26" s="1"/>
  <c r="O12" i="26" s="1"/>
  <c r="AF44" i="28"/>
  <c r="AB110" i="28"/>
  <c r="DC3" i="28"/>
  <c r="AB46" i="24"/>
  <c r="AC47" i="25"/>
  <c r="BD111" i="24"/>
  <c r="AI44" i="22"/>
  <c r="AB61" i="23"/>
  <c r="AC130" i="25"/>
  <c r="AJ27" i="22"/>
  <c r="AC23" i="20"/>
  <c r="AU61" i="22"/>
  <c r="AP132" i="21"/>
  <c r="AV61" i="22"/>
  <c r="AB151" i="29"/>
  <c r="AC22" i="20"/>
  <c r="AC103" i="20"/>
  <c r="AU40" i="21"/>
  <c r="AE21" i="23"/>
  <c r="AL43" i="25"/>
  <c r="AB22" i="26"/>
  <c r="AB83" i="29"/>
  <c r="AF42" i="21"/>
  <c r="AK20" i="26"/>
  <c r="AF46" i="25"/>
  <c r="AL20" i="26"/>
  <c r="AB152" i="29"/>
  <c r="AE19" i="25"/>
  <c r="AE44" i="26"/>
  <c r="AP65" i="29"/>
  <c r="BF61" i="22"/>
  <c r="AB102" i="27"/>
  <c r="AB113" i="27" s="1"/>
  <c r="BD126" i="25"/>
  <c r="BI111" i="24"/>
  <c r="AI43" i="21"/>
  <c r="AB109" i="22"/>
  <c r="AF22" i="26"/>
  <c r="AC60" i="26"/>
  <c r="AC71" i="26" s="1"/>
  <c r="DI4" i="20"/>
  <c r="AH43" i="21"/>
  <c r="AL44" i="22"/>
  <c r="AC145" i="24"/>
  <c r="AC21" i="27"/>
  <c r="AE26" i="23"/>
  <c r="AC27" i="23"/>
  <c r="AG48" i="23"/>
  <c r="AB123" i="24"/>
  <c r="AB134" i="24" s="1"/>
  <c r="AC20" i="27"/>
  <c r="AZ144" i="21"/>
  <c r="AK25" i="22"/>
  <c r="AK26" i="23"/>
  <c r="AP66" i="21"/>
  <c r="AC40" i="24"/>
  <c r="AB62" i="28"/>
  <c r="AB153" i="21"/>
  <c r="AJ40" i="23"/>
  <c r="BK46" i="27"/>
  <c r="AC131" i="29"/>
  <c r="BC40" i="21"/>
  <c r="AE44" i="22"/>
  <c r="AM21" i="23"/>
  <c r="AY127" i="23"/>
  <c r="AL22" i="25"/>
  <c r="AP22" i="28"/>
  <c r="AK45" i="28"/>
  <c r="AD19" i="20"/>
  <c r="AP146" i="20"/>
  <c r="AZ40" i="21"/>
  <c r="AX131" i="22"/>
  <c r="AC18" i="23"/>
  <c r="AC29" i="23" s="1"/>
  <c r="AG26" i="23"/>
  <c r="AB27" i="23"/>
  <c r="AC88" i="23"/>
  <c r="AC128" i="23"/>
  <c r="BE111" i="24"/>
  <c r="AB132" i="24"/>
  <c r="AJ19" i="25"/>
  <c r="AC145" i="26"/>
  <c r="AB25" i="27"/>
  <c r="AM42" i="28"/>
  <c r="AB81" i="28"/>
  <c r="AB92" i="28" s="1"/>
  <c r="AB145" i="28"/>
  <c r="AS48" i="29"/>
  <c r="AR48" i="29" s="1"/>
  <c r="AQ48" i="29" s="1"/>
  <c r="Z48" i="29" s="1"/>
  <c r="AK44" i="22"/>
  <c r="BC104" i="22"/>
  <c r="BC106" i="22"/>
  <c r="BC48" i="29"/>
  <c r="AT110" i="21"/>
  <c r="AV43" i="23"/>
  <c r="AS60" i="25"/>
  <c r="AR60" i="25" s="1"/>
  <c r="AR71" i="25" s="1"/>
  <c r="AT67" i="25"/>
  <c r="AL22" i="26"/>
  <c r="BI48" i="29"/>
  <c r="AY110" i="21"/>
  <c r="AV150" i="22"/>
  <c r="AZ67" i="25"/>
  <c r="AF19" i="26"/>
  <c r="AB127" i="27"/>
  <c r="BJ48" i="29"/>
  <c r="BF123" i="29"/>
  <c r="AB67" i="20"/>
  <c r="AV68" i="20"/>
  <c r="AP64" i="21"/>
  <c r="BC110" i="21"/>
  <c r="AB144" i="22"/>
  <c r="AB155" i="22" s="1"/>
  <c r="BA127" i="23"/>
  <c r="AS106" i="24"/>
  <c r="AR106" i="24" s="1"/>
  <c r="AQ106" i="24" s="1"/>
  <c r="AA106" i="24" s="1"/>
  <c r="AP145" i="24"/>
  <c r="AD22" i="25"/>
  <c r="AF42" i="25"/>
  <c r="BD67" i="25"/>
  <c r="AC127" i="27"/>
  <c r="BD43" i="20"/>
  <c r="AB125" i="20"/>
  <c r="BE110" i="21"/>
  <c r="AP25" i="22"/>
  <c r="AV44" i="22"/>
  <c r="AB66" i="22"/>
  <c r="AP89" i="22"/>
  <c r="BB41" i="23"/>
  <c r="AB60" i="23"/>
  <c r="AB71" i="23" s="1"/>
  <c r="AP82" i="23"/>
  <c r="AZ125" i="23"/>
  <c r="AC18" i="24"/>
  <c r="AC29" i="24" s="1"/>
  <c r="AG19" i="24"/>
  <c r="AH42" i="24"/>
  <c r="AC21" i="25"/>
  <c r="AC150" i="25"/>
  <c r="AE27" i="26"/>
  <c r="BE62" i="20"/>
  <c r="AP87" i="21"/>
  <c r="AS105" i="21"/>
  <c r="AR105" i="21" s="1"/>
  <c r="AQ105" i="21" s="1"/>
  <c r="AA105" i="21" s="1"/>
  <c r="BG110" i="21"/>
  <c r="BD125" i="23"/>
  <c r="AB40" i="24"/>
  <c r="AB41" i="24"/>
  <c r="AC106" i="24"/>
  <c r="AC19" i="25"/>
  <c r="AH27" i="26"/>
  <c r="AX19" i="27"/>
  <c r="AB63" i="28"/>
  <c r="AB86" i="29"/>
  <c r="AD22" i="20"/>
  <c r="AC44" i="20"/>
  <c r="AC82" i="20"/>
  <c r="AD26" i="21"/>
  <c r="BG47" i="21"/>
  <c r="AT48" i="21"/>
  <c r="AX130" i="21"/>
  <c r="AX86" i="22"/>
  <c r="AV106" i="22"/>
  <c r="AH21" i="23"/>
  <c r="AB25" i="23"/>
  <c r="AF26" i="23"/>
  <c r="AF45" i="23"/>
  <c r="AP145" i="23"/>
  <c r="AJ19" i="27"/>
  <c r="AF24" i="27"/>
  <c r="AC106" i="27"/>
  <c r="AB129" i="27"/>
  <c r="BA150" i="27"/>
  <c r="AV22" i="28"/>
  <c r="AB47" i="28"/>
  <c r="AC44" i="22"/>
  <c r="AL22" i="20"/>
  <c r="AC43" i="20"/>
  <c r="AF47" i="20"/>
  <c r="AC69" i="20"/>
  <c r="AB109" i="20"/>
  <c r="AC25" i="21"/>
  <c r="BI47" i="21"/>
  <c r="AX48" i="21"/>
  <c r="AC85" i="21"/>
  <c r="BJ86" i="21"/>
  <c r="AC128" i="21"/>
  <c r="AC43" i="22"/>
  <c r="AF44" i="22"/>
  <c r="BB44" i="22"/>
  <c r="AB43" i="25"/>
  <c r="AD47" i="25"/>
  <c r="BG67" i="25"/>
  <c r="AC107" i="25"/>
  <c r="AC108" i="25"/>
  <c r="AB127" i="25"/>
  <c r="AD19" i="28"/>
  <c r="AY22" i="28"/>
  <c r="AD25" i="28"/>
  <c r="AC68" i="28"/>
  <c r="AO92" i="20"/>
  <c r="AY22" i="21"/>
  <c r="BE46" i="21"/>
  <c r="AC60" i="21"/>
  <c r="AC71" i="21" s="1"/>
  <c r="AP67" i="21"/>
  <c r="AC89" i="21"/>
  <c r="AP153" i="21"/>
  <c r="AH44" i="22"/>
  <c r="BJ44" i="22"/>
  <c r="AX69" i="22"/>
  <c r="AB19" i="23"/>
  <c r="AP88" i="23"/>
  <c r="AP67" i="24"/>
  <c r="AX105" i="24"/>
  <c r="BA108" i="24"/>
  <c r="AF47" i="25"/>
  <c r="AT147" i="25"/>
  <c r="AB24" i="26"/>
  <c r="AS48" i="26"/>
  <c r="AR48" i="26" s="1"/>
  <c r="AQ48" i="26" s="1"/>
  <c r="AA48" i="26" s="1"/>
  <c r="BB153" i="27"/>
  <c r="AP127" i="29"/>
  <c r="BA44" i="20"/>
  <c r="AP125" i="22"/>
  <c r="AM26" i="23"/>
  <c r="AV110" i="23"/>
  <c r="AG21" i="25"/>
  <c r="AG47" i="25"/>
  <c r="AU67" i="25"/>
  <c r="AW123" i="25"/>
  <c r="AS126" i="25"/>
  <c r="AR126" i="25" s="1"/>
  <c r="AQ126" i="25" s="1"/>
  <c r="AA126" i="25" s="1"/>
  <c r="AS47" i="26"/>
  <c r="AR47" i="26" s="1"/>
  <c r="AQ47" i="26" s="1"/>
  <c r="AA47" i="26" s="1"/>
  <c r="AU48" i="26"/>
  <c r="AC82" i="26"/>
  <c r="AK41" i="29"/>
  <c r="AC132" i="20"/>
  <c r="AE22" i="21"/>
  <c r="AB27" i="24"/>
  <c r="AP42" i="24"/>
  <c r="AJ47" i="25"/>
  <c r="AB62" i="25"/>
  <c r="AV67" i="25"/>
  <c r="AY48" i="26"/>
  <c r="AP27" i="27"/>
  <c r="AC22" i="28"/>
  <c r="AP148" i="28"/>
  <c r="AP83" i="29"/>
  <c r="AS104" i="29"/>
  <c r="AR104" i="29" s="1"/>
  <c r="AQ104" i="29" s="1"/>
  <c r="Z104" i="29" s="1"/>
  <c r="AL22" i="21"/>
  <c r="AB19" i="22"/>
  <c r="AD23" i="22"/>
  <c r="AP61" i="22"/>
  <c r="AZ150" i="22"/>
  <c r="AB23" i="23"/>
  <c r="AB68" i="23"/>
  <c r="AC108" i="23"/>
  <c r="AC145" i="23"/>
  <c r="AC22" i="24"/>
  <c r="AG25" i="24"/>
  <c r="AF26" i="24"/>
  <c r="AC27" i="24"/>
  <c r="AP20" i="25"/>
  <c r="AK47" i="25"/>
  <c r="AC62" i="25"/>
  <c r="AW67" i="25"/>
  <c r="AB26" i="26"/>
  <c r="AE41" i="26"/>
  <c r="BJ48" i="26"/>
  <c r="AE23" i="28"/>
  <c r="AC61" i="28"/>
  <c r="AV148" i="28"/>
  <c r="AB66" i="29"/>
  <c r="AB87" i="29"/>
  <c r="AB146" i="29"/>
  <c r="AM22" i="21"/>
  <c r="AD23" i="21"/>
  <c r="AP108" i="21"/>
  <c r="AG23" i="22"/>
  <c r="AW103" i="22"/>
  <c r="BD132" i="22"/>
  <c r="AD26" i="23"/>
  <c r="AE41" i="23"/>
  <c r="AP43" i="23"/>
  <c r="AB64" i="23"/>
  <c r="AJ21" i="24"/>
  <c r="AM25" i="24"/>
  <c r="AI27" i="24"/>
  <c r="AM47" i="24"/>
  <c r="AL47" i="25"/>
  <c r="AB60" i="25"/>
  <c r="AB71" i="25" s="1"/>
  <c r="AX67" i="25"/>
  <c r="AC87" i="25"/>
  <c r="AD21" i="26"/>
  <c r="AI41" i="26"/>
  <c r="AF45" i="26"/>
  <c r="BK48" i="26"/>
  <c r="AP148" i="26"/>
  <c r="AF23" i="28"/>
  <c r="AS68" i="28"/>
  <c r="AR68" i="28" s="1"/>
  <c r="AQ68" i="28" s="1"/>
  <c r="AA68" i="28" s="1"/>
  <c r="AC18" i="29"/>
  <c r="AC29" i="29" s="1"/>
  <c r="BC48" i="21"/>
  <c r="AW68" i="21"/>
  <c r="AU105" i="21"/>
  <c r="AU110" i="21"/>
  <c r="BH110" i="21"/>
  <c r="BD111" i="22"/>
  <c r="BH127" i="22"/>
  <c r="BA108" i="27"/>
  <c r="AW19" i="20"/>
  <c r="AX68" i="21"/>
  <c r="AV105" i="21"/>
  <c r="AW110" i="21"/>
  <c r="BK110" i="21"/>
  <c r="BG44" i="22"/>
  <c r="AV86" i="22"/>
  <c r="AV87" i="22"/>
  <c r="AX106" i="22"/>
  <c r="BE111" i="22"/>
  <c r="AY43" i="23"/>
  <c r="AY67" i="25"/>
  <c r="AV126" i="25"/>
  <c r="AZ48" i="26"/>
  <c r="BB86" i="26"/>
  <c r="AY61" i="27"/>
  <c r="BE108" i="27"/>
  <c r="AZ22" i="28"/>
  <c r="BD106" i="28"/>
  <c r="BA43" i="29"/>
  <c r="AU104" i="29"/>
  <c r="BJ41" i="23"/>
  <c r="BG43" i="23"/>
  <c r="BG125" i="23"/>
  <c r="BJ66" i="24"/>
  <c r="AU150" i="25"/>
  <c r="AW20" i="26"/>
  <c r="BC48" i="26"/>
  <c r="AV151" i="27"/>
  <c r="BA22" i="28"/>
  <c r="BH27" i="21"/>
  <c r="AS44" i="21"/>
  <c r="AR44" i="21" s="1"/>
  <c r="AQ44" i="21" s="1"/>
  <c r="AA44" i="21" s="1"/>
  <c r="AZ110" i="21"/>
  <c r="BI130" i="21"/>
  <c r="BG25" i="22"/>
  <c r="AY86" i="22"/>
  <c r="AY103" i="22"/>
  <c r="BC46" i="23"/>
  <c r="BD110" i="23"/>
  <c r="BH24" i="24"/>
  <c r="BH27" i="24"/>
  <c r="AU61" i="24"/>
  <c r="BB67" i="25"/>
  <c r="AV68" i="25"/>
  <c r="BH150" i="25"/>
  <c r="BD20" i="26"/>
  <c r="BI48" i="26"/>
  <c r="AV131" i="26"/>
  <c r="AT132" i="26"/>
  <c r="BI124" i="27"/>
  <c r="AZ151" i="27"/>
  <c r="BG148" i="28"/>
  <c r="BF26" i="21"/>
  <c r="AW44" i="21"/>
  <c r="BB110" i="21"/>
  <c r="AS18" i="22"/>
  <c r="AR18" i="22" s="1"/>
  <c r="AR29" i="22" s="1"/>
  <c r="BA103" i="22"/>
  <c r="BJ150" i="22"/>
  <c r="AZ68" i="23"/>
  <c r="BH109" i="23"/>
  <c r="BE65" i="24"/>
  <c r="AZ88" i="26"/>
  <c r="BC83" i="28"/>
  <c r="AU45" i="29"/>
  <c r="AS111" i="29"/>
  <c r="AR111" i="29" s="1"/>
  <c r="AQ111" i="29" s="1"/>
  <c r="Z111" i="29" s="1"/>
  <c r="AV62" i="20"/>
  <c r="BB111" i="20"/>
  <c r="AT146" i="20"/>
  <c r="AT148" i="20"/>
  <c r="AZ44" i="21"/>
  <c r="AU18" i="22"/>
  <c r="BE84" i="22"/>
  <c r="AV104" i="22"/>
  <c r="BK150" i="22"/>
  <c r="BK68" i="23"/>
  <c r="BI88" i="26"/>
  <c r="AV127" i="26"/>
  <c r="AV25" i="28"/>
  <c r="BB151" i="28"/>
  <c r="BG45" i="29"/>
  <c r="BI89" i="29"/>
  <c r="BA110" i="29"/>
  <c r="BC130" i="29"/>
  <c r="BK146" i="20"/>
  <c r="BF65" i="21"/>
  <c r="AS146" i="21"/>
  <c r="AR146" i="21" s="1"/>
  <c r="AQ146" i="21" s="1"/>
  <c r="AA146" i="21" s="1"/>
  <c r="AZ104" i="22"/>
  <c r="AS126" i="22"/>
  <c r="AR126" i="22" s="1"/>
  <c r="AQ126" i="22" s="1"/>
  <c r="AA126" i="22" s="1"/>
  <c r="BB130" i="22"/>
  <c r="AS111" i="24"/>
  <c r="AR111" i="24" s="1"/>
  <c r="AQ111" i="24" s="1"/>
  <c r="AA111" i="24" s="1"/>
  <c r="BC66" i="25"/>
  <c r="AS148" i="26"/>
  <c r="AR148" i="26" s="1"/>
  <c r="AQ148" i="26" s="1"/>
  <c r="Z148" i="26" s="1"/>
  <c r="AV21" i="28"/>
  <c r="AV147" i="29"/>
  <c r="AZ145" i="24"/>
  <c r="AW153" i="24"/>
  <c r="AZ24" i="26"/>
  <c r="AX48" i="26"/>
  <c r="BI82" i="26"/>
  <c r="AY124" i="28"/>
  <c r="AU48" i="29"/>
  <c r="AJ19" i="20"/>
  <c r="AM22" i="20"/>
  <c r="AB27" i="20"/>
  <c r="AG43" i="20"/>
  <c r="AC86" i="20"/>
  <c r="AP89" i="20"/>
  <c r="AP104" i="20"/>
  <c r="AB127" i="20"/>
  <c r="AL25" i="21"/>
  <c r="AG25" i="21"/>
  <c r="AJ26" i="21"/>
  <c r="AK26" i="21"/>
  <c r="AC111" i="20"/>
  <c r="AC127" i="20"/>
  <c r="AF40" i="20"/>
  <c r="AI47" i="20"/>
  <c r="AB124" i="20"/>
  <c r="AL24" i="21"/>
  <c r="AH24" i="21"/>
  <c r="AP107" i="21"/>
  <c r="AC107" i="21"/>
  <c r="AB107" i="21"/>
  <c r="AD25" i="20"/>
  <c r="AJ40" i="20"/>
  <c r="AI46" i="20"/>
  <c r="AB110" i="20"/>
  <c r="AC124" i="20"/>
  <c r="AI24" i="20"/>
  <c r="AC81" i="21"/>
  <c r="AC92" i="21" s="1"/>
  <c r="AP81" i="21"/>
  <c r="AP92" i="21" s="1"/>
  <c r="AJ24" i="20"/>
  <c r="AC106" i="21"/>
  <c r="AP106" i="21"/>
  <c r="AP127" i="25"/>
  <c r="AP150" i="25"/>
  <c r="AM19" i="26"/>
  <c r="AF20" i="26"/>
  <c r="AI22" i="26"/>
  <c r="AF23" i="26"/>
  <c r="AI24" i="26"/>
  <c r="AM25" i="26"/>
  <c r="AE26" i="26"/>
  <c r="AB27" i="26"/>
  <c r="AM44" i="26"/>
  <c r="AC87" i="26"/>
  <c r="AK47" i="27"/>
  <c r="AJ48" i="27"/>
  <c r="AB64" i="28"/>
  <c r="AB86" i="28"/>
  <c r="AP42" i="29"/>
  <c r="AP90" i="29"/>
  <c r="AB145" i="29"/>
  <c r="AB132" i="21"/>
  <c r="AF22" i="22"/>
  <c r="AD42" i="22"/>
  <c r="AB43" i="22"/>
  <c r="AD44" i="22"/>
  <c r="AM44" i="22"/>
  <c r="AD46" i="22"/>
  <c r="AD40" i="23"/>
  <c r="AP44" i="23"/>
  <c r="AB85" i="23"/>
  <c r="AB111" i="23"/>
  <c r="AC124" i="23"/>
  <c r="AB125" i="23"/>
  <c r="AB21" i="24"/>
  <c r="AI25" i="24"/>
  <c r="AE26" i="24"/>
  <c r="AF42" i="24"/>
  <c r="AF47" i="24"/>
  <c r="AD48" i="24"/>
  <c r="AC123" i="24"/>
  <c r="AC134" i="24" s="1"/>
  <c r="AB124" i="24"/>
  <c r="AC132" i="24"/>
  <c r="AD19" i="25"/>
  <c r="AP84" i="25"/>
  <c r="AD48" i="26"/>
  <c r="AC129" i="29"/>
  <c r="AB47" i="21"/>
  <c r="AP89" i="21"/>
  <c r="AB108" i="21"/>
  <c r="AC146" i="21"/>
  <c r="AE46" i="22"/>
  <c r="AP18" i="23"/>
  <c r="AP29" i="23" s="1"/>
  <c r="AC24" i="23"/>
  <c r="AH26" i="23"/>
  <c r="AF40" i="23"/>
  <c r="AB83" i="23"/>
  <c r="AK20" i="25"/>
  <c r="AF48" i="26"/>
  <c r="AP63" i="26"/>
  <c r="AP81" i="26"/>
  <c r="AP92" i="26" s="1"/>
  <c r="AP107" i="26"/>
  <c r="AP109" i="26"/>
  <c r="AP111" i="27"/>
  <c r="AB132" i="27"/>
  <c r="AB106" i="28"/>
  <c r="AD26" i="29"/>
  <c r="AB25" i="22"/>
  <c r="AF45" i="22"/>
  <c r="AF46" i="22"/>
  <c r="AB108" i="22"/>
  <c r="AC109" i="22"/>
  <c r="AI26" i="23"/>
  <c r="AG40" i="23"/>
  <c r="AD46" i="23"/>
  <c r="AG47" i="23"/>
  <c r="AD48" i="23"/>
  <c r="AI26" i="24"/>
  <c r="AP39" i="24"/>
  <c r="AP50" i="24" s="1"/>
  <c r="AK42" i="24"/>
  <c r="AF46" i="24"/>
  <c r="AP19" i="26"/>
  <c r="AP26" i="26"/>
  <c r="AH48" i="26"/>
  <c r="AP86" i="26"/>
  <c r="AB109" i="26"/>
  <c r="AP22" i="27"/>
  <c r="AC111" i="27"/>
  <c r="AC132" i="27"/>
  <c r="AF27" i="28"/>
  <c r="AC106" i="28"/>
  <c r="AE26" i="29"/>
  <c r="AC64" i="21"/>
  <c r="AD25" i="22"/>
  <c r="AP42" i="22"/>
  <c r="AG44" i="22"/>
  <c r="AG46" i="22"/>
  <c r="AB61" i="22"/>
  <c r="AH40" i="23"/>
  <c r="AL46" i="23"/>
  <c r="AF48" i="23"/>
  <c r="AP129" i="24"/>
  <c r="AM21" i="25"/>
  <c r="AI22" i="25"/>
  <c r="AE23" i="25"/>
  <c r="AF27" i="25"/>
  <c r="AF41" i="25"/>
  <c r="AE42" i="25"/>
  <c r="AC60" i="25"/>
  <c r="AC71" i="25" s="1"/>
  <c r="AO71" i="25"/>
  <c r="AB84" i="25"/>
  <c r="AG21" i="26"/>
  <c r="AC22" i="26"/>
  <c r="AB46" i="26"/>
  <c r="AI48" i="26"/>
  <c r="AC86" i="26"/>
  <c r="AP19" i="27"/>
  <c r="AP21" i="27"/>
  <c r="AE46" i="27"/>
  <c r="AF21" i="28"/>
  <c r="AG27" i="28"/>
  <c r="AF45" i="28"/>
  <c r="AF26" i="29"/>
  <c r="AG44" i="29"/>
  <c r="AC45" i="29"/>
  <c r="AB47" i="29"/>
  <c r="AP60" i="29"/>
  <c r="AP71" i="29" s="1"/>
  <c r="AB82" i="29"/>
  <c r="AI46" i="22"/>
  <c r="AD47" i="22"/>
  <c r="AC126" i="22"/>
  <c r="AC24" i="24"/>
  <c r="AD25" i="24"/>
  <c r="AC148" i="24"/>
  <c r="AJ22" i="25"/>
  <c r="AB26" i="25"/>
  <c r="AG27" i="25"/>
  <c r="AI41" i="25"/>
  <c r="AD22" i="26"/>
  <c r="AB44" i="26"/>
  <c r="AJ48" i="26"/>
  <c r="AF46" i="27"/>
  <c r="AG26" i="29"/>
  <c r="AF43" i="29"/>
  <c r="AK44" i="29"/>
  <c r="AG45" i="29"/>
  <c r="AI46" i="29"/>
  <c r="AD47" i="29"/>
  <c r="AG48" i="29"/>
  <c r="AC90" i="29"/>
  <c r="AP131" i="29"/>
  <c r="AJ22" i="21"/>
  <c r="AB123" i="21"/>
  <c r="AB134" i="21" s="1"/>
  <c r="AC149" i="21"/>
  <c r="AI19" i="22"/>
  <c r="AF26" i="22"/>
  <c r="AL46" i="22"/>
  <c r="AF47" i="22"/>
  <c r="AH48" i="22"/>
  <c r="AB68" i="22"/>
  <c r="AP103" i="22"/>
  <c r="AP108" i="22"/>
  <c r="AK40" i="23"/>
  <c r="AP47" i="23"/>
  <c r="AL48" i="23"/>
  <c r="AC89" i="23"/>
  <c r="AB150" i="23"/>
  <c r="AJ24" i="24"/>
  <c r="AE25" i="24"/>
  <c r="AP124" i="24"/>
  <c r="AB144" i="24"/>
  <c r="AB155" i="24" s="1"/>
  <c r="AI46" i="25"/>
  <c r="AB27" i="27"/>
  <c r="AI46" i="27"/>
  <c r="AF47" i="27"/>
  <c r="AC67" i="27"/>
  <c r="AB89" i="27"/>
  <c r="AP152" i="27"/>
  <c r="AF19" i="28"/>
  <c r="AP111" i="28"/>
  <c r="AI26" i="29"/>
  <c r="AM44" i="29"/>
  <c r="AM46" i="29"/>
  <c r="AF47" i="29"/>
  <c r="AI48" i="29"/>
  <c r="AB64" i="29"/>
  <c r="AM46" i="22"/>
  <c r="AG47" i="22"/>
  <c r="AP107" i="22"/>
  <c r="AB18" i="23"/>
  <c r="AB29" i="23" s="1"/>
  <c r="AD20" i="23"/>
  <c r="AL40" i="23"/>
  <c r="AL42" i="23"/>
  <c r="AI23" i="24"/>
  <c r="AF25" i="24"/>
  <c r="AC144" i="24"/>
  <c r="AC155" i="24" s="1"/>
  <c r="AG25" i="25"/>
  <c r="AJ46" i="25"/>
  <c r="AB145" i="25"/>
  <c r="AI19" i="26"/>
  <c r="AH22" i="26"/>
  <c r="AB23" i="26"/>
  <c r="AF24" i="26"/>
  <c r="AG25" i="26"/>
  <c r="AI44" i="26"/>
  <c r="AP89" i="26"/>
  <c r="AB104" i="26"/>
  <c r="AL46" i="27"/>
  <c r="AG47" i="27"/>
  <c r="AI48" i="27"/>
  <c r="AB61" i="27"/>
  <c r="AC62" i="27"/>
  <c r="AC89" i="27"/>
  <c r="AH19" i="28"/>
  <c r="AH24" i="28"/>
  <c r="AM48" i="28"/>
  <c r="AP103" i="29"/>
  <c r="AS82" i="20"/>
  <c r="AR82" i="20" s="1"/>
  <c r="AQ82" i="20" s="1"/>
  <c r="Z82" i="20" s="1"/>
  <c r="AS131" i="20"/>
  <c r="AR131" i="20" s="1"/>
  <c r="AQ131" i="20" s="1"/>
  <c r="AA131" i="20" s="1"/>
  <c r="BB148" i="20"/>
  <c r="AV24" i="21"/>
  <c r="BJ44" i="21"/>
  <c r="BD62" i="21"/>
  <c r="AY64" i="21"/>
  <c r="AV83" i="21"/>
  <c r="BE105" i="21"/>
  <c r="BD18" i="22"/>
  <c r="AY69" i="22"/>
  <c r="BI111" i="22"/>
  <c r="BH126" i="22"/>
  <c r="BC149" i="22"/>
  <c r="BC23" i="25"/>
  <c r="AZ47" i="25"/>
  <c r="BA86" i="25"/>
  <c r="BB85" i="27"/>
  <c r="AS148" i="27"/>
  <c r="AR148" i="27" s="1"/>
  <c r="AQ148" i="27" s="1"/>
  <c r="Z148" i="27" s="1"/>
  <c r="AU149" i="27"/>
  <c r="AX89" i="28"/>
  <c r="BI150" i="28"/>
  <c r="BA48" i="29"/>
  <c r="AT63" i="29"/>
  <c r="BE89" i="29"/>
  <c r="BC104" i="29"/>
  <c r="BI44" i="20"/>
  <c r="AT82" i="20"/>
  <c r="AU131" i="20"/>
  <c r="BK148" i="20"/>
  <c r="BJ22" i="21"/>
  <c r="AY24" i="21"/>
  <c r="BK40" i="21"/>
  <c r="AT65" i="21"/>
  <c r="AU68" i="21"/>
  <c r="AX83" i="21"/>
  <c r="BG105" i="21"/>
  <c r="AS61" i="22"/>
  <c r="AR61" i="22" s="1"/>
  <c r="AQ61" i="22" s="1"/>
  <c r="AA61" i="22" s="1"/>
  <c r="AZ69" i="22"/>
  <c r="BA88" i="22"/>
  <c r="AS27" i="23"/>
  <c r="AR27" i="23" s="1"/>
  <c r="AQ27" i="23" s="1"/>
  <c r="AA27" i="23" s="1"/>
  <c r="BB90" i="24"/>
  <c r="BE108" i="24"/>
  <c r="BB123" i="24"/>
  <c r="BE47" i="25"/>
  <c r="BI86" i="25"/>
  <c r="AY87" i="25"/>
  <c r="AW108" i="25"/>
  <c r="AW126" i="25"/>
  <c r="AS132" i="25"/>
  <c r="AR132" i="25" s="1"/>
  <c r="AQ132" i="25" s="1"/>
  <c r="AA132" i="25" s="1"/>
  <c r="AV62" i="26"/>
  <c r="AW64" i="26"/>
  <c r="BF104" i="27"/>
  <c r="AU148" i="27"/>
  <c r="BB19" i="28"/>
  <c r="AT105" i="28"/>
  <c r="BD104" i="29"/>
  <c r="BF82" i="20"/>
  <c r="AY131" i="20"/>
  <c r="BB24" i="21"/>
  <c r="AV47" i="21"/>
  <c r="BA65" i="21"/>
  <c r="AV68" i="21"/>
  <c r="BC83" i="21"/>
  <c r="BH105" i="21"/>
  <c r="AU41" i="22"/>
  <c r="AS69" i="22"/>
  <c r="AR69" i="22" s="1"/>
  <c r="AQ69" i="22" s="1"/>
  <c r="AA69" i="22" s="1"/>
  <c r="BA69" i="22"/>
  <c r="AS104" i="22"/>
  <c r="AR104" i="22" s="1"/>
  <c r="AQ104" i="22" s="1"/>
  <c r="Z104" i="22" s="1"/>
  <c r="BD105" i="22"/>
  <c r="AX27" i="23"/>
  <c r="BK69" i="23"/>
  <c r="BI107" i="23"/>
  <c r="AU26" i="24"/>
  <c r="BG87" i="25"/>
  <c r="BF90" i="25"/>
  <c r="AX126" i="25"/>
  <c r="AW62" i="26"/>
  <c r="BC64" i="26"/>
  <c r="AS124" i="27"/>
  <c r="AR124" i="27" s="1"/>
  <c r="AQ124" i="27" s="1"/>
  <c r="AA124" i="27" s="1"/>
  <c r="BC19" i="28"/>
  <c r="AV105" i="28"/>
  <c r="BD108" i="28"/>
  <c r="BK89" i="29"/>
  <c r="AT104" i="29"/>
  <c r="BG104" i="29"/>
  <c r="AX110" i="29"/>
  <c r="BI82" i="20"/>
  <c r="AT105" i="20"/>
  <c r="BG124" i="20"/>
  <c r="BK131" i="20"/>
  <c r="BE24" i="21"/>
  <c r="BJ25" i="21"/>
  <c r="AS130" i="21"/>
  <c r="AR130" i="21" s="1"/>
  <c r="AQ130" i="21" s="1"/>
  <c r="AA130" i="21" s="1"/>
  <c r="BE41" i="22"/>
  <c r="AT69" i="22"/>
  <c r="BB69" i="22"/>
  <c r="AU104" i="22"/>
  <c r="BI105" i="22"/>
  <c r="AT41" i="23"/>
  <c r="AZ26" i="24"/>
  <c r="AY65" i="24"/>
  <c r="BB66" i="24"/>
  <c r="BI87" i="25"/>
  <c r="BI90" i="25"/>
  <c r="AY126" i="25"/>
  <c r="BH61" i="26"/>
  <c r="BE62" i="26"/>
  <c r="BD64" i="26"/>
  <c r="BI132" i="26"/>
  <c r="AU124" i="27"/>
  <c r="BK19" i="28"/>
  <c r="AZ105" i="28"/>
  <c r="AV25" i="22"/>
  <c r="BG41" i="22"/>
  <c r="AU69" i="22"/>
  <c r="BC69" i="22"/>
  <c r="BD86" i="22"/>
  <c r="AX41" i="23"/>
  <c r="AU46" i="23"/>
  <c r="AT24" i="24"/>
  <c r="AY40" i="24"/>
  <c r="AZ65" i="24"/>
  <c r="BD66" i="24"/>
  <c r="BK67" i="24"/>
  <c r="AT88" i="26"/>
  <c r="AV129" i="26"/>
  <c r="AV104" i="29"/>
  <c r="BI110" i="29"/>
  <c r="AU111" i="29"/>
  <c r="AT19" i="20"/>
  <c r="AS44" i="20"/>
  <c r="AR44" i="20" s="1"/>
  <c r="AQ44" i="20" s="1"/>
  <c r="AA44" i="20" s="1"/>
  <c r="AT150" i="20"/>
  <c r="BG130" i="21"/>
  <c r="AU144" i="21"/>
  <c r="BD22" i="22"/>
  <c r="AW23" i="22"/>
  <c r="BA25" i="22"/>
  <c r="AV69" i="22"/>
  <c r="BD69" i="22"/>
  <c r="AW104" i="22"/>
  <c r="AS111" i="22"/>
  <c r="AR111" i="22" s="1"/>
  <c r="AQ111" i="22" s="1"/>
  <c r="AA111" i="22" s="1"/>
  <c r="AZ41" i="23"/>
  <c r="AV46" i="23"/>
  <c r="BC84" i="23"/>
  <c r="AW149" i="24"/>
  <c r="AU62" i="25"/>
  <c r="AU86" i="25"/>
  <c r="BA20" i="26"/>
  <c r="BJ22" i="26"/>
  <c r="AU24" i="26"/>
  <c r="AW88" i="26"/>
  <c r="AT26" i="27"/>
  <c r="AT126" i="28"/>
  <c r="AW104" i="29"/>
  <c r="AV111" i="29"/>
  <c r="AV44" i="20"/>
  <c r="BD150" i="20"/>
  <c r="AX105" i="21"/>
  <c r="AW69" i="22"/>
  <c r="BI69" i="22"/>
  <c r="AU19" i="25"/>
  <c r="AV62" i="25"/>
  <c r="AV86" i="25"/>
  <c r="BJ127" i="26"/>
  <c r="BB26" i="27"/>
  <c r="AY152" i="28"/>
  <c r="AW48" i="29"/>
  <c r="AX104" i="29"/>
  <c r="AW111" i="29"/>
  <c r="AX44" i="20"/>
  <c r="AT24" i="21"/>
  <c r="BB62" i="21"/>
  <c r="BD105" i="21"/>
  <c r="BD130" i="23"/>
  <c r="AY86" i="25"/>
  <c r="AU126" i="25"/>
  <c r="BD151" i="25"/>
  <c r="BJ20" i="26"/>
  <c r="BI24" i="26"/>
  <c r="BE88" i="26"/>
  <c r="AV89" i="26"/>
  <c r="AU46" i="27"/>
  <c r="BI150" i="27"/>
  <c r="BG151" i="27"/>
  <c r="AY150" i="28"/>
  <c r="AY48" i="29"/>
  <c r="AY89" i="29"/>
  <c r="BB104" i="29"/>
  <c r="AZ111" i="29"/>
  <c r="C41" i="23"/>
  <c r="DK2" i="22"/>
  <c r="DK7" i="23"/>
  <c r="DC2" i="23"/>
  <c r="DG5" i="22"/>
  <c r="DM3" i="23"/>
  <c r="DK6" i="24"/>
  <c r="DC3" i="27"/>
  <c r="DM5" i="21"/>
  <c r="DG3" i="21"/>
  <c r="DI4" i="21"/>
  <c r="DK5" i="21"/>
  <c r="DG3" i="23"/>
  <c r="DK2" i="24"/>
  <c r="DI4" i="24"/>
  <c r="DK3" i="26"/>
  <c r="DG5" i="26"/>
  <c r="DM8" i="22"/>
  <c r="DG2" i="23"/>
  <c r="DG5" i="23"/>
  <c r="DM8" i="23"/>
  <c r="DA2" i="24"/>
  <c r="DG3" i="24"/>
  <c r="DG2" i="21"/>
  <c r="DK6" i="21"/>
  <c r="DG5" i="24"/>
  <c r="DM7" i="24"/>
  <c r="DK2" i="26"/>
  <c r="DC3" i="26"/>
  <c r="DM5" i="26"/>
  <c r="DG5" i="20"/>
  <c r="DK3" i="21"/>
  <c r="DM4" i="21"/>
  <c r="DI2" i="23"/>
  <c r="DG4" i="26"/>
  <c r="DK5" i="26"/>
  <c r="DC2" i="26"/>
  <c r="DK2" i="21"/>
  <c r="DC3" i="21"/>
  <c r="DG5" i="21"/>
  <c r="DM8" i="21"/>
  <c r="DA2" i="23"/>
  <c r="DK2" i="23"/>
  <c r="DM3" i="24"/>
  <c r="DG3" i="26"/>
  <c r="DE3" i="23"/>
  <c r="DG4" i="23"/>
  <c r="DM6" i="23"/>
  <c r="DM8" i="24"/>
  <c r="DE4" i="24"/>
  <c r="DM5" i="24"/>
  <c r="DI4" i="28"/>
  <c r="DG3" i="20"/>
  <c r="DC2" i="21"/>
  <c r="DI4" i="23"/>
  <c r="DI2" i="24"/>
  <c r="AW26" i="20"/>
  <c r="BC82" i="20"/>
  <c r="AS84" i="20"/>
  <c r="AR84" i="20" s="1"/>
  <c r="AQ84" i="20" s="1"/>
  <c r="AA84" i="20" s="1"/>
  <c r="AZ105" i="20"/>
  <c r="BH123" i="20"/>
  <c r="BE146" i="21"/>
  <c r="AS41" i="22"/>
  <c r="AR41" i="22" s="1"/>
  <c r="AQ41" i="22" s="1"/>
  <c r="Z41" i="22" s="1"/>
  <c r="AY44" i="22"/>
  <c r="AT61" i="22"/>
  <c r="BG61" i="22"/>
  <c r="AV89" i="22"/>
  <c r="BK109" i="22"/>
  <c r="AZ147" i="22"/>
  <c r="BB18" i="23"/>
  <c r="BF26" i="23"/>
  <c r="BA47" i="23"/>
  <c r="AS129" i="23"/>
  <c r="AR129" i="23" s="1"/>
  <c r="AQ129" i="23" s="1"/>
  <c r="Z129" i="23" s="1"/>
  <c r="BG130" i="23"/>
  <c r="AU144" i="23"/>
  <c r="AU24" i="24"/>
  <c r="AT61" i="24"/>
  <c r="AV63" i="24"/>
  <c r="BK66" i="24"/>
  <c r="BK103" i="24"/>
  <c r="AT108" i="24"/>
  <c r="BC123" i="24"/>
  <c r="BF20" i="25"/>
  <c r="AU66" i="25"/>
  <c r="BF86" i="25"/>
  <c r="BC90" i="25"/>
  <c r="AW106" i="25"/>
  <c r="AY108" i="25"/>
  <c r="BG126" i="25"/>
  <c r="AS22" i="26"/>
  <c r="AR22" i="26" s="1"/>
  <c r="AQ22" i="26" s="1"/>
  <c r="Z22" i="26" s="1"/>
  <c r="AU40" i="26"/>
  <c r="BA66" i="26"/>
  <c r="BA67" i="26"/>
  <c r="BD132" i="26"/>
  <c r="BA124" i="27"/>
  <c r="AX104" i="28"/>
  <c r="BD105" i="28"/>
  <c r="AV68" i="29"/>
  <c r="BA111" i="29"/>
  <c r="AU19" i="20"/>
  <c r="AX26" i="20"/>
  <c r="BK43" i="20"/>
  <c r="BA105" i="20"/>
  <c r="BD132" i="20"/>
  <c r="BH148" i="20"/>
  <c r="BI150" i="20"/>
  <c r="BE22" i="21"/>
  <c r="AU24" i="21"/>
  <c r="BJ24" i="21"/>
  <c r="BE25" i="21"/>
  <c r="AU39" i="21"/>
  <c r="BA111" i="21"/>
  <c r="AV124" i="21"/>
  <c r="AV130" i="21"/>
  <c r="BH146" i="21"/>
  <c r="AV21" i="22"/>
  <c r="AV22" i="22"/>
  <c r="AT41" i="22"/>
  <c r="BG147" i="22"/>
  <c r="AU149" i="22"/>
  <c r="BD151" i="22"/>
  <c r="BF18" i="23"/>
  <c r="AV66" i="23"/>
  <c r="AY69" i="23"/>
  <c r="BG123" i="23"/>
  <c r="AU148" i="23"/>
  <c r="AV152" i="23"/>
  <c r="AV40" i="25"/>
  <c r="BG65" i="25"/>
  <c r="AV66" i="25"/>
  <c r="AY106" i="25"/>
  <c r="BA108" i="25"/>
  <c r="BI20" i="26"/>
  <c r="AT22" i="26"/>
  <c r="AZ26" i="26"/>
  <c r="AT131" i="26"/>
  <c r="BF132" i="26"/>
  <c r="BJ152" i="26"/>
  <c r="AV153" i="26"/>
  <c r="BK19" i="27"/>
  <c r="AX20" i="27"/>
  <c r="BK26" i="27"/>
  <c r="BD61" i="27"/>
  <c r="AV62" i="27"/>
  <c r="BC124" i="27"/>
  <c r="AW130" i="27"/>
  <c r="AX132" i="27"/>
  <c r="AS44" i="28"/>
  <c r="AR44" i="28" s="1"/>
  <c r="AQ44" i="28" s="1"/>
  <c r="AA44" i="28" s="1"/>
  <c r="BC68" i="28"/>
  <c r="BH105" i="28"/>
  <c r="BF68" i="29"/>
  <c r="AU81" i="29"/>
  <c r="AY104" i="29"/>
  <c r="BE111" i="29"/>
  <c r="AY26" i="20"/>
  <c r="BB105" i="20"/>
  <c r="AX131" i="20"/>
  <c r="BJ132" i="20"/>
  <c r="BA144" i="20"/>
  <c r="BA104" i="23"/>
  <c r="BF108" i="23"/>
  <c r="AS125" i="23"/>
  <c r="AR125" i="23" s="1"/>
  <c r="AQ125" i="23" s="1"/>
  <c r="Z125" i="23" s="1"/>
  <c r="BG148" i="23"/>
  <c r="BJ152" i="23"/>
  <c r="BE61" i="24"/>
  <c r="AV65" i="24"/>
  <c r="AU105" i="24"/>
  <c r="AV107" i="24"/>
  <c r="BD108" i="24"/>
  <c r="AT111" i="24"/>
  <c r="AS126" i="24"/>
  <c r="AR126" i="24" s="1"/>
  <c r="AQ126" i="24" s="1"/>
  <c r="AA126" i="24" s="1"/>
  <c r="BD40" i="25"/>
  <c r="AW47" i="25"/>
  <c r="BD83" i="25"/>
  <c r="BJ86" i="25"/>
  <c r="AS87" i="25"/>
  <c r="AR87" i="25" s="1"/>
  <c r="AQ87" i="25" s="1"/>
  <c r="AA87" i="25" s="1"/>
  <c r="BC106" i="25"/>
  <c r="AV22" i="26"/>
  <c r="AZ47" i="26"/>
  <c r="AV83" i="27"/>
  <c r="BG148" i="27"/>
  <c r="BK151" i="27"/>
  <c r="AS105" i="28"/>
  <c r="AR105" i="28" s="1"/>
  <c r="AQ105" i="28" s="1"/>
  <c r="AA105" i="28" s="1"/>
  <c r="BJ105" i="28"/>
  <c r="AV152" i="28"/>
  <c r="AS41" i="29"/>
  <c r="AR41" i="29" s="1"/>
  <c r="AQ41" i="29" s="1"/>
  <c r="AA41" i="29" s="1"/>
  <c r="BI68" i="29"/>
  <c r="AW81" i="29"/>
  <c r="AV90" i="29"/>
  <c r="BE102" i="29"/>
  <c r="BA104" i="29"/>
  <c r="AX107" i="29"/>
  <c r="BH111" i="29"/>
  <c r="BK19" i="20"/>
  <c r="AV20" i="20"/>
  <c r="BG26" i="20"/>
  <c r="AX62" i="20"/>
  <c r="BC68" i="20"/>
  <c r="BK82" i="20"/>
  <c r="BJ105" i="20"/>
  <c r="AS106" i="20"/>
  <c r="AR106" i="20" s="1"/>
  <c r="AQ106" i="20" s="1"/>
  <c r="AA106" i="20" s="1"/>
  <c r="BI149" i="20"/>
  <c r="AW24" i="21"/>
  <c r="AV27" i="21"/>
  <c r="BA41" i="21"/>
  <c r="AX44" i="21"/>
  <c r="BA46" i="21"/>
  <c r="AS47" i="21"/>
  <c r="AR47" i="21" s="1"/>
  <c r="AQ47" i="21" s="1"/>
  <c r="Z47" i="21" s="1"/>
  <c r="BK105" i="21"/>
  <c r="AW41" i="22"/>
  <c r="BH44" i="22"/>
  <c r="AW45" i="22"/>
  <c r="AX61" i="22"/>
  <c r="BH69" i="22"/>
  <c r="AT81" i="22"/>
  <c r="BJ103" i="22"/>
  <c r="BJ104" i="22"/>
  <c r="AV43" i="24"/>
  <c r="AT66" i="24"/>
  <c r="AT83" i="24"/>
  <c r="AW126" i="24"/>
  <c r="AU128" i="24"/>
  <c r="BD66" i="25"/>
  <c r="AU82" i="25"/>
  <c r="AU87" i="25"/>
  <c r="BI104" i="25"/>
  <c r="BF106" i="25"/>
  <c r="AZ148" i="25"/>
  <c r="AY22" i="26"/>
  <c r="AT27" i="26"/>
  <c r="BC46" i="26"/>
  <c r="BA48" i="26"/>
  <c r="AX107" i="26"/>
  <c r="BD125" i="26"/>
  <c r="AS132" i="26"/>
  <c r="AR132" i="26" s="1"/>
  <c r="AQ132" i="26" s="1"/>
  <c r="AA132" i="26" s="1"/>
  <c r="BJ132" i="26"/>
  <c r="AW144" i="26"/>
  <c r="AY148" i="26"/>
  <c r="BJ84" i="27"/>
  <c r="AT124" i="27"/>
  <c r="BJ124" i="27"/>
  <c r="AX144" i="27"/>
  <c r="BI148" i="27"/>
  <c r="AY19" i="28"/>
  <c r="BJ22" i="28"/>
  <c r="AV23" i="28"/>
  <c r="BJ64" i="28"/>
  <c r="AT107" i="28"/>
  <c r="BB146" i="28"/>
  <c r="AW147" i="28"/>
  <c r="AW41" i="29"/>
  <c r="BJ68" i="29"/>
  <c r="BD81" i="29"/>
  <c r="BH102" i="29"/>
  <c r="BC107" i="29"/>
  <c r="AU130" i="29"/>
  <c r="BJ26" i="20"/>
  <c r="AY62" i="20"/>
  <c r="AS105" i="20"/>
  <c r="AR105" i="20" s="1"/>
  <c r="AQ105" i="20" s="1"/>
  <c r="AA105" i="20" s="1"/>
  <c r="BK105" i="20"/>
  <c r="AV106" i="20"/>
  <c r="AS111" i="20"/>
  <c r="AR111" i="20" s="1"/>
  <c r="AQ111" i="20" s="1"/>
  <c r="Z111" i="20" s="1"/>
  <c r="BA131" i="20"/>
  <c r="BK83" i="21"/>
  <c r="BB61" i="22"/>
  <c r="AV65" i="22"/>
  <c r="BF86" i="22"/>
  <c r="BK104" i="22"/>
  <c r="AT146" i="22"/>
  <c r="AT26" i="23"/>
  <c r="AZ27" i="23"/>
  <c r="BF43" i="23"/>
  <c r="AY46" i="23"/>
  <c r="AU61" i="23"/>
  <c r="BD62" i="23"/>
  <c r="BC63" i="23"/>
  <c r="BA90" i="23"/>
  <c r="AS103" i="23"/>
  <c r="AR103" i="23" s="1"/>
  <c r="AQ103" i="23" s="1"/>
  <c r="AA103" i="23" s="1"/>
  <c r="BD126" i="23"/>
  <c r="AU132" i="23"/>
  <c r="AW43" i="24"/>
  <c r="BE83" i="24"/>
  <c r="AS85" i="24"/>
  <c r="AR85" i="24" s="1"/>
  <c r="AQ85" i="24" s="1"/>
  <c r="AA85" i="24" s="1"/>
  <c r="AZ105" i="24"/>
  <c r="BH106" i="24"/>
  <c r="BK109" i="24"/>
  <c r="AY126" i="24"/>
  <c r="AY128" i="24"/>
  <c r="BE131" i="24"/>
  <c r="AT145" i="24"/>
  <c r="BF149" i="24"/>
  <c r="AV19" i="25"/>
  <c r="BE23" i="25"/>
  <c r="BE66" i="25"/>
  <c r="AS20" i="26"/>
  <c r="AR20" i="26" s="1"/>
  <c r="AQ20" i="26" s="1"/>
  <c r="AA20" i="26" s="1"/>
  <c r="BB22" i="26"/>
  <c r="AV27" i="26"/>
  <c r="AU88" i="26"/>
  <c r="AY107" i="26"/>
  <c r="BI125" i="26"/>
  <c r="AV126" i="26"/>
  <c r="BJ128" i="26"/>
  <c r="AZ148" i="26"/>
  <c r="AV45" i="27"/>
  <c r="BE152" i="28"/>
  <c r="AT19" i="29"/>
  <c r="BG41" i="29"/>
  <c r="BJ42" i="29"/>
  <c r="AS43" i="29"/>
  <c r="AR43" i="29" s="1"/>
  <c r="AQ43" i="29" s="1"/>
  <c r="Z43" i="29" s="1"/>
  <c r="AV130" i="29"/>
  <c r="BB131" i="20"/>
  <c r="BB44" i="21"/>
  <c r="AW47" i="21"/>
  <c r="AS63" i="21"/>
  <c r="AR63" i="21" s="1"/>
  <c r="AQ63" i="21" s="1"/>
  <c r="AA63" i="21" s="1"/>
  <c r="BH68" i="21"/>
  <c r="AY105" i="21"/>
  <c r="AT146" i="21"/>
  <c r="BC61" i="22"/>
  <c r="BK64" i="22"/>
  <c r="BG65" i="22"/>
  <c r="AV67" i="22"/>
  <c r="AT68" i="22"/>
  <c r="AS109" i="22"/>
  <c r="AR109" i="22" s="1"/>
  <c r="AQ109" i="22" s="1"/>
  <c r="Z109" i="22" s="1"/>
  <c r="BC146" i="22"/>
  <c r="AW26" i="23"/>
  <c r="BG27" i="23"/>
  <c r="AT103" i="23"/>
  <c r="BB132" i="23"/>
  <c r="AX25" i="24"/>
  <c r="AY43" i="24"/>
  <c r="BF83" i="24"/>
  <c r="AT85" i="24"/>
  <c r="BG105" i="24"/>
  <c r="BF124" i="24"/>
  <c r="BA126" i="24"/>
  <c r="BG127" i="24"/>
  <c r="AZ128" i="24"/>
  <c r="BB19" i="25"/>
  <c r="BJ47" i="25"/>
  <c r="AX86" i="25"/>
  <c r="BD87" i="25"/>
  <c r="AS108" i="25"/>
  <c r="AR108" i="25" s="1"/>
  <c r="AQ108" i="25" s="1"/>
  <c r="Z108" i="25" s="1"/>
  <c r="AX144" i="25"/>
  <c r="AT152" i="25"/>
  <c r="AT20" i="26"/>
  <c r="BG22" i="26"/>
  <c r="AY27" i="26"/>
  <c r="AT83" i="26"/>
  <c r="AZ107" i="26"/>
  <c r="AV132" i="26"/>
  <c r="BG148" i="26"/>
  <c r="AT44" i="27"/>
  <c r="BA45" i="27"/>
  <c r="BK85" i="27"/>
  <c r="AT86" i="27"/>
  <c r="AV124" i="27"/>
  <c r="AV147" i="27"/>
  <c r="AV61" i="28"/>
  <c r="BG62" i="28"/>
  <c r="AW105" i="28"/>
  <c r="AU123" i="28"/>
  <c r="AU89" i="29"/>
  <c r="AX123" i="29"/>
  <c r="AW130" i="29"/>
  <c r="AS26" i="20"/>
  <c r="AR26" i="20" s="1"/>
  <c r="AQ26" i="20" s="1"/>
  <c r="Z26" i="20" s="1"/>
  <c r="AW41" i="20"/>
  <c r="AU43" i="20"/>
  <c r="BF62" i="20"/>
  <c r="AU82" i="20"/>
  <c r="AU105" i="20"/>
  <c r="BD111" i="20"/>
  <c r="AX123" i="20"/>
  <c r="BD131" i="20"/>
  <c r="AT22" i="21"/>
  <c r="BC24" i="21"/>
  <c r="BF44" i="21"/>
  <c r="AY47" i="21"/>
  <c r="BC63" i="21"/>
  <c r="BC105" i="21"/>
  <c r="AX107" i="21"/>
  <c r="AW146" i="21"/>
  <c r="AV43" i="22"/>
  <c r="AT44" i="22"/>
  <c r="BD61" i="22"/>
  <c r="AT63" i="22"/>
  <c r="BK65" i="22"/>
  <c r="BD67" i="22"/>
  <c r="BF68" i="22"/>
  <c r="AT109" i="22"/>
  <c r="BJ146" i="22"/>
  <c r="AT18" i="23"/>
  <c r="AZ26" i="23"/>
  <c r="BK43" i="23"/>
  <c r="BG46" i="23"/>
  <c r="AZ82" i="23"/>
  <c r="AW103" i="23"/>
  <c r="AW130" i="23"/>
  <c r="BF132" i="23"/>
  <c r="BE25" i="24"/>
  <c r="BI43" i="24"/>
  <c r="BE66" i="24"/>
  <c r="AV69" i="24"/>
  <c r="BJ83" i="24"/>
  <c r="BI85" i="24"/>
  <c r="AV103" i="24"/>
  <c r="BI105" i="24"/>
  <c r="AU123" i="24"/>
  <c r="BE126" i="24"/>
  <c r="BB145" i="24"/>
  <c r="BH19" i="25"/>
  <c r="BC88" i="25"/>
  <c r="AU108" i="25"/>
  <c r="BI27" i="26"/>
  <c r="AX132" i="26"/>
  <c r="AZ149" i="26"/>
  <c r="BC86" i="27"/>
  <c r="BA107" i="27"/>
  <c r="AW124" i="27"/>
  <c r="BC43" i="29"/>
  <c r="AS68" i="29"/>
  <c r="AR68" i="29" s="1"/>
  <c r="AQ68" i="29" s="1"/>
  <c r="Z68" i="29" s="1"/>
  <c r="BF104" i="29"/>
  <c r="AX25" i="20"/>
  <c r="AT26" i="20"/>
  <c r="BH41" i="20"/>
  <c r="AW43" i="20"/>
  <c r="AV82" i="20"/>
  <c r="AW105" i="20"/>
  <c r="BA123" i="20"/>
  <c r="BE131" i="20"/>
  <c r="AV22" i="21"/>
  <c r="BD24" i="21"/>
  <c r="BG44" i="21"/>
  <c r="BC47" i="21"/>
  <c r="BE63" i="21"/>
  <c r="AX86" i="21"/>
  <c r="BB87" i="21"/>
  <c r="AU88" i="21"/>
  <c r="AZ146" i="21"/>
  <c r="BH151" i="21"/>
  <c r="AU105" i="22"/>
  <c r="BB109" i="22"/>
  <c r="BK146" i="22"/>
  <c r="AT147" i="22"/>
  <c r="AW18" i="23"/>
  <c r="BB26" i="23"/>
  <c r="BK46" i="23"/>
  <c r="AT47" i="23"/>
  <c r="BI103" i="23"/>
  <c r="BB103" i="24"/>
  <c r="AX20" i="25"/>
  <c r="AS27" i="25"/>
  <c r="AR27" i="25" s="1"/>
  <c r="AQ27" i="25" s="1"/>
  <c r="Z27" i="25" s="1"/>
  <c r="AT66" i="25"/>
  <c r="BH67" i="25"/>
  <c r="AS90" i="25"/>
  <c r="AR90" i="25" s="1"/>
  <c r="AQ90" i="25" s="1"/>
  <c r="AA90" i="25" s="1"/>
  <c r="BE126" i="25"/>
  <c r="BA132" i="26"/>
  <c r="BI149" i="26"/>
  <c r="AX124" i="27"/>
  <c r="AX22" i="28"/>
  <c r="BB103" i="28"/>
  <c r="AV104" i="28"/>
  <c r="BB105" i="28"/>
  <c r="AU126" i="28"/>
  <c r="BI44" i="29"/>
  <c r="AU68" i="29"/>
  <c r="BE130" i="29"/>
  <c r="BD131" i="29"/>
  <c r="BD147" i="29"/>
  <c r="AZ19" i="20"/>
  <c r="BF26" i="20"/>
  <c r="BJ44" i="20"/>
  <c r="BF44" i="20"/>
  <c r="AZ44" i="20"/>
  <c r="BH110" i="22"/>
  <c r="BB110" i="22"/>
  <c r="AZ110" i="22"/>
  <c r="AX110" i="22"/>
  <c r="AT110" i="22"/>
  <c r="BI110" i="22"/>
  <c r="BF110" i="22"/>
  <c r="BF125" i="22"/>
  <c r="BG125" i="22"/>
  <c r="BD125" i="22"/>
  <c r="BB125" i="22"/>
  <c r="AY125" i="22"/>
  <c r="AV125" i="22"/>
  <c r="BJ125" i="22"/>
  <c r="AS125" i="22"/>
  <c r="AR125" i="22" s="1"/>
  <c r="AQ125" i="22" s="1"/>
  <c r="AA125" i="22" s="1"/>
  <c r="BI125" i="22"/>
  <c r="BK40" i="23"/>
  <c r="BE40" i="23"/>
  <c r="AX40" i="23"/>
  <c r="AW40" i="23"/>
  <c r="AU40" i="23"/>
  <c r="BG40" i="23"/>
  <c r="BF40" i="23"/>
  <c r="BH23" i="24"/>
  <c r="AY23" i="24"/>
  <c r="BJ23" i="24"/>
  <c r="BI23" i="24"/>
  <c r="BF64" i="24"/>
  <c r="BB64" i="24"/>
  <c r="AW64" i="24"/>
  <c r="BC19" i="20"/>
  <c r="BH81" i="20"/>
  <c r="AZ81" i="20"/>
  <c r="AS81" i="20"/>
  <c r="AR81" i="20" s="1"/>
  <c r="AQ81" i="20" s="1"/>
  <c r="BH40" i="22"/>
  <c r="AX40" i="22"/>
  <c r="BE86" i="23"/>
  <c r="BK86" i="23"/>
  <c r="BG86" i="23"/>
  <c r="BI146" i="23"/>
  <c r="AV146" i="23"/>
  <c r="AU146" i="23"/>
  <c r="BK146" i="23"/>
  <c r="BC146" i="23"/>
  <c r="BD19" i="20"/>
  <c r="AW44" i="20"/>
  <c r="AX90" i="20"/>
  <c r="AY90" i="20"/>
  <c r="BG145" i="20"/>
  <c r="BA145" i="20"/>
  <c r="AZ145" i="20"/>
  <c r="AV145" i="20"/>
  <c r="BK145" i="20"/>
  <c r="BC145" i="20"/>
  <c r="BI67" i="21"/>
  <c r="BB67" i="21"/>
  <c r="AY67" i="21"/>
  <c r="BD67" i="21"/>
  <c r="BC67" i="21"/>
  <c r="AW39" i="22"/>
  <c r="BI39" i="22"/>
  <c r="BA39" i="22"/>
  <c r="BI87" i="24"/>
  <c r="BJ87" i="24"/>
  <c r="BD87" i="24"/>
  <c r="BH45" i="20"/>
  <c r="BC45" i="20"/>
  <c r="AZ45" i="20"/>
  <c r="BH48" i="22"/>
  <c r="AZ48" i="22"/>
  <c r="BH19" i="20"/>
  <c r="AU25" i="20"/>
  <c r="BH39" i="20"/>
  <c r="BK89" i="20"/>
  <c r="BD89" i="20"/>
  <c r="AX89" i="20"/>
  <c r="BJ82" i="21"/>
  <c r="AV82" i="21"/>
  <c r="BK21" i="24"/>
  <c r="BC21" i="24"/>
  <c r="AU21" i="24"/>
  <c r="AX23" i="20"/>
  <c r="AT48" i="20"/>
  <c r="AY48" i="20"/>
  <c r="BD64" i="20"/>
  <c r="AZ64" i="20"/>
  <c r="AT64" i="20"/>
  <c r="BE153" i="20"/>
  <c r="BD153" i="20"/>
  <c r="AW153" i="20"/>
  <c r="BF60" i="21"/>
  <c r="BC60" i="21"/>
  <c r="AY60" i="21"/>
  <c r="AX60" i="21"/>
  <c r="AU60" i="21"/>
  <c r="AS60" i="21"/>
  <c r="AR60" i="21" s="1"/>
  <c r="AQ60" i="21" s="1"/>
  <c r="AQ71" i="21" s="1"/>
  <c r="BG60" i="21"/>
  <c r="BE60" i="21"/>
  <c r="AY81" i="21"/>
  <c r="AU81" i="21"/>
  <c r="BG60" i="23"/>
  <c r="AY60" i="23"/>
  <c r="BK22" i="20"/>
  <c r="BB23" i="20"/>
  <c r="BE42" i="20"/>
  <c r="BK45" i="20"/>
  <c r="AV46" i="20"/>
  <c r="BA46" i="20"/>
  <c r="BD61" i="20"/>
  <c r="AY61" i="20"/>
  <c r="AT61" i="20"/>
  <c r="BE63" i="20"/>
  <c r="AV63" i="20"/>
  <c r="AT63" i="20"/>
  <c r="BG63" i="20"/>
  <c r="BC63" i="20"/>
  <c r="BH19" i="21"/>
  <c r="BE19" i="21"/>
  <c r="AZ19" i="21"/>
  <c r="AY19" i="21"/>
  <c r="AW19" i="21"/>
  <c r="AT19" i="21"/>
  <c r="BK19" i="21"/>
  <c r="BG19" i="21"/>
  <c r="BI148" i="21"/>
  <c r="BA148" i="21"/>
  <c r="AS148" i="21"/>
  <c r="AR148" i="21" s="1"/>
  <c r="AQ148" i="21" s="1"/>
  <c r="AA148" i="21" s="1"/>
  <c r="BH42" i="22"/>
  <c r="BA42" i="22"/>
  <c r="AW42" i="22"/>
  <c r="BI109" i="20"/>
  <c r="BF109" i="20"/>
  <c r="AW109" i="20"/>
  <c r="BE109" i="20"/>
  <c r="AV109" i="20"/>
  <c r="BD109" i="20"/>
  <c r="AU109" i="20"/>
  <c r="BC109" i="20"/>
  <c r="AT109" i="20"/>
  <c r="BA109" i="20"/>
  <c r="AS109" i="20"/>
  <c r="AR109" i="20" s="1"/>
  <c r="AQ109" i="20" s="1"/>
  <c r="Z109" i="20" s="1"/>
  <c r="BJ109" i="20"/>
  <c r="AY109" i="20"/>
  <c r="BH109" i="20"/>
  <c r="AX109" i="20"/>
  <c r="AY19" i="20"/>
  <c r="BK44" i="20"/>
  <c r="BK104" i="21"/>
  <c r="BD104" i="21"/>
  <c r="AT104" i="21"/>
  <c r="BK47" i="22"/>
  <c r="AS47" i="22"/>
  <c r="AR47" i="22" s="1"/>
  <c r="AQ47" i="22" s="1"/>
  <c r="AA47" i="22" s="1"/>
  <c r="BH47" i="22"/>
  <c r="AX47" i="22"/>
  <c r="AT125" i="22"/>
  <c r="AZ62" i="20"/>
  <c r="BD68" i="20"/>
  <c r="AX82" i="20"/>
  <c r="BI106" i="20"/>
  <c r="AV111" i="20"/>
  <c r="BF123" i="20"/>
  <c r="BG146" i="20"/>
  <c r="BC148" i="20"/>
  <c r="BC149" i="20"/>
  <c r="BA150" i="20"/>
  <c r="BK24" i="21"/>
  <c r="AT25" i="21"/>
  <c r="BA44" i="21"/>
  <c r="AV46" i="21"/>
  <c r="BA47" i="21"/>
  <c r="BH48" i="21"/>
  <c r="AU64" i="21"/>
  <c r="BJ68" i="21"/>
  <c r="AT83" i="21"/>
  <c r="BI83" i="21"/>
  <c r="BA85" i="21"/>
  <c r="BA86" i="21"/>
  <c r="BG102" i="21"/>
  <c r="BA105" i="21"/>
  <c r="BE124" i="21"/>
  <c r="BA146" i="21"/>
  <c r="BA149" i="21"/>
  <c r="BA150" i="21"/>
  <c r="BI18" i="22"/>
  <c r="AU23" i="22"/>
  <c r="AS25" i="22"/>
  <c r="AR25" i="22" s="1"/>
  <c r="AQ25" i="22" s="1"/>
  <c r="BD25" i="22"/>
  <c r="AZ65" i="22"/>
  <c r="BG69" i="22"/>
  <c r="BI104" i="22"/>
  <c r="BA105" i="22"/>
  <c r="AU146" i="22"/>
  <c r="BD147" i="22"/>
  <c r="AW47" i="23"/>
  <c r="AV108" i="23"/>
  <c r="AU123" i="23"/>
  <c r="AY132" i="23"/>
  <c r="AT19" i="24"/>
  <c r="AT26" i="24"/>
  <c r="BH40" i="24"/>
  <c r="BH61" i="24"/>
  <c r="BE63" i="24"/>
  <c r="AX65" i="24"/>
  <c r="BJ65" i="24"/>
  <c r="BJ107" i="24"/>
  <c r="AS145" i="24"/>
  <c r="AR145" i="24" s="1"/>
  <c r="AQ145" i="24" s="1"/>
  <c r="AA145" i="24" s="1"/>
  <c r="AV149" i="24"/>
  <c r="BC18" i="25"/>
  <c r="AZ19" i="25"/>
  <c r="AV27" i="25"/>
  <c r="AZ39" i="25"/>
  <c r="BB39" i="25"/>
  <c r="AS39" i="25"/>
  <c r="AR39" i="25" s="1"/>
  <c r="AR50" i="25" s="1"/>
  <c r="AV130" i="26"/>
  <c r="BG130" i="26"/>
  <c r="BH46" i="29"/>
  <c r="AU46" i="29"/>
  <c r="BI46" i="29"/>
  <c r="BG46" i="29"/>
  <c r="BD46" i="29"/>
  <c r="AY46" i="29"/>
  <c r="AV46" i="29"/>
  <c r="BG151" i="29"/>
  <c r="AV151" i="29"/>
  <c r="BI151" i="29"/>
  <c r="BD151" i="29"/>
  <c r="BA151" i="29"/>
  <c r="AZ151" i="29"/>
  <c r="AX151" i="29"/>
  <c r="BC62" i="20"/>
  <c r="BA82" i="20"/>
  <c r="AY111" i="20"/>
  <c r="BG123" i="20"/>
  <c r="AZ132" i="20"/>
  <c r="BI146" i="20"/>
  <c r="BG148" i="20"/>
  <c r="BD149" i="20"/>
  <c r="BB150" i="20"/>
  <c r="BA25" i="21"/>
  <c r="AX46" i="21"/>
  <c r="AS62" i="21"/>
  <c r="AR62" i="21" s="1"/>
  <c r="AQ62" i="21" s="1"/>
  <c r="Z62" i="21" s="1"/>
  <c r="AV64" i="21"/>
  <c r="AU83" i="21"/>
  <c r="BJ83" i="21"/>
  <c r="BE86" i="21"/>
  <c r="AY87" i="21"/>
  <c r="AV23" i="22"/>
  <c r="AT25" i="22"/>
  <c r="BF25" i="22"/>
  <c r="AY130" i="22"/>
  <c r="AV131" i="22"/>
  <c r="BB146" i="22"/>
  <c r="BE147" i="22"/>
  <c r="BD18" i="23"/>
  <c r="AY27" i="23"/>
  <c r="AS41" i="23"/>
  <c r="AR41" i="23" s="1"/>
  <c r="AQ41" i="23" s="1"/>
  <c r="Z41" i="23" s="1"/>
  <c r="BA41" i="23"/>
  <c r="AZ46" i="23"/>
  <c r="AX47" i="23"/>
  <c r="BH103" i="23"/>
  <c r="BB108" i="23"/>
  <c r="BB109" i="23"/>
  <c r="AZ110" i="23"/>
  <c r="BA123" i="23"/>
  <c r="AW144" i="24"/>
  <c r="AZ27" i="25"/>
  <c r="BK104" i="26"/>
  <c r="AT104" i="26"/>
  <c r="BH104" i="26"/>
  <c r="BE104" i="26"/>
  <c r="BD104" i="26"/>
  <c r="BB104" i="26"/>
  <c r="AV104" i="26"/>
  <c r="BK108" i="26"/>
  <c r="BJ108" i="26"/>
  <c r="BE108" i="26"/>
  <c r="AY108" i="26"/>
  <c r="AX108" i="26"/>
  <c r="AS108" i="26"/>
  <c r="AR108" i="26" s="1"/>
  <c r="AQ108" i="26" s="1"/>
  <c r="AA108" i="26" s="1"/>
  <c r="BK21" i="27"/>
  <c r="AT21" i="27"/>
  <c r="AS21" i="27"/>
  <c r="AR21" i="27" s="1"/>
  <c r="AQ21" i="27" s="1"/>
  <c r="AA21" i="27" s="1"/>
  <c r="BH21" i="27"/>
  <c r="BF21" i="27"/>
  <c r="BE21" i="27"/>
  <c r="AZ21" i="27"/>
  <c r="AW21" i="27"/>
  <c r="BG41" i="27"/>
  <c r="BE41" i="27"/>
  <c r="BD41" i="27"/>
  <c r="AY41" i="27"/>
  <c r="BI126" i="27"/>
  <c r="BD126" i="27"/>
  <c r="BD103" i="24"/>
  <c r="AT106" i="24"/>
  <c r="AX144" i="24"/>
  <c r="BA27" i="25"/>
  <c r="BH42" i="25"/>
  <c r="BE42" i="25"/>
  <c r="AY42" i="25"/>
  <c r="AT42" i="25"/>
  <c r="BK84" i="26"/>
  <c r="AV84" i="26"/>
  <c r="BJ84" i="26"/>
  <c r="BH84" i="26"/>
  <c r="BB84" i="26"/>
  <c r="AX84" i="26"/>
  <c r="AW84" i="26"/>
  <c r="BH85" i="26"/>
  <c r="AX85" i="26"/>
  <c r="AW85" i="26"/>
  <c r="BI85" i="26"/>
  <c r="AT85" i="26"/>
  <c r="BG85" i="26"/>
  <c r="BF85" i="26"/>
  <c r="BC85" i="26"/>
  <c r="AY85" i="26"/>
  <c r="BH146" i="26"/>
  <c r="BK146" i="26"/>
  <c r="BJ146" i="26"/>
  <c r="BI146" i="26"/>
  <c r="AY146" i="26"/>
  <c r="AW146" i="26"/>
  <c r="BH43" i="28"/>
  <c r="BI43" i="28"/>
  <c r="AW43" i="28"/>
  <c r="AV43" i="28"/>
  <c r="BH69" i="29"/>
  <c r="BF69" i="29"/>
  <c r="AT103" i="20"/>
  <c r="AZ88" i="21"/>
  <c r="AS127" i="21"/>
  <c r="AR127" i="21" s="1"/>
  <c r="AQ127" i="21" s="1"/>
  <c r="AA127" i="21" s="1"/>
  <c r="BI146" i="21"/>
  <c r="AX18" i="22"/>
  <c r="BC23" i="22"/>
  <c r="AV24" i="22"/>
  <c r="AX25" i="22"/>
  <c r="BH25" i="22"/>
  <c r="AZ43" i="22"/>
  <c r="AV63" i="22"/>
  <c r="BK69" i="22"/>
  <c r="AX81" i="22"/>
  <c r="BK105" i="22"/>
  <c r="BD131" i="22"/>
  <c r="AV132" i="22"/>
  <c r="AV149" i="22"/>
  <c r="AW150" i="22"/>
  <c r="AS18" i="23"/>
  <c r="AR18" i="23" s="1"/>
  <c r="AR29" i="23" s="1"/>
  <c r="BH18" i="23"/>
  <c r="BA27" i="23"/>
  <c r="AU41" i="23"/>
  <c r="BC41" i="23"/>
  <c r="BD46" i="23"/>
  <c r="BB47" i="23"/>
  <c r="BK63" i="23"/>
  <c r="BH66" i="23"/>
  <c r="AU69" i="23"/>
  <c r="BD82" i="23"/>
  <c r="BG110" i="23"/>
  <c r="AT111" i="23"/>
  <c r="BG132" i="23"/>
  <c r="AU147" i="23"/>
  <c r="AY150" i="23"/>
  <c r="AV151" i="23"/>
  <c r="AY24" i="24"/>
  <c r="AY25" i="24"/>
  <c r="BG26" i="24"/>
  <c r="BA43" i="24"/>
  <c r="AV61" i="24"/>
  <c r="BB65" i="24"/>
  <c r="AZ69" i="24"/>
  <c r="BJ85" i="24"/>
  <c r="BE103" i="24"/>
  <c r="BH105" i="24"/>
  <c r="AV106" i="24"/>
  <c r="AX109" i="24"/>
  <c r="AV111" i="24"/>
  <c r="BE123" i="24"/>
  <c r="BB144" i="24"/>
  <c r="BB152" i="24"/>
  <c r="BI19" i="25"/>
  <c r="BG27" i="25"/>
  <c r="BJ86" i="29"/>
  <c r="BH86" i="29"/>
  <c r="AZ86" i="29"/>
  <c r="AU62" i="20"/>
  <c r="BK62" i="20"/>
  <c r="BF103" i="20"/>
  <c r="BC105" i="20"/>
  <c r="BH111" i="20"/>
  <c r="AS123" i="20"/>
  <c r="AR123" i="20" s="1"/>
  <c r="AR134" i="20" s="1"/>
  <c r="AU146" i="20"/>
  <c r="AS149" i="20"/>
  <c r="AR149" i="20" s="1"/>
  <c r="AQ149" i="20" s="1"/>
  <c r="Z149" i="20" s="1"/>
  <c r="BJ150" i="20"/>
  <c r="BB39" i="21"/>
  <c r="BI46" i="21"/>
  <c r="AY48" i="21"/>
  <c r="AT63" i="21"/>
  <c r="AY65" i="21"/>
  <c r="BA68" i="21"/>
  <c r="BA83" i="21"/>
  <c r="BC88" i="21"/>
  <c r="AV152" i="21"/>
  <c r="AZ18" i="22"/>
  <c r="BJ23" i="22"/>
  <c r="BB24" i="22"/>
  <c r="AY25" i="22"/>
  <c r="BI25" i="22"/>
  <c r="BB41" i="22"/>
  <c r="BD43" i="22"/>
  <c r="BH61" i="22"/>
  <c r="AX63" i="22"/>
  <c r="AY64" i="22"/>
  <c r="BA81" i="22"/>
  <c r="AX126" i="22"/>
  <c r="BJ131" i="22"/>
  <c r="BD144" i="22"/>
  <c r="BB27" i="23"/>
  <c r="AX39" i="23"/>
  <c r="AV41" i="23"/>
  <c r="BD41" i="23"/>
  <c r="BI47" i="23"/>
  <c r="AV64" i="23"/>
  <c r="BB111" i="23"/>
  <c r="AV125" i="23"/>
  <c r="AW147" i="23"/>
  <c r="BC150" i="23"/>
  <c r="BC151" i="23"/>
  <c r="BB152" i="23"/>
  <c r="BF24" i="24"/>
  <c r="BB25" i="24"/>
  <c r="BH26" i="24"/>
  <c r="BD43" i="24"/>
  <c r="AX61" i="24"/>
  <c r="AT65" i="24"/>
  <c r="BC65" i="24"/>
  <c r="BA69" i="24"/>
  <c r="BE81" i="24"/>
  <c r="AZ106" i="24"/>
  <c r="BB125" i="24"/>
  <c r="BF144" i="24"/>
  <c r="BJ152" i="24"/>
  <c r="BJ19" i="25"/>
  <c r="BK23" i="25"/>
  <c r="AW23" i="25"/>
  <c r="BH23" i="25"/>
  <c r="BH27" i="25"/>
  <c r="BJ107" i="25"/>
  <c r="BG107" i="25"/>
  <c r="AX107" i="25"/>
  <c r="AV107" i="25"/>
  <c r="BH87" i="26"/>
  <c r="BK87" i="26"/>
  <c r="BJ87" i="26"/>
  <c r="AT87" i="26"/>
  <c r="BH109" i="26"/>
  <c r="BK109" i="26"/>
  <c r="BJ109" i="26"/>
  <c r="BB109" i="26"/>
  <c r="AT109" i="26"/>
  <c r="AS109" i="26"/>
  <c r="AR109" i="26" s="1"/>
  <c r="AQ109" i="26" s="1"/>
  <c r="AA109" i="26" s="1"/>
  <c r="BE130" i="28"/>
  <c r="BD130" i="28"/>
  <c r="BC130" i="28"/>
  <c r="BB130" i="28"/>
  <c r="AU130" i="28"/>
  <c r="BG149" i="28"/>
  <c r="BD149" i="28"/>
  <c r="AZ149" i="28"/>
  <c r="AX149" i="28"/>
  <c r="BJ82" i="20"/>
  <c r="BG103" i="20"/>
  <c r="BF105" i="20"/>
  <c r="AS124" i="20"/>
  <c r="AR124" i="20" s="1"/>
  <c r="AQ124" i="20" s="1"/>
  <c r="AA124" i="20" s="1"/>
  <c r="AV127" i="20"/>
  <c r="AV146" i="20"/>
  <c r="AU148" i="20"/>
  <c r="AV149" i="20"/>
  <c r="AX26" i="21"/>
  <c r="BJ46" i="21"/>
  <c r="BB48" i="21"/>
  <c r="BD68" i="21"/>
  <c r="BB83" i="21"/>
  <c r="BI88" i="21"/>
  <c r="AU124" i="21"/>
  <c r="BC18" i="22"/>
  <c r="BK23" i="22"/>
  <c r="BD24" i="22"/>
  <c r="AZ25" i="22"/>
  <c r="BJ25" i="22"/>
  <c r="BF26" i="22"/>
  <c r="AV27" i="22"/>
  <c r="BD41" i="22"/>
  <c r="BK43" i="22"/>
  <c r="BD63" i="22"/>
  <c r="AZ64" i="22"/>
  <c r="AU65" i="22"/>
  <c r="BG81" i="22"/>
  <c r="BI103" i="22"/>
  <c r="BA104" i="22"/>
  <c r="AS105" i="22"/>
  <c r="AR105" i="22" s="1"/>
  <c r="AQ105" i="22" s="1"/>
  <c r="AA105" i="22" s="1"/>
  <c r="BF126" i="22"/>
  <c r="AW147" i="22"/>
  <c r="BC150" i="22"/>
  <c r="BB151" i="22"/>
  <c r="AU18" i="23"/>
  <c r="AT20" i="23"/>
  <c r="BE27" i="23"/>
  <c r="BD39" i="23"/>
  <c r="AW41" i="23"/>
  <c r="BI41" i="23"/>
  <c r="BH46" i="23"/>
  <c r="BJ47" i="23"/>
  <c r="BH64" i="23"/>
  <c r="BG69" i="23"/>
  <c r="AT84" i="23"/>
  <c r="AZ90" i="23"/>
  <c r="AU104" i="23"/>
  <c r="BH111" i="23"/>
  <c r="BG147" i="23"/>
  <c r="BD151" i="23"/>
  <c r="BF152" i="23"/>
  <c r="BG24" i="24"/>
  <c r="BC25" i="24"/>
  <c r="BE43" i="24"/>
  <c r="BD61" i="24"/>
  <c r="AU65" i="24"/>
  <c r="BD65" i="24"/>
  <c r="BF69" i="24"/>
  <c r="AS83" i="24"/>
  <c r="AR83" i="24" s="1"/>
  <c r="AQ83" i="24" s="1"/>
  <c r="AA83" i="24" s="1"/>
  <c r="AW90" i="24"/>
  <c r="BG106" i="24"/>
  <c r="AS107" i="24"/>
  <c r="AR107" i="24" s="1"/>
  <c r="AQ107" i="24" s="1"/>
  <c r="Z107" i="24" s="1"/>
  <c r="AY132" i="24"/>
  <c r="BH144" i="24"/>
  <c r="BG18" i="26"/>
  <c r="AW18" i="26"/>
  <c r="BE41" i="28"/>
  <c r="BI41" i="28"/>
  <c r="AV41" i="28"/>
  <c r="BF83" i="29"/>
  <c r="BI83" i="29"/>
  <c r="AZ83" i="29"/>
  <c r="AV131" i="20"/>
  <c r="BG131" i="20"/>
  <c r="AY146" i="20"/>
  <c r="AY148" i="20"/>
  <c r="AZ149" i="20"/>
  <c r="AS150" i="20"/>
  <c r="AR150" i="20" s="1"/>
  <c r="AQ150" i="20" s="1"/>
  <c r="Z150" i="20" s="1"/>
  <c r="AZ21" i="21"/>
  <c r="AV23" i="21"/>
  <c r="BK26" i="25"/>
  <c r="BD26" i="25"/>
  <c r="BC26" i="25"/>
  <c r="BF27" i="25"/>
  <c r="BD27" i="25"/>
  <c r="BB27" i="25"/>
  <c r="BJ27" i="25"/>
  <c r="AY27" i="25"/>
  <c r="BH145" i="25"/>
  <c r="BI145" i="25"/>
  <c r="BD145" i="25"/>
  <c r="BA145" i="25"/>
  <c r="AV145" i="25"/>
  <c r="AS145" i="25"/>
  <c r="AR145" i="25" s="1"/>
  <c r="AQ145" i="25" s="1"/>
  <c r="AA145" i="25" s="1"/>
  <c r="BI150" i="26"/>
  <c r="AZ150" i="26"/>
  <c r="AV150" i="26"/>
  <c r="BK150" i="26"/>
  <c r="AS150" i="26"/>
  <c r="AR150" i="26" s="1"/>
  <c r="AQ150" i="26" s="1"/>
  <c r="Z150" i="26" s="1"/>
  <c r="BJ150" i="26"/>
  <c r="BD150" i="26"/>
  <c r="BC150" i="26"/>
  <c r="BB150" i="26"/>
  <c r="BK90" i="28"/>
  <c r="AY90" i="28"/>
  <c r="AW90" i="28"/>
  <c r="BG90" i="28"/>
  <c r="AT90" i="28"/>
  <c r="BF90" i="28"/>
  <c r="AS90" i="28"/>
  <c r="AR90" i="28" s="1"/>
  <c r="AQ90" i="28" s="1"/>
  <c r="AA90" i="28" s="1"/>
  <c r="BD90" i="28"/>
  <c r="BB90" i="28"/>
  <c r="BA90" i="28"/>
  <c r="BE111" i="28"/>
  <c r="BH111" i="28"/>
  <c r="BG111" i="28"/>
  <c r="AY111" i="28"/>
  <c r="AV111" i="28"/>
  <c r="AS111" i="28"/>
  <c r="AR111" i="28" s="1"/>
  <c r="AQ111" i="28" s="1"/>
  <c r="AA111" i="28" s="1"/>
  <c r="BH67" i="29"/>
  <c r="BF67" i="29"/>
  <c r="BD67" i="29"/>
  <c r="AX67" i="29"/>
  <c r="BK153" i="29"/>
  <c r="AV153" i="29"/>
  <c r="AW131" i="20"/>
  <c r="BJ131" i="20"/>
  <c r="BC146" i="20"/>
  <c r="BA149" i="20"/>
  <c r="AU46" i="21"/>
  <c r="BD48" i="21"/>
  <c r="AT64" i="21"/>
  <c r="BI68" i="21"/>
  <c r="AS83" i="21"/>
  <c r="AR83" i="21" s="1"/>
  <c r="AQ83" i="21" s="1"/>
  <c r="AA83" i="21" s="1"/>
  <c r="BF83" i="21"/>
  <c r="AY86" i="21"/>
  <c r="AZ124" i="21"/>
  <c r="AS150" i="21"/>
  <c r="AR150" i="21" s="1"/>
  <c r="AQ150" i="21" s="1"/>
  <c r="AA150" i="21" s="1"/>
  <c r="BF18" i="22"/>
  <c r="AT23" i="22"/>
  <c r="BB25" i="22"/>
  <c r="AY65" i="22"/>
  <c r="BE69" i="22"/>
  <c r="BH104" i="22"/>
  <c r="AZ105" i="22"/>
  <c r="BB147" i="22"/>
  <c r="AX18" i="23"/>
  <c r="AX21" i="23"/>
  <c r="AV27" i="23"/>
  <c r="BH27" i="23"/>
  <c r="AY41" i="23"/>
  <c r="BK41" i="23"/>
  <c r="AU47" i="23"/>
  <c r="BF84" i="23"/>
  <c r="AZ107" i="23"/>
  <c r="AT108" i="23"/>
  <c r="AV132" i="23"/>
  <c r="AZ40" i="24"/>
  <c r="BG61" i="24"/>
  <c r="AW63" i="24"/>
  <c r="AW65" i="24"/>
  <c r="BH65" i="24"/>
  <c r="AU66" i="24"/>
  <c r="AW83" i="24"/>
  <c r="BH90" i="24"/>
  <c r="AV105" i="24"/>
  <c r="BI106" i="24"/>
  <c r="BI107" i="24"/>
  <c r="AZ108" i="24"/>
  <c r="AV126" i="24"/>
  <c r="BE130" i="24"/>
  <c r="AT18" i="25"/>
  <c r="AX19" i="25"/>
  <c r="AT27" i="25"/>
  <c r="BH42" i="27"/>
  <c r="BI42" i="27"/>
  <c r="AW42" i="27"/>
  <c r="BI40" i="28"/>
  <c r="AS40" i="28"/>
  <c r="AR40" i="28" s="1"/>
  <c r="AQ40" i="28" s="1"/>
  <c r="Z40" i="28" s="1"/>
  <c r="BI67" i="28"/>
  <c r="BG67" i="28"/>
  <c r="BC67" i="28"/>
  <c r="AU67" i="28"/>
  <c r="AT67" i="28"/>
  <c r="BJ126" i="29"/>
  <c r="BI126" i="29"/>
  <c r="AY126" i="29"/>
  <c r="AV126" i="29"/>
  <c r="BI145" i="29"/>
  <c r="AZ145" i="29"/>
  <c r="AY145" i="29"/>
  <c r="BK145" i="29"/>
  <c r="AW145" i="29"/>
  <c r="BH145" i="29"/>
  <c r="AV145" i="29"/>
  <c r="BF145" i="29"/>
  <c r="AU145" i="29"/>
  <c r="BC145" i="29"/>
  <c r="AT145" i="29"/>
  <c r="BB145" i="29"/>
  <c r="BJ152" i="29"/>
  <c r="BF152" i="29"/>
  <c r="BE40" i="25"/>
  <c r="BH47" i="25"/>
  <c r="BK62" i="25"/>
  <c r="BE63" i="25"/>
  <c r="BC64" i="25"/>
  <c r="BC67" i="25"/>
  <c r="AU81" i="25"/>
  <c r="AY89" i="25"/>
  <c r="AX104" i="25"/>
  <c r="BC124" i="25"/>
  <c r="BD125" i="25"/>
  <c r="BH148" i="25"/>
  <c r="BF150" i="25"/>
  <c r="AT24" i="26"/>
  <c r="BH40" i="26"/>
  <c r="BG83" i="26"/>
  <c r="BA86" i="26"/>
  <c r="BG88" i="26"/>
  <c r="AY131" i="26"/>
  <c r="AS149" i="26"/>
  <c r="AR149" i="26" s="1"/>
  <c r="AQ149" i="26" s="1"/>
  <c r="Z149" i="26" s="1"/>
  <c r="AV152" i="26"/>
  <c r="AV24" i="27"/>
  <c r="AT27" i="27"/>
  <c r="BI45" i="27"/>
  <c r="BA48" i="27"/>
  <c r="AS61" i="27"/>
  <c r="AR61" i="27" s="1"/>
  <c r="AQ61" i="27" s="1"/>
  <c r="AA61" i="27" s="1"/>
  <c r="BA65" i="27"/>
  <c r="BI69" i="27"/>
  <c r="AZ81" i="27"/>
  <c r="BA85" i="27"/>
  <c r="BG86" i="27"/>
  <c r="AX87" i="27"/>
  <c r="AY88" i="27"/>
  <c r="AY124" i="27"/>
  <c r="BG127" i="27"/>
  <c r="AT128" i="27"/>
  <c r="AU132" i="27"/>
  <c r="AY146" i="27"/>
  <c r="BC148" i="27"/>
  <c r="AY150" i="27"/>
  <c r="AU151" i="27"/>
  <c r="BJ153" i="27"/>
  <c r="AT22" i="28"/>
  <c r="BI22" i="28"/>
  <c r="AT25" i="28"/>
  <c r="BA46" i="28"/>
  <c r="BB60" i="28"/>
  <c r="BB68" i="28"/>
  <c r="BB83" i="28"/>
  <c r="AX103" i="28"/>
  <c r="BC105" i="28"/>
  <c r="AT106" i="28"/>
  <c r="BH110" i="28"/>
  <c r="BE123" i="28"/>
  <c r="BG125" i="28"/>
  <c r="BG147" i="28"/>
  <c r="BJ151" i="28"/>
  <c r="AY68" i="29"/>
  <c r="BG81" i="29"/>
  <c r="AV89" i="29"/>
  <c r="AX90" i="29"/>
  <c r="AU102" i="29"/>
  <c r="AV102" i="29" s="1"/>
  <c r="BK111" i="29"/>
  <c r="BA124" i="29"/>
  <c r="AZ131" i="29"/>
  <c r="BC81" i="25"/>
  <c r="AZ86" i="25"/>
  <c r="AV87" i="25"/>
  <c r="BG89" i="25"/>
  <c r="AY104" i="25"/>
  <c r="AU19" i="26"/>
  <c r="BF131" i="26"/>
  <c r="BB132" i="26"/>
  <c r="AT149" i="26"/>
  <c r="AX152" i="26"/>
  <c r="BC24" i="27"/>
  <c r="BH27" i="27"/>
  <c r="BJ45" i="27"/>
  <c r="BC81" i="27"/>
  <c r="BI86" i="27"/>
  <c r="BI87" i="27"/>
  <c r="BI88" i="27"/>
  <c r="BG90" i="27"/>
  <c r="BG43" i="29"/>
  <c r="AX48" i="29"/>
  <c r="BK48" i="29"/>
  <c r="AX60" i="29"/>
  <c r="AZ68" i="29"/>
  <c r="AZ82" i="29"/>
  <c r="AW89" i="29"/>
  <c r="AZ102" i="29"/>
  <c r="AV108" i="29"/>
  <c r="BI124" i="29"/>
  <c r="BG81" i="25"/>
  <c r="BD104" i="25"/>
  <c r="AS106" i="25"/>
  <c r="AR106" i="25" s="1"/>
  <c r="AQ106" i="25" s="1"/>
  <c r="Z106" i="25" s="1"/>
  <c r="BD108" i="25"/>
  <c r="AW147" i="25"/>
  <c r="AS148" i="25"/>
  <c r="AR148" i="25" s="1"/>
  <c r="AQ148" i="25" s="1"/>
  <c r="AA148" i="25" s="1"/>
  <c r="BI150" i="25"/>
  <c r="BJ151" i="25"/>
  <c r="AW152" i="25"/>
  <c r="BD19" i="26"/>
  <c r="BC86" i="26"/>
  <c r="BK88" i="26"/>
  <c r="BH89" i="26"/>
  <c r="BJ107" i="26"/>
  <c r="BG131" i="26"/>
  <c r="AS104" i="27"/>
  <c r="AR104" i="27" s="1"/>
  <c r="AQ104" i="27" s="1"/>
  <c r="AA104" i="27" s="1"/>
  <c r="BB124" i="27"/>
  <c r="BJ132" i="27"/>
  <c r="AX23" i="28"/>
  <c r="BB25" i="28"/>
  <c r="BD26" i="28"/>
  <c r="AU64" i="28"/>
  <c r="AY66" i="28"/>
  <c r="BK68" i="28"/>
  <c r="BK83" i="28"/>
  <c r="AW89" i="28"/>
  <c r="BC103" i="28"/>
  <c r="AT104" i="28"/>
  <c r="AU105" i="28"/>
  <c r="BE105" i="28"/>
  <c r="BF106" i="28"/>
  <c r="BH107" i="28"/>
  <c r="AS124" i="28"/>
  <c r="AR124" i="28" s="1"/>
  <c r="AQ124" i="28" s="1"/>
  <c r="AA124" i="28" s="1"/>
  <c r="BD126" i="28"/>
  <c r="AZ148" i="28"/>
  <c r="BH19" i="29"/>
  <c r="AT42" i="29"/>
  <c r="AW44" i="29"/>
  <c r="BB68" i="29"/>
  <c r="BC108" i="29"/>
  <c r="BI131" i="29"/>
  <c r="AS47" i="25"/>
  <c r="AR47" i="25" s="1"/>
  <c r="AQ47" i="25" s="1"/>
  <c r="AA47" i="25" s="1"/>
  <c r="AY66" i="25"/>
  <c r="AS86" i="25"/>
  <c r="AR86" i="25" s="1"/>
  <c r="AQ86" i="25" s="1"/>
  <c r="Z86" i="25" s="1"/>
  <c r="BB86" i="25"/>
  <c r="AZ87" i="25"/>
  <c r="AW90" i="25"/>
  <c r="BF104" i="25"/>
  <c r="BH108" i="25"/>
  <c r="AU148" i="25"/>
  <c r="BK19" i="26"/>
  <c r="BK64" i="26"/>
  <c r="BK86" i="26"/>
  <c r="BJ89" i="26"/>
  <c r="BG105" i="26"/>
  <c r="AZ106" i="26"/>
  <c r="AX125" i="26"/>
  <c r="BI131" i="26"/>
  <c r="AZ19" i="27"/>
  <c r="AY45" i="27"/>
  <c r="AS46" i="27"/>
  <c r="AR46" i="27" s="1"/>
  <c r="AQ46" i="27" s="1"/>
  <c r="AA46" i="27" s="1"/>
  <c r="AV86" i="27"/>
  <c r="AV104" i="27"/>
  <c r="BC151" i="27"/>
  <c r="AV153" i="27"/>
  <c r="BF23" i="28"/>
  <c r="BF25" i="28"/>
  <c r="AV124" i="28"/>
  <c r="AV42" i="29"/>
  <c r="AZ44" i="29"/>
  <c r="AT40" i="25"/>
  <c r="AT47" i="25"/>
  <c r="AT86" i="25"/>
  <c r="BE86" i="25"/>
  <c r="BA87" i="25"/>
  <c r="BH104" i="25"/>
  <c r="BB126" i="25"/>
  <c r="AU144" i="25"/>
  <c r="AX148" i="25"/>
  <c r="AS150" i="25"/>
  <c r="AR150" i="25" s="1"/>
  <c r="AQ150" i="25" s="1"/>
  <c r="AA150" i="25" s="1"/>
  <c r="AU26" i="26"/>
  <c r="AX46" i="26"/>
  <c r="AT47" i="26"/>
  <c r="AX82" i="26"/>
  <c r="BH19" i="27"/>
  <c r="AZ45" i="27"/>
  <c r="AT46" i="27"/>
  <c r="AU83" i="27"/>
  <c r="AW86" i="27"/>
  <c r="AW104" i="27"/>
  <c r="AZ107" i="27"/>
  <c r="AW144" i="27"/>
  <c r="AW153" i="27"/>
  <c r="AW104" i="28"/>
  <c r="BI105" i="28"/>
  <c r="AT123" i="28"/>
  <c r="AX124" i="28"/>
  <c r="AV150" i="28"/>
  <c r="BB42" i="29"/>
  <c r="BA44" i="29"/>
  <c r="BB48" i="29"/>
  <c r="AS110" i="29"/>
  <c r="AR110" i="29" s="1"/>
  <c r="AQ110" i="29" s="1"/>
  <c r="AA110" i="29" s="1"/>
  <c r="BC111" i="29"/>
  <c r="BC123" i="29"/>
  <c r="BB40" i="25"/>
  <c r="AV124" i="25"/>
  <c r="BA148" i="25"/>
  <c r="AV150" i="25"/>
  <c r="BC22" i="26"/>
  <c r="BH26" i="26"/>
  <c r="AY40" i="26"/>
  <c r="BC47" i="26"/>
  <c r="BK82" i="26"/>
  <c r="AW83" i="26"/>
  <c r="BA88" i="26"/>
  <c r="AW131" i="26"/>
  <c r="BI144" i="26"/>
  <c r="BA148" i="26"/>
  <c r="BB45" i="27"/>
  <c r="BJ46" i="27"/>
  <c r="AT69" i="27"/>
  <c r="BF83" i="27"/>
  <c r="BE86" i="27"/>
  <c r="BH104" i="27"/>
  <c r="AV130" i="27"/>
  <c r="AY131" i="27"/>
  <c r="AW148" i="27"/>
  <c r="BD153" i="27"/>
  <c r="BD21" i="28"/>
  <c r="BC22" i="28"/>
  <c r="AS60" i="28"/>
  <c r="AR60" i="28" s="1"/>
  <c r="AR71" i="28" s="1"/>
  <c r="AX68" i="28"/>
  <c r="AV103" i="28"/>
  <c r="BE104" i="28"/>
  <c r="BA105" i="28"/>
  <c r="BK105" i="28"/>
  <c r="AV110" i="28"/>
  <c r="AZ123" i="28"/>
  <c r="BI124" i="28"/>
  <c r="AS125" i="28"/>
  <c r="AR125" i="28" s="1"/>
  <c r="AQ125" i="28" s="1"/>
  <c r="Z125" i="28" s="1"/>
  <c r="BB128" i="28"/>
  <c r="AY147" i="28"/>
  <c r="BA150" i="28"/>
  <c r="AT151" i="28"/>
  <c r="AV43" i="29"/>
  <c r="AV45" i="29"/>
  <c r="AT48" i="29"/>
  <c r="BG48" i="29"/>
  <c r="BH65" i="29"/>
  <c r="AZ81" i="29"/>
  <c r="AU90" i="29"/>
  <c r="BG111" i="29"/>
  <c r="BH123" i="29"/>
  <c r="BH130" i="29"/>
  <c r="AS131" i="29"/>
  <c r="AR131" i="29" s="1"/>
  <c r="AQ131" i="29" s="1"/>
  <c r="AA131" i="29" s="1"/>
  <c r="BK147" i="29"/>
  <c r="BG62" i="25"/>
  <c r="AV63" i="25"/>
  <c r="BI66" i="25"/>
  <c r="AS81" i="25"/>
  <c r="AR81" i="25" s="1"/>
  <c r="AR92" i="25" s="1"/>
  <c r="AS89" i="25"/>
  <c r="AR89" i="25" s="1"/>
  <c r="AQ89" i="25" s="1"/>
  <c r="AA89" i="25" s="1"/>
  <c r="AV104" i="25"/>
  <c r="BK106" i="25"/>
  <c r="AX108" i="25"/>
  <c r="AZ124" i="25"/>
  <c r="BC148" i="25"/>
  <c r="BC150" i="25"/>
  <c r="BF40" i="26"/>
  <c r="BC83" i="26"/>
  <c r="AX131" i="26"/>
  <c r="AZ145" i="26"/>
  <c r="AT152" i="26"/>
  <c r="AU24" i="27"/>
  <c r="BD45" i="27"/>
  <c r="AS65" i="27"/>
  <c r="AR65" i="27" s="1"/>
  <c r="AQ65" i="27" s="1"/>
  <c r="AA65" i="27" s="1"/>
  <c r="AZ69" i="27"/>
  <c r="AY81" i="27"/>
  <c r="BF86" i="27"/>
  <c r="AW87" i="27"/>
  <c r="AX88" i="27"/>
  <c r="BA148" i="27"/>
  <c r="AV150" i="27"/>
  <c r="BE153" i="27"/>
  <c r="BH22" i="28"/>
  <c r="BA60" i="28"/>
  <c r="BJ63" i="28"/>
  <c r="BA83" i="28"/>
  <c r="AW103" i="28"/>
  <c r="AW110" i="28"/>
  <c r="BB123" i="28"/>
  <c r="AW125" i="28"/>
  <c r="AY129" i="28"/>
  <c r="BD147" i="28"/>
  <c r="AV124" i="29"/>
  <c r="AX131" i="29"/>
  <c r="AZ110" i="20"/>
  <c r="BB24" i="20"/>
  <c r="BH40" i="20"/>
  <c r="AZ86" i="20"/>
  <c r="BD102" i="20"/>
  <c r="AX110" i="20"/>
  <c r="BH110" i="20"/>
  <c r="AU125" i="20"/>
  <c r="BE109" i="21"/>
  <c r="BH109" i="21"/>
  <c r="BB109" i="21"/>
  <c r="AX109" i="21"/>
  <c r="BH90" i="22"/>
  <c r="BK90" i="22"/>
  <c r="AW90" i="22"/>
  <c r="AV90" i="22"/>
  <c r="AU90" i="22"/>
  <c r="AT102" i="22"/>
  <c r="BE85" i="23"/>
  <c r="BK85" i="23"/>
  <c r="BG85" i="23"/>
  <c r="BD85" i="23"/>
  <c r="AV85" i="23"/>
  <c r="BH106" i="23"/>
  <c r="BF106" i="23"/>
  <c r="BD106" i="23"/>
  <c r="BC106" i="23"/>
  <c r="AX106" i="23"/>
  <c r="AW106" i="23"/>
  <c r="AU106" i="23"/>
  <c r="AT106" i="23"/>
  <c r="BK46" i="24"/>
  <c r="BC46" i="24"/>
  <c r="AV46" i="24"/>
  <c r="AS46" i="24"/>
  <c r="AR46" i="24" s="1"/>
  <c r="AQ46" i="24" s="1"/>
  <c r="AA46" i="24" s="1"/>
  <c r="BK147" i="26"/>
  <c r="BJ147" i="26"/>
  <c r="BF147" i="26"/>
  <c r="AV147" i="26"/>
  <c r="AT147" i="26"/>
  <c r="AY65" i="20"/>
  <c r="BG67" i="20"/>
  <c r="BI84" i="20"/>
  <c r="BJ86" i="20"/>
  <c r="AW104" i="20"/>
  <c r="AX19" i="20"/>
  <c r="BJ19" i="20"/>
  <c r="AV21" i="20"/>
  <c r="BK24" i="20"/>
  <c r="AW25" i="20"/>
  <c r="BI40" i="20"/>
  <c r="AS41" i="20"/>
  <c r="AR41" i="20" s="1"/>
  <c r="AQ41" i="20" s="1"/>
  <c r="Z41" i="20" s="1"/>
  <c r="AX43" i="20"/>
  <c r="BB46" i="20"/>
  <c r="AW48" i="20"/>
  <c r="AV61" i="20"/>
  <c r="AW62" i="20"/>
  <c r="BG62" i="20"/>
  <c r="BF63" i="20"/>
  <c r="BB64" i="20"/>
  <c r="BK65" i="20"/>
  <c r="BI67" i="20"/>
  <c r="BA81" i="20"/>
  <c r="AU83" i="20"/>
  <c r="BJ84" i="20"/>
  <c r="BA86" i="20"/>
  <c r="BK86" i="20"/>
  <c r="AZ89" i="20"/>
  <c r="BE102" i="20"/>
  <c r="BD104" i="20"/>
  <c r="BD105" i="20"/>
  <c r="AY110" i="20"/>
  <c r="BJ110" i="20"/>
  <c r="AV125" i="20"/>
  <c r="AU127" i="20"/>
  <c r="BB132" i="20"/>
  <c r="AU19" i="21"/>
  <c r="BF19" i="21"/>
  <c r="AS21" i="21"/>
  <c r="AR21" i="21" s="1"/>
  <c r="AQ21" i="21" s="1"/>
  <c r="AA21" i="21" s="1"/>
  <c r="AU22" i="21"/>
  <c r="BG22" i="21"/>
  <c r="BC25" i="21"/>
  <c r="BB26" i="21"/>
  <c r="AT39" i="21"/>
  <c r="BA40" i="21"/>
  <c r="AT60" i="21"/>
  <c r="BD60" i="21"/>
  <c r="BC62" i="21"/>
  <c r="BE108" i="22"/>
  <c r="BK108" i="22"/>
  <c r="AX108" i="22"/>
  <c r="AV108" i="22"/>
  <c r="AU108" i="22"/>
  <c r="BB25" i="20"/>
  <c r="BA26" i="20"/>
  <c r="BI39" i="20"/>
  <c r="BD41" i="20"/>
  <c r="BF43" i="20"/>
  <c r="BC48" i="20"/>
  <c r="BE61" i="20"/>
  <c r="BH63" i="20"/>
  <c r="AU64" i="20"/>
  <c r="BE64" i="20"/>
  <c r="BB68" i="20"/>
  <c r="BE81" i="20"/>
  <c r="AW84" i="20"/>
  <c r="AS86" i="20"/>
  <c r="AR86" i="20" s="1"/>
  <c r="AQ86" i="20" s="1"/>
  <c r="Z86" i="20" s="1"/>
  <c r="BC86" i="20"/>
  <c r="BG89" i="20"/>
  <c r="AW103" i="20"/>
  <c r="BI105" i="20"/>
  <c r="BG109" i="20"/>
  <c r="BB110" i="20"/>
  <c r="AT111" i="20"/>
  <c r="BI111" i="20"/>
  <c r="BE123" i="20"/>
  <c r="AX127" i="20"/>
  <c r="BI131" i="20"/>
  <c r="BI132" i="20"/>
  <c r="BB145" i="20"/>
  <c r="BJ146" i="20"/>
  <c r="BH149" i="20"/>
  <c r="AV150" i="20"/>
  <c r="AX19" i="21"/>
  <c r="BI19" i="21"/>
  <c r="BG21" i="21"/>
  <c r="AW22" i="21"/>
  <c r="BK22" i="21"/>
  <c r="BG24" i="21"/>
  <c r="BI25" i="21"/>
  <c r="BI26" i="21"/>
  <c r="BD27" i="21"/>
  <c r="AY39" i="21"/>
  <c r="BD40" i="21"/>
  <c r="AV41" i="21"/>
  <c r="AZ46" i="21"/>
  <c r="AW60" i="21"/>
  <c r="BG63" i="21"/>
  <c r="BJ63" i="21"/>
  <c r="AZ63" i="21"/>
  <c r="BI63" i="21"/>
  <c r="AX63" i="21"/>
  <c r="BH63" i="21"/>
  <c r="AW63" i="21"/>
  <c r="BF63" i="21"/>
  <c r="AV63" i="21"/>
  <c r="BH125" i="21"/>
  <c r="BF125" i="21"/>
  <c r="AW18" i="20"/>
  <c r="BB19" i="20"/>
  <c r="AU22" i="20"/>
  <c r="AV23" i="20"/>
  <c r="BC25" i="20"/>
  <c r="BB26" i="20"/>
  <c r="BE41" i="20"/>
  <c r="AW42" i="20"/>
  <c r="BI43" i="20"/>
  <c r="BH44" i="20"/>
  <c r="AW45" i="20"/>
  <c r="BD48" i="20"/>
  <c r="BG61" i="20"/>
  <c r="AV64" i="20"/>
  <c r="BG64" i="20"/>
  <c r="BB82" i="20"/>
  <c r="AZ84" i="20"/>
  <c r="AT86" i="20"/>
  <c r="BD86" i="20"/>
  <c r="BH89" i="20"/>
  <c r="BA103" i="20"/>
  <c r="AS110" i="20"/>
  <c r="AR110" i="20" s="1"/>
  <c r="AQ110" i="20" s="1"/>
  <c r="Z110" i="20" s="1"/>
  <c r="BD110" i="20"/>
  <c r="AY127" i="20"/>
  <c r="AW147" i="20"/>
  <c r="BG62" i="21"/>
  <c r="BJ62" i="21"/>
  <c r="AZ62" i="21"/>
  <c r="BI62" i="21"/>
  <c r="AW62" i="21"/>
  <c r="BH62" i="21"/>
  <c r="AV62" i="21"/>
  <c r="BE62" i="21"/>
  <c r="AU62" i="21"/>
  <c r="BE69" i="21"/>
  <c r="BJ69" i="21"/>
  <c r="BH69" i="21"/>
  <c r="BA69" i="21"/>
  <c r="AT69" i="21"/>
  <c r="AS69" i="21"/>
  <c r="AR69" i="21" s="1"/>
  <c r="AQ69" i="21" s="1"/>
  <c r="AA69" i="21" s="1"/>
  <c r="BI46" i="22"/>
  <c r="BK46" i="22"/>
  <c r="BJ46" i="22"/>
  <c r="BE46" i="22"/>
  <c r="BC46" i="22"/>
  <c r="BB46" i="22"/>
  <c r="AY46" i="22"/>
  <c r="AX46" i="22"/>
  <c r="BE82" i="22"/>
  <c r="BK82" i="22"/>
  <c r="BC82" i="22"/>
  <c r="BB82" i="22"/>
  <c r="BA82" i="22"/>
  <c r="AS82" i="22"/>
  <c r="AR82" i="22" s="1"/>
  <c r="AQ82" i="22" s="1"/>
  <c r="AA82" i="22" s="1"/>
  <c r="BH83" i="22"/>
  <c r="BI83" i="22"/>
  <c r="BD83" i="22"/>
  <c r="BC83" i="22"/>
  <c r="BB83" i="22"/>
  <c r="AZ83" i="22"/>
  <c r="AV83" i="22"/>
  <c r="AU83" i="22"/>
  <c r="BD19" i="23"/>
  <c r="BH19" i="23"/>
  <c r="BB86" i="20"/>
  <c r="BD25" i="20"/>
  <c r="AS40" i="20"/>
  <c r="AR40" i="20" s="1"/>
  <c r="AQ40" i="20" s="1"/>
  <c r="AA40" i="20" s="1"/>
  <c r="AW64" i="20"/>
  <c r="BH64" i="20"/>
  <c r="BG81" i="20"/>
  <c r="BA84" i="20"/>
  <c r="AU86" i="20"/>
  <c r="BE86" i="20"/>
  <c r="AT110" i="20"/>
  <c r="BE110" i="20"/>
  <c r="BC127" i="20"/>
  <c r="BF145" i="20"/>
  <c r="AX147" i="20"/>
  <c r="AZ148" i="20"/>
  <c r="AU149" i="20"/>
  <c r="BK149" i="20"/>
  <c r="BB22" i="21"/>
  <c r="BG39" i="21"/>
  <c r="BD41" i="21"/>
  <c r="BH60" i="21"/>
  <c r="BJ129" i="21"/>
  <c r="BI129" i="21"/>
  <c r="BD129" i="21"/>
  <c r="AZ129" i="21"/>
  <c r="AW129" i="21"/>
  <c r="AV129" i="21"/>
  <c r="BI128" i="23"/>
  <c r="BK128" i="23"/>
  <c r="BH128" i="23"/>
  <c r="BD128" i="23"/>
  <c r="AY128" i="23"/>
  <c r="AW128" i="23"/>
  <c r="AU128" i="23"/>
  <c r="AS128" i="23"/>
  <c r="AR128" i="23" s="1"/>
  <c r="AQ128" i="23" s="1"/>
  <c r="AA128" i="23" s="1"/>
  <c r="AS24" i="20"/>
  <c r="AR24" i="20" s="1"/>
  <c r="AQ24" i="20" s="1"/>
  <c r="Z24" i="20" s="1"/>
  <c r="BG25" i="20"/>
  <c r="AV40" i="20"/>
  <c r="BD62" i="20"/>
  <c r="AX63" i="20"/>
  <c r="AX64" i="20"/>
  <c r="BJ64" i="20"/>
  <c r="AY67" i="20"/>
  <c r="AT81" i="20"/>
  <c r="BD82" i="20"/>
  <c r="BB84" i="20"/>
  <c r="AV86" i="20"/>
  <c r="BH86" i="20"/>
  <c r="AS89" i="20"/>
  <c r="AR89" i="20" s="1"/>
  <c r="AQ89" i="20" s="1"/>
  <c r="AA89" i="20" s="1"/>
  <c r="BA106" i="20"/>
  <c r="BB109" i="20"/>
  <c r="BK109" i="20"/>
  <c r="AV110" i="20"/>
  <c r="BF110" i="20"/>
  <c r="AZ111" i="20"/>
  <c r="AZ123" i="20"/>
  <c r="AZ124" i="20"/>
  <c r="BD127" i="20"/>
  <c r="AV132" i="20"/>
  <c r="BG144" i="20"/>
  <c r="AS145" i="20"/>
  <c r="AR145" i="20" s="1"/>
  <c r="AQ145" i="20" s="1"/>
  <c r="AA145" i="20" s="1"/>
  <c r="BH145" i="20"/>
  <c r="BA146" i="20"/>
  <c r="BE147" i="20"/>
  <c r="BB19" i="21"/>
  <c r="BC22" i="21"/>
  <c r="AV25" i="21"/>
  <c r="AT26" i="21"/>
  <c r="AS40" i="21"/>
  <c r="AR40" i="21" s="1"/>
  <c r="AQ40" i="21" s="1"/>
  <c r="AA40" i="21" s="1"/>
  <c r="BI41" i="21"/>
  <c r="BA43" i="21"/>
  <c r="BF46" i="21"/>
  <c r="BD47" i="21"/>
  <c r="BA60" i="21"/>
  <c r="AT62" i="21"/>
  <c r="AU63" i="21"/>
  <c r="BK106" i="21"/>
  <c r="BJ106" i="21"/>
  <c r="BH106" i="21"/>
  <c r="BF106" i="21"/>
  <c r="BD106" i="21"/>
  <c r="BB106" i="21"/>
  <c r="AX106" i="21"/>
  <c r="AU106" i="21"/>
  <c r="BH89" i="23"/>
  <c r="BI89" i="23"/>
  <c r="AU89" i="23"/>
  <c r="BG89" i="23"/>
  <c r="AT89" i="23"/>
  <c r="BD89" i="23"/>
  <c r="BC89" i="23"/>
  <c r="AZ89" i="23"/>
  <c r="AY89" i="23"/>
  <c r="AX89" i="23"/>
  <c r="AV19" i="20"/>
  <c r="BE19" i="20"/>
  <c r="AT24" i="20"/>
  <c r="BJ25" i="20"/>
  <c r="BH26" i="20"/>
  <c r="BA40" i="20"/>
  <c r="AV43" i="20"/>
  <c r="AX60" i="20"/>
  <c r="AY63" i="20"/>
  <c r="AY64" i="20"/>
  <c r="BK64" i="20"/>
  <c r="BD67" i="20"/>
  <c r="AU81" i="20"/>
  <c r="BF84" i="20"/>
  <c r="AW86" i="20"/>
  <c r="BI86" i="20"/>
  <c r="AW89" i="20"/>
  <c r="AW102" i="20"/>
  <c r="AV104" i="20"/>
  <c r="BB106" i="20"/>
  <c r="AU107" i="20"/>
  <c r="AW110" i="20"/>
  <c r="BG110" i="20"/>
  <c r="BA111" i="20"/>
  <c r="BD124" i="20"/>
  <c r="BG127" i="20"/>
  <c r="AT131" i="20"/>
  <c r="BC131" i="20"/>
  <c r="AW132" i="20"/>
  <c r="AU145" i="20"/>
  <c r="BJ145" i="20"/>
  <c r="BB146" i="20"/>
  <c r="BF147" i="20"/>
  <c r="AZ18" i="21"/>
  <c r="BC19" i="21"/>
  <c r="BD22" i="21"/>
  <c r="AY25" i="21"/>
  <c r="AV26" i="21"/>
  <c r="BF39" i="21"/>
  <c r="BB60" i="21"/>
  <c r="BA62" i="21"/>
  <c r="BA63" i="21"/>
  <c r="BD128" i="22"/>
  <c r="BK128" i="22"/>
  <c r="BG128" i="22"/>
  <c r="BE128" i="22"/>
  <c r="AY128" i="22"/>
  <c r="AX128" i="22"/>
  <c r="AW128" i="22"/>
  <c r="AV128" i="22"/>
  <c r="BH145" i="22"/>
  <c r="BJ145" i="22"/>
  <c r="BI145" i="22"/>
  <c r="BD145" i="22"/>
  <c r="BB145" i="22"/>
  <c r="BA145" i="22"/>
  <c r="AV145" i="22"/>
  <c r="AT145" i="22"/>
  <c r="BG105" i="23"/>
  <c r="BI105" i="23"/>
  <c r="BD105" i="23"/>
  <c r="BA105" i="23"/>
  <c r="BD64" i="21"/>
  <c r="BK65" i="21"/>
  <c r="AT67" i="21"/>
  <c r="BE67" i="21"/>
  <c r="AZ68" i="21"/>
  <c r="BK68" i="21"/>
  <c r="AZ81" i="21"/>
  <c r="BI86" i="21"/>
  <c r="BD87" i="21"/>
  <c r="AV89" i="21"/>
  <c r="BD102" i="21"/>
  <c r="AY104" i="21"/>
  <c r="AW105" i="21"/>
  <c r="BF105" i="21"/>
  <c r="BH107" i="21"/>
  <c r="AS110" i="21"/>
  <c r="AR110" i="21" s="1"/>
  <c r="AQ110" i="21" s="1"/>
  <c r="BA110" i="21"/>
  <c r="BI110" i="21"/>
  <c r="AZ111" i="21"/>
  <c r="AW130" i="21"/>
  <c r="BJ130" i="21"/>
  <c r="AY144" i="21"/>
  <c r="AS149" i="21"/>
  <c r="AR149" i="21" s="1"/>
  <c r="AQ149" i="21" s="1"/>
  <c r="AA149" i="21" s="1"/>
  <c r="BH26" i="22"/>
  <c r="AS27" i="22"/>
  <c r="AR27" i="22" s="1"/>
  <c r="AQ27" i="22" s="1"/>
  <c r="AA27" i="22" s="1"/>
  <c r="AV45" i="22"/>
  <c r="AW47" i="22"/>
  <c r="BI47" i="22"/>
  <c r="AX48" i="22"/>
  <c r="BC67" i="22"/>
  <c r="AW81" i="22"/>
  <c r="AX103" i="22"/>
  <c r="AT104" i="22"/>
  <c r="BD104" i="22"/>
  <c r="AT105" i="22"/>
  <c r="BH105" i="22"/>
  <c r="BC109" i="22"/>
  <c r="AY110" i="22"/>
  <c r="BG110" i="22"/>
  <c r="BA125" i="22"/>
  <c r="AV126" i="22"/>
  <c r="BC127" i="22"/>
  <c r="BA130" i="22"/>
  <c r="BB132" i="22"/>
  <c r="AV146" i="22"/>
  <c r="AX147" i="22"/>
  <c r="BH147" i="22"/>
  <c r="BD149" i="22"/>
  <c r="BD150" i="22"/>
  <c r="BC18" i="23"/>
  <c r="AV20" i="23"/>
  <c r="BB21" i="23"/>
  <c r="AV26" i="23"/>
  <c r="BJ26" i="23"/>
  <c r="BF39" i="23"/>
  <c r="AZ60" i="23"/>
  <c r="BD102" i="23"/>
  <c r="BC104" i="23"/>
  <c r="BH123" i="23"/>
  <c r="BG144" i="23"/>
  <c r="BK153" i="23"/>
  <c r="BJ153" i="23"/>
  <c r="AX153" i="23"/>
  <c r="AW153" i="23"/>
  <c r="BF68" i="24"/>
  <c r="BD68" i="24"/>
  <c r="AT102" i="24"/>
  <c r="BD102" i="24"/>
  <c r="BA102" i="24"/>
  <c r="AU102" i="24"/>
  <c r="AS102" i="24"/>
  <c r="AR102" i="24" s="1"/>
  <c r="BG21" i="26"/>
  <c r="AZ21" i="26"/>
  <c r="BG64" i="21"/>
  <c r="AU67" i="21"/>
  <c r="BG67" i="21"/>
  <c r="BA81" i="21"/>
  <c r="AS87" i="21"/>
  <c r="AR87" i="21" s="1"/>
  <c r="AQ87" i="21" s="1"/>
  <c r="BE87" i="21"/>
  <c r="AX89" i="21"/>
  <c r="BD60" i="22"/>
  <c r="BE81" i="22"/>
  <c r="AW146" i="22"/>
  <c r="AY147" i="22"/>
  <c r="BJ147" i="22"/>
  <c r="BF149" i="22"/>
  <c r="AT150" i="22"/>
  <c r="BE150" i="22"/>
  <c r="AX20" i="23"/>
  <c r="BC21" i="23"/>
  <c r="BG39" i="23"/>
  <c r="AX42" i="23"/>
  <c r="AW46" i="23"/>
  <c r="BE46" i="23"/>
  <c r="BK47" i="23"/>
  <c r="BB60" i="23"/>
  <c r="AZ65" i="23"/>
  <c r="BH82" i="23"/>
  <c r="BK84" i="23"/>
  <c r="BH90" i="23"/>
  <c r="BD104" i="23"/>
  <c r="BA108" i="23"/>
  <c r="AY111" i="23"/>
  <c r="AW123" i="23"/>
  <c r="AU125" i="23"/>
  <c r="BK125" i="23"/>
  <c r="BI127" i="23"/>
  <c r="BI130" i="23"/>
  <c r="AW132" i="23"/>
  <c r="BJ132" i="23"/>
  <c r="AY145" i="23"/>
  <c r="BI86" i="24"/>
  <c r="BJ86" i="24"/>
  <c r="AS86" i="24"/>
  <c r="AR86" i="24" s="1"/>
  <c r="AQ86" i="24" s="1"/>
  <c r="AA86" i="24" s="1"/>
  <c r="BG86" i="24"/>
  <c r="BD86" i="24"/>
  <c r="BB86" i="24"/>
  <c r="BA86" i="24"/>
  <c r="AY86" i="24"/>
  <c r="AW86" i="24"/>
  <c r="BD43" i="25"/>
  <c r="BC43" i="25"/>
  <c r="BB43" i="25"/>
  <c r="AU43" i="25"/>
  <c r="BE84" i="25"/>
  <c r="BG84" i="25"/>
  <c r="AY84" i="25"/>
  <c r="AS84" i="25"/>
  <c r="AR84" i="25" s="1"/>
  <c r="AQ84" i="25" s="1"/>
  <c r="AA84" i="25" s="1"/>
  <c r="BJ64" i="21"/>
  <c r="AV67" i="21"/>
  <c r="BJ67" i="21"/>
  <c r="AS68" i="21"/>
  <c r="AR68" i="21" s="1"/>
  <c r="AQ68" i="21" s="1"/>
  <c r="Z68" i="21" s="1"/>
  <c r="BB68" i="21"/>
  <c r="BC81" i="21"/>
  <c r="AT87" i="21"/>
  <c r="BF87" i="21"/>
  <c r="BA89" i="21"/>
  <c r="BH104" i="21"/>
  <c r="AU108" i="21"/>
  <c r="BD111" i="21"/>
  <c r="AY130" i="21"/>
  <c r="AV145" i="21"/>
  <c r="BH149" i="21"/>
  <c r="AV150" i="21"/>
  <c r="AV151" i="21"/>
  <c r="BE152" i="21"/>
  <c r="AT18" i="22"/>
  <c r="BE21" i="22"/>
  <c r="AU22" i="22"/>
  <c r="BA27" i="22"/>
  <c r="BH39" i="22"/>
  <c r="BD45" i="22"/>
  <c r="AY47" i="22"/>
  <c r="AW65" i="22"/>
  <c r="BK67" i="22"/>
  <c r="BD68" i="22"/>
  <c r="BF69" i="22"/>
  <c r="AY81" i="22"/>
  <c r="AX105" i="22"/>
  <c r="BJ105" i="22"/>
  <c r="AS110" i="22"/>
  <c r="AR110" i="22" s="1"/>
  <c r="AQ110" i="22" s="1"/>
  <c r="AA110" i="22" s="1"/>
  <c r="BA110" i="22"/>
  <c r="BJ110" i="22"/>
  <c r="BA111" i="22"/>
  <c r="BD126" i="22"/>
  <c r="BI130" i="22"/>
  <c r="AU131" i="22"/>
  <c r="BE132" i="22"/>
  <c r="AS149" i="22"/>
  <c r="AR149" i="22" s="1"/>
  <c r="AQ149" i="22" s="1"/>
  <c r="AA149" i="22" s="1"/>
  <c r="BI149" i="22"/>
  <c r="AU150" i="22"/>
  <c r="BH150" i="22"/>
  <c r="AU151" i="22"/>
  <c r="BC20" i="23"/>
  <c r="BE21" i="23"/>
  <c r="AZ23" i="23"/>
  <c r="AZ24" i="23"/>
  <c r="AX26" i="23"/>
  <c r="AS39" i="23"/>
  <c r="AR39" i="23" s="1"/>
  <c r="AQ39" i="23" s="1"/>
  <c r="BH39" i="23"/>
  <c r="BB42" i="23"/>
  <c r="AU43" i="23"/>
  <c r="AX46" i="23"/>
  <c r="BF46" i="23"/>
  <c r="BF60" i="23"/>
  <c r="BD65" i="23"/>
  <c r="BD67" i="23"/>
  <c r="AU68" i="23"/>
  <c r="AW81" i="23"/>
  <c r="BH104" i="23"/>
  <c r="AX123" i="23"/>
  <c r="BB145" i="23"/>
  <c r="BC149" i="23"/>
  <c r="BG39" i="26"/>
  <c r="BF39" i="26"/>
  <c r="BA39" i="26"/>
  <c r="AX39" i="26"/>
  <c r="AS39" i="26"/>
  <c r="AR39" i="26" s="1"/>
  <c r="AQ39" i="26" s="1"/>
  <c r="BK64" i="21"/>
  <c r="AW67" i="21"/>
  <c r="BK67" i="21"/>
  <c r="AT68" i="21"/>
  <c r="BC68" i="21"/>
  <c r="BD81" i="21"/>
  <c r="BD83" i="21"/>
  <c r="AT86" i="21"/>
  <c r="AV87" i="21"/>
  <c r="BG87" i="21"/>
  <c r="BD89" i="21"/>
  <c r="BJ104" i="21"/>
  <c r="AZ105" i="21"/>
  <c r="BI105" i="21"/>
  <c r="BD108" i="21"/>
  <c r="AV110" i="21"/>
  <c r="BD110" i="21"/>
  <c r="BE111" i="21"/>
  <c r="AZ123" i="21"/>
  <c r="BA130" i="21"/>
  <c r="BE144" i="21"/>
  <c r="BD145" i="21"/>
  <c r="AV153" i="21"/>
  <c r="AV26" i="22"/>
  <c r="BD27" i="22"/>
  <c r="AZ47" i="22"/>
  <c r="BK130" i="22"/>
  <c r="BI132" i="22"/>
  <c r="BF148" i="22"/>
  <c r="BK149" i="22"/>
  <c r="BE20" i="23"/>
  <c r="BJ21" i="23"/>
  <c r="BH24" i="23"/>
  <c r="AW39" i="23"/>
  <c r="BH65" i="23"/>
  <c r="BD66" i="23"/>
  <c r="BH67" i="23"/>
  <c r="AV68" i="23"/>
  <c r="AV69" i="23"/>
  <c r="AS84" i="23"/>
  <c r="AR84" i="23" s="1"/>
  <c r="AQ84" i="23" s="1"/>
  <c r="AA84" i="23" s="1"/>
  <c r="AV103" i="23"/>
  <c r="AS104" i="23"/>
  <c r="AR104" i="23" s="1"/>
  <c r="AQ104" i="23" s="1"/>
  <c r="AA104" i="23" s="1"/>
  <c r="BI104" i="23"/>
  <c r="BE108" i="23"/>
  <c r="AW109" i="23"/>
  <c r="AU110" i="23"/>
  <c r="BD111" i="23"/>
  <c r="AY123" i="23"/>
  <c r="AY125" i="23"/>
  <c r="AV130" i="23"/>
  <c r="BA132" i="23"/>
  <c r="AS144" i="23"/>
  <c r="AR144" i="23" s="1"/>
  <c r="AQ144" i="23" s="1"/>
  <c r="BJ145" i="23"/>
  <c r="BI147" i="23"/>
  <c r="BB147" i="23"/>
  <c r="BI44" i="24"/>
  <c r="BG44" i="24"/>
  <c r="BE44" i="24"/>
  <c r="BA44" i="24"/>
  <c r="AZ44" i="24"/>
  <c r="AY44" i="24"/>
  <c r="AS44" i="24"/>
  <c r="AR44" i="24" s="1"/>
  <c r="AQ44" i="24" s="1"/>
  <c r="Z44" i="24" s="1"/>
  <c r="BD103" i="25"/>
  <c r="AV103" i="25"/>
  <c r="BK128" i="25"/>
  <c r="BI128" i="25"/>
  <c r="BD128" i="25"/>
  <c r="BA128" i="25"/>
  <c r="AZ128" i="25"/>
  <c r="AX128" i="25"/>
  <c r="AS128" i="25"/>
  <c r="AR128" i="25" s="1"/>
  <c r="AQ128" i="25" s="1"/>
  <c r="AA128" i="25" s="1"/>
  <c r="AY131" i="25"/>
  <c r="BG131" i="25"/>
  <c r="BE131" i="25"/>
  <c r="BD131" i="25"/>
  <c r="BB131" i="25"/>
  <c r="AW131" i="25"/>
  <c r="AV131" i="25"/>
  <c r="AT131" i="25"/>
  <c r="BH42" i="26"/>
  <c r="BI42" i="26"/>
  <c r="BA42" i="26"/>
  <c r="AX42" i="26"/>
  <c r="BJ42" i="26"/>
  <c r="BK42" i="26"/>
  <c r="BF42" i="26"/>
  <c r="AV42" i="26"/>
  <c r="AU42" i="26"/>
  <c r="AT42" i="26"/>
  <c r="BH81" i="21"/>
  <c r="AW87" i="21"/>
  <c r="BJ87" i="21"/>
  <c r="BH89" i="21"/>
  <c r="BA127" i="21"/>
  <c r="BD130" i="21"/>
  <c r="BH150" i="21"/>
  <c r="BB153" i="21"/>
  <c r="BG18" i="22"/>
  <c r="BB22" i="22"/>
  <c r="AX26" i="22"/>
  <c r="BF27" i="22"/>
  <c r="AY41" i="22"/>
  <c r="AU43" i="22"/>
  <c r="AZ44" i="22"/>
  <c r="BB47" i="22"/>
  <c r="BG68" i="22"/>
  <c r="BB81" i="22"/>
  <c r="AU110" i="22"/>
  <c r="BC110" i="22"/>
  <c r="BD123" i="22"/>
  <c r="BC39" i="23"/>
  <c r="BI60" i="23"/>
  <c r="BG81" i="23"/>
  <c r="BE149" i="23"/>
  <c r="AV149" i="23"/>
  <c r="BI81" i="21"/>
  <c r="AX110" i="21"/>
  <c r="BF110" i="21"/>
  <c r="BF130" i="21"/>
  <c r="AZ26" i="22"/>
  <c r="BF47" i="22"/>
  <c r="BD81" i="22"/>
  <c r="BB105" i="22"/>
  <c r="AV110" i="22"/>
  <c r="BD110" i="22"/>
  <c r="BG144" i="22"/>
  <c r="AX149" i="22"/>
  <c r="BI18" i="23"/>
  <c r="AT21" i="23"/>
  <c r="BD26" i="23"/>
  <c r="Z27" i="23"/>
  <c r="BI27" i="23"/>
  <c r="AY39" i="23"/>
  <c r="AY40" i="23"/>
  <c r="BF41" i="23"/>
  <c r="BC43" i="23"/>
  <c r="AS46" i="23"/>
  <c r="AR46" i="23" s="1"/>
  <c r="AQ46" i="23" s="1"/>
  <c r="Z46" i="23" s="1"/>
  <c r="BA46" i="23"/>
  <c r="BI46" i="23"/>
  <c r="BD47" i="23"/>
  <c r="AT60" i="23"/>
  <c r="AU63" i="23"/>
  <c r="BC68" i="23"/>
  <c r="BC69" i="23"/>
  <c r="AW84" i="23"/>
  <c r="AZ103" i="23"/>
  <c r="AV104" i="23"/>
  <c r="BD123" i="23"/>
  <c r="BA125" i="23"/>
  <c r="BE129" i="23"/>
  <c r="AY130" i="23"/>
  <c r="AS132" i="23"/>
  <c r="AR132" i="23" s="1"/>
  <c r="AQ132" i="23" s="1"/>
  <c r="AA132" i="23" s="1"/>
  <c r="BC132" i="23"/>
  <c r="AZ144" i="23"/>
  <c r="BE148" i="23"/>
  <c r="AZ148" i="23"/>
  <c r="AV148" i="23"/>
  <c r="BA87" i="21"/>
  <c r="BA18" i="22"/>
  <c r="BD26" i="22"/>
  <c r="AS39" i="22"/>
  <c r="AR39" i="22" s="1"/>
  <c r="AQ39" i="22" s="1"/>
  <c r="BC41" i="22"/>
  <c r="AX43" i="22"/>
  <c r="BD44" i="22"/>
  <c r="BG47" i="22"/>
  <c r="AY63" i="22"/>
  <c r="AW64" i="22"/>
  <c r="BH65" i="22"/>
  <c r="AU67" i="22"/>
  <c r="AS81" i="22"/>
  <c r="AR81" i="22" s="1"/>
  <c r="AR92" i="22" s="1"/>
  <c r="BF81" i="22"/>
  <c r="BB104" i="22"/>
  <c r="BC105" i="22"/>
  <c r="BA109" i="22"/>
  <c r="AW110" i="22"/>
  <c r="BE110" i="22"/>
  <c r="BF131" i="22"/>
  <c r="AS132" i="22"/>
  <c r="AR132" i="22" s="1"/>
  <c r="AQ132" i="22" s="1"/>
  <c r="AA132" i="22" s="1"/>
  <c r="AV147" i="22"/>
  <c r="BF147" i="22"/>
  <c r="BA149" i="22"/>
  <c r="BB150" i="22"/>
  <c r="AZ18" i="23"/>
  <c r="AV21" i="23"/>
  <c r="BE26" i="23"/>
  <c r="AZ39" i="23"/>
  <c r="BC40" i="23"/>
  <c r="BH41" i="23"/>
  <c r="AT46" i="23"/>
  <c r="BB46" i="23"/>
  <c r="BE47" i="23"/>
  <c r="AU60" i="23"/>
  <c r="AV63" i="23"/>
  <c r="BH68" i="23"/>
  <c r="BD69" i="23"/>
  <c r="AV82" i="23"/>
  <c r="BB84" i="23"/>
  <c r="AY86" i="23"/>
  <c r="AT90" i="23"/>
  <c r="BE103" i="23"/>
  <c r="AZ104" i="23"/>
  <c r="AV107" i="23"/>
  <c r="BC110" i="23"/>
  <c r="AS123" i="23"/>
  <c r="AR123" i="23" s="1"/>
  <c r="AR134" i="23" s="1"/>
  <c r="BF123" i="23"/>
  <c r="BC125" i="23"/>
  <c r="AZ130" i="23"/>
  <c r="AT132" i="23"/>
  <c r="BD132" i="23"/>
  <c r="BD144" i="23"/>
  <c r="BC48" i="24"/>
  <c r="AT48" i="24"/>
  <c r="BF88" i="24"/>
  <c r="BJ88" i="24"/>
  <c r="AU88" i="24"/>
  <c r="BG88" i="24"/>
  <c r="AT88" i="24"/>
  <c r="BD88" i="24"/>
  <c r="BC88" i="24"/>
  <c r="BB88" i="24"/>
  <c r="AY88" i="24"/>
  <c r="AX88" i="24"/>
  <c r="BE110" i="24"/>
  <c r="BI110" i="24"/>
  <c r="AY110" i="24"/>
  <c r="BH110" i="24"/>
  <c r="AX110" i="24"/>
  <c r="BG110" i="24"/>
  <c r="AV110" i="24"/>
  <c r="BF110" i="24"/>
  <c r="AU110" i="24"/>
  <c r="BD110" i="24"/>
  <c r="AS110" i="24"/>
  <c r="AR110" i="24" s="1"/>
  <c r="AQ110" i="24" s="1"/>
  <c r="AA110" i="24" s="1"/>
  <c r="BC110" i="24"/>
  <c r="BA110" i="24"/>
  <c r="BG61" i="25"/>
  <c r="BF61" i="25"/>
  <c r="BA61" i="25"/>
  <c r="AV61" i="25"/>
  <c r="AW19" i="24"/>
  <c r="BI127" i="24"/>
  <c r="BI132" i="24"/>
  <c r="BD18" i="25"/>
  <c r="BG20" i="25"/>
  <c r="AU26" i="25"/>
  <c r="AU42" i="25"/>
  <c r="BI42" i="25"/>
  <c r="AW63" i="25"/>
  <c r="BE83" i="25"/>
  <c r="AS85" i="25"/>
  <c r="AR85" i="25" s="1"/>
  <c r="AQ85" i="25" s="1"/>
  <c r="Z85" i="25" s="1"/>
  <c r="BK88" i="25"/>
  <c r="AZ90" i="25"/>
  <c r="AW107" i="25"/>
  <c r="BK107" i="25"/>
  <c r="BC108" i="25"/>
  <c r="AS124" i="25"/>
  <c r="AR124" i="25" s="1"/>
  <c r="AQ124" i="25" s="1"/>
  <c r="AA124" i="25" s="1"/>
  <c r="BD124" i="25"/>
  <c r="BA126" i="25"/>
  <c r="AU127" i="25"/>
  <c r="BB144" i="25"/>
  <c r="AU145" i="25"/>
  <c r="BK145" i="25"/>
  <c r="BC147" i="25"/>
  <c r="BD148" i="25"/>
  <c r="AZ150" i="25"/>
  <c r="BA152" i="25"/>
  <c r="AZ18" i="26"/>
  <c r="AV19" i="26"/>
  <c r="AV20" i="26"/>
  <c r="AW22" i="26"/>
  <c r="BI22" i="26"/>
  <c r="BC24" i="26"/>
  <c r="BC26" i="26"/>
  <c r="AW27" i="26"/>
  <c r="BJ27" i="26"/>
  <c r="AX40" i="26"/>
  <c r="BK44" i="26"/>
  <c r="BG44" i="26"/>
  <c r="BH44" i="27"/>
  <c r="BD44" i="27"/>
  <c r="AU44" i="27"/>
  <c r="BK44" i="27"/>
  <c r="BB44" i="27"/>
  <c r="AS44" i="27"/>
  <c r="AR44" i="27" s="1"/>
  <c r="AQ44" i="27" s="1"/>
  <c r="AA44" i="27" s="1"/>
  <c r="BJ44" i="27"/>
  <c r="BA44" i="27"/>
  <c r="BI44" i="27"/>
  <c r="AY44" i="27"/>
  <c r="BG44" i="27"/>
  <c r="AX44" i="27"/>
  <c r="BF44" i="27"/>
  <c r="AW44" i="27"/>
  <c r="BE44" i="27"/>
  <c r="AV44" i="27"/>
  <c r="BG150" i="23"/>
  <c r="AY151" i="23"/>
  <c r="BK152" i="23"/>
  <c r="BC19" i="24"/>
  <c r="AV26" i="24"/>
  <c r="BJ26" i="24"/>
  <c r="AT60" i="24"/>
  <c r="BD81" i="24"/>
  <c r="AZ144" i="24"/>
  <c r="BI144" i="24"/>
  <c r="BH145" i="24"/>
  <c r="BC149" i="24"/>
  <c r="AS150" i="24"/>
  <c r="AR150" i="24" s="1"/>
  <c r="AQ150" i="24" s="1"/>
  <c r="AA150" i="24" s="1"/>
  <c r="AS20" i="25"/>
  <c r="AR20" i="25" s="1"/>
  <c r="AQ20" i="25" s="1"/>
  <c r="AA20" i="25" s="1"/>
  <c r="BH20" i="25"/>
  <c r="AT24" i="25"/>
  <c r="AX26" i="25"/>
  <c r="BC40" i="25"/>
  <c r="AV42" i="25"/>
  <c r="BJ42" i="25"/>
  <c r="AV47" i="25"/>
  <c r="BI47" i="25"/>
  <c r="AX63" i="25"/>
  <c r="BE67" i="25"/>
  <c r="AZ81" i="25"/>
  <c r="AT82" i="25"/>
  <c r="BK83" i="25"/>
  <c r="BD123" i="25"/>
  <c r="AT124" i="25"/>
  <c r="BH124" i="25"/>
  <c r="BB127" i="25"/>
  <c r="BD144" i="25"/>
  <c r="BD147" i="25"/>
  <c r="BB152" i="25"/>
  <c r="BF18" i="26"/>
  <c r="AY19" i="26"/>
  <c r="BI40" i="26"/>
  <c r="BD40" i="26"/>
  <c r="AV40" i="26"/>
  <c r="BK40" i="26"/>
  <c r="BB40" i="26"/>
  <c r="AT40" i="26"/>
  <c r="BE40" i="26"/>
  <c r="AW40" i="26"/>
  <c r="AT41" i="26"/>
  <c r="BJ66" i="26"/>
  <c r="BB66" i="26"/>
  <c r="AT66" i="26"/>
  <c r="BK66" i="26"/>
  <c r="AZ66" i="26"/>
  <c r="BG66" i="26"/>
  <c r="AY66" i="26"/>
  <c r="BE66" i="26"/>
  <c r="AW66" i="26"/>
  <c r="BD66" i="26"/>
  <c r="AV66" i="26"/>
  <c r="BC66" i="26"/>
  <c r="AU66" i="26"/>
  <c r="BF19" i="24"/>
  <c r="AZ20" i="24"/>
  <c r="AS23" i="24"/>
  <c r="AR23" i="24" s="1"/>
  <c r="AQ23" i="24" s="1"/>
  <c r="AA23" i="24" s="1"/>
  <c r="AV24" i="24"/>
  <c r="BD25" i="24"/>
  <c r="AY26" i="24"/>
  <c r="BK26" i="24"/>
  <c r="BG40" i="24"/>
  <c r="BH43" i="24"/>
  <c r="AS67" i="24"/>
  <c r="AR67" i="24" s="1"/>
  <c r="AQ67" i="24" s="1"/>
  <c r="AA67" i="24" s="1"/>
  <c r="AV83" i="24"/>
  <c r="BK83" i="24"/>
  <c r="AX85" i="24"/>
  <c r="AY105" i="24"/>
  <c r="BK105" i="24"/>
  <c r="AY106" i="24"/>
  <c r="BJ106" i="24"/>
  <c r="AY107" i="24"/>
  <c r="BG123" i="24"/>
  <c r="BD126" i="24"/>
  <c r="BG128" i="24"/>
  <c r="AV131" i="24"/>
  <c r="BE149" i="24"/>
  <c r="AV150" i="24"/>
  <c r="AV20" i="25"/>
  <c r="BI20" i="25"/>
  <c r="BG24" i="25"/>
  <c r="AX42" i="25"/>
  <c r="BK42" i="25"/>
  <c r="AY107" i="25"/>
  <c r="AV108" i="25"/>
  <c r="BF108" i="25"/>
  <c r="AU124" i="25"/>
  <c r="BK124" i="25"/>
  <c r="AY125" i="25"/>
  <c r="AT126" i="25"/>
  <c r="BC126" i="25"/>
  <c r="BC127" i="25"/>
  <c r="AT130" i="25"/>
  <c r="BE144" i="25"/>
  <c r="AX145" i="25"/>
  <c r="BF147" i="25"/>
  <c r="BD150" i="25"/>
  <c r="BD152" i="25"/>
  <c r="BC19" i="26"/>
  <c r="BA22" i="26"/>
  <c r="BK22" i="26"/>
  <c r="AV23" i="26"/>
  <c r="BJ24" i="26"/>
  <c r="AU25" i="26"/>
  <c r="BI26" i="26"/>
  <c r="BA27" i="26"/>
  <c r="AZ40" i="26"/>
  <c r="BF41" i="26"/>
  <c r="AW103" i="26"/>
  <c r="AV103" i="26"/>
  <c r="BJ63" i="24"/>
  <c r="AV67" i="24"/>
  <c r="AT81" i="24"/>
  <c r="AY85" i="24"/>
  <c r="AZ107" i="24"/>
  <c r="BG144" i="24"/>
  <c r="BI18" i="25"/>
  <c r="AW82" i="25"/>
  <c r="AW86" i="25"/>
  <c r="BG86" i="25"/>
  <c r="BC87" i="25"/>
  <c r="AX102" i="25"/>
  <c r="AZ107" i="25"/>
  <c r="BF144" i="25"/>
  <c r="BE152" i="25"/>
  <c r="BC18" i="26"/>
  <c r="BD23" i="26"/>
  <c r="BH25" i="26"/>
  <c r="BB27" i="26"/>
  <c r="BA40" i="26"/>
  <c r="BH102" i="26"/>
  <c r="BD102" i="26"/>
  <c r="AZ102" i="26"/>
  <c r="BG151" i="23"/>
  <c r="AX152" i="23"/>
  <c r="AZ23" i="24"/>
  <c r="BC24" i="24"/>
  <c r="AT25" i="24"/>
  <c r="BJ25" i="24"/>
  <c r="BB26" i="24"/>
  <c r="AY27" i="24"/>
  <c r="AV45" i="24"/>
  <c r="AX67" i="24"/>
  <c r="BK69" i="24"/>
  <c r="AW81" i="24"/>
  <c r="BA83" i="24"/>
  <c r="BA85" i="24"/>
  <c r="AW104" i="24"/>
  <c r="BA105" i="24"/>
  <c r="BA106" i="24"/>
  <c r="BA107" i="24"/>
  <c r="BJ108" i="24"/>
  <c r="AW111" i="24"/>
  <c r="BG126" i="24"/>
  <c r="AV127" i="24"/>
  <c r="AS144" i="24"/>
  <c r="AR144" i="24" s="1"/>
  <c r="AR155" i="24" s="1"/>
  <c r="BC144" i="24"/>
  <c r="AU18" i="25"/>
  <c r="BF19" i="25"/>
  <c r="AY20" i="25"/>
  <c r="BE21" i="25"/>
  <c r="BG26" i="25"/>
  <c r="BK40" i="25"/>
  <c r="BA42" i="25"/>
  <c r="AU44" i="25"/>
  <c r="BA47" i="25"/>
  <c r="AY62" i="25"/>
  <c r="AT65" i="25"/>
  <c r="BI67" i="25"/>
  <c r="AY81" i="25"/>
  <c r="BC82" i="25"/>
  <c r="AV83" i="25"/>
  <c r="BA107" i="25"/>
  <c r="AX124" i="25"/>
  <c r="AT144" i="25"/>
  <c r="BC145" i="25"/>
  <c r="AS152" i="25"/>
  <c r="AR152" i="25" s="1"/>
  <c r="AQ152" i="25" s="1"/>
  <c r="Z152" i="25" s="1"/>
  <c r="BJ152" i="25"/>
  <c r="AS27" i="26"/>
  <c r="AR27" i="26" s="1"/>
  <c r="AQ27" i="26" s="1"/>
  <c r="Z27" i="26" s="1"/>
  <c r="BD27" i="26"/>
  <c r="BC40" i="26"/>
  <c r="BK41" i="26"/>
  <c r="AU41" i="26"/>
  <c r="AZ41" i="26"/>
  <c r="BK25" i="27"/>
  <c r="BH25" i="27"/>
  <c r="BG25" i="27"/>
  <c r="AW25" i="27"/>
  <c r="AU25" i="27"/>
  <c r="AT25" i="27"/>
  <c r="BH151" i="23"/>
  <c r="AY152" i="23"/>
  <c r="BA23" i="24"/>
  <c r="BD24" i="24"/>
  <c r="AU25" i="24"/>
  <c r="BK25" i="24"/>
  <c r="BC26" i="24"/>
  <c r="AZ27" i="24"/>
  <c r="AZ42" i="24"/>
  <c r="AY61" i="24"/>
  <c r="BH64" i="24"/>
  <c r="BK65" i="24"/>
  <c r="AY66" i="24"/>
  <c r="BA67" i="24"/>
  <c r="AY81" i="24"/>
  <c r="BB83" i="24"/>
  <c r="BD85" i="24"/>
  <c r="AS87" i="24"/>
  <c r="AR87" i="24" s="1"/>
  <c r="AQ87" i="24" s="1"/>
  <c r="Z87" i="24" s="1"/>
  <c r="BC105" i="24"/>
  <c r="BB106" i="24"/>
  <c r="BB107" i="24"/>
  <c r="AU109" i="24"/>
  <c r="BA111" i="24"/>
  <c r="AZ123" i="24"/>
  <c r="BI126" i="24"/>
  <c r="AY127" i="24"/>
  <c r="AT144" i="24"/>
  <c r="BD144" i="24"/>
  <c r="AW18" i="25"/>
  <c r="AZ20" i="25"/>
  <c r="BB42" i="25"/>
  <c r="AV44" i="25"/>
  <c r="BB47" i="25"/>
  <c r="BI60" i="25"/>
  <c r="BC62" i="25"/>
  <c r="AX65" i="25"/>
  <c r="AS67" i="25"/>
  <c r="AR67" i="25" s="1"/>
  <c r="AQ67" i="25" s="1"/>
  <c r="AA67" i="25" s="1"/>
  <c r="BA67" i="25"/>
  <c r="BJ67" i="25"/>
  <c r="BA81" i="25"/>
  <c r="BK82" i="25"/>
  <c r="AW83" i="25"/>
  <c r="BE102" i="25"/>
  <c r="AS107" i="25"/>
  <c r="AR107" i="25" s="1"/>
  <c r="AQ107" i="25" s="1"/>
  <c r="Z107" i="25" s="1"/>
  <c r="BC107" i="25"/>
  <c r="BG144" i="25"/>
  <c r="BD22" i="26"/>
  <c r="BE27" i="26"/>
  <c r="AS66" i="26"/>
  <c r="AR66" i="26" s="1"/>
  <c r="AQ66" i="26" s="1"/>
  <c r="AA66" i="26" s="1"/>
  <c r="BH69" i="26"/>
  <c r="BA69" i="26"/>
  <c r="AX69" i="26"/>
  <c r="AW69" i="26"/>
  <c r="BK69" i="26"/>
  <c r="BI69" i="26"/>
  <c r="BG69" i="26"/>
  <c r="BK90" i="26"/>
  <c r="BI90" i="26"/>
  <c r="BE90" i="26"/>
  <c r="BD90" i="26"/>
  <c r="AS90" i="26"/>
  <c r="AR90" i="26" s="1"/>
  <c r="AQ90" i="26" s="1"/>
  <c r="AA90" i="26" s="1"/>
  <c r="BH18" i="27"/>
  <c r="AX18" i="27"/>
  <c r="BI18" i="27"/>
  <c r="AS18" i="27"/>
  <c r="AR18" i="27" s="1"/>
  <c r="AQ18" i="27" s="1"/>
  <c r="BF18" i="27"/>
  <c r="BE18" i="27"/>
  <c r="BD18" i="27"/>
  <c r="BA18" i="27"/>
  <c r="AZ18" i="27"/>
  <c r="BK63" i="27"/>
  <c r="BI63" i="27"/>
  <c r="BH63" i="27"/>
  <c r="AY63" i="27"/>
  <c r="AW63" i="27"/>
  <c r="AV63" i="27"/>
  <c r="AS63" i="27"/>
  <c r="AR63" i="27" s="1"/>
  <c r="AQ63" i="27" s="1"/>
  <c r="Z63" i="27" s="1"/>
  <c r="AV150" i="23"/>
  <c r="BG18" i="24"/>
  <c r="BC23" i="24"/>
  <c r="BD26" i="24"/>
  <c r="BG27" i="24"/>
  <c r="BH39" i="24"/>
  <c r="BC61" i="24"/>
  <c r="AZ66" i="24"/>
  <c r="BC67" i="24"/>
  <c r="BB81" i="24"/>
  <c r="BC83" i="24"/>
  <c r="BE85" i="24"/>
  <c r="AV87" i="24"/>
  <c r="AT90" i="24"/>
  <c r="AU103" i="24"/>
  <c r="AS105" i="24"/>
  <c r="AR105" i="24" s="1"/>
  <c r="AQ105" i="24" s="1"/>
  <c r="Z105" i="24" s="1"/>
  <c r="BF105" i="24"/>
  <c r="BD106" i="24"/>
  <c r="BG107" i="24"/>
  <c r="AS108" i="24"/>
  <c r="AR108" i="24" s="1"/>
  <c r="AQ108" i="24" s="1"/>
  <c r="Z108" i="24" s="1"/>
  <c r="AW109" i="24"/>
  <c r="BB111" i="24"/>
  <c r="BA123" i="24"/>
  <c r="BB124" i="24"/>
  <c r="BA127" i="24"/>
  <c r="AS128" i="24"/>
  <c r="AR128" i="24" s="1"/>
  <c r="AQ128" i="24" s="1"/>
  <c r="AA128" i="24" s="1"/>
  <c r="AT132" i="24"/>
  <c r="AU144" i="24"/>
  <c r="BE144" i="24"/>
  <c r="AS149" i="24"/>
  <c r="AR149" i="24" s="1"/>
  <c r="AQ149" i="24" s="1"/>
  <c r="AA149" i="24" s="1"/>
  <c r="AZ152" i="24"/>
  <c r="BB18" i="25"/>
  <c r="BA20" i="25"/>
  <c r="AT23" i="25"/>
  <c r="BA39" i="25"/>
  <c r="AU40" i="25"/>
  <c r="AS42" i="25"/>
  <c r="AR42" i="25" s="1"/>
  <c r="AQ42" i="25" s="1"/>
  <c r="Z42" i="25" s="1"/>
  <c r="BC42" i="25"/>
  <c r="BD47" i="25"/>
  <c r="BD62" i="25"/>
  <c r="BC65" i="25"/>
  <c r="BC83" i="25"/>
  <c r="BH87" i="25"/>
  <c r="AU88" i="25"/>
  <c r="AT90" i="25"/>
  <c r="BA106" i="25"/>
  <c r="AU107" i="25"/>
  <c r="BF107" i="25"/>
  <c r="AZ108" i="25"/>
  <c r="BA124" i="25"/>
  <c r="AW144" i="25"/>
  <c r="BF145" i="25"/>
  <c r="AU147" i="25"/>
  <c r="AV152" i="25"/>
  <c r="AS18" i="26"/>
  <c r="AR18" i="26" s="1"/>
  <c r="AR29" i="26" s="1"/>
  <c r="AU22" i="26"/>
  <c r="BE22" i="26"/>
  <c r="AW24" i="26"/>
  <c r="AY26" i="26"/>
  <c r="AU27" i="26"/>
  <c r="BG27" i="26"/>
  <c r="AS40" i="26"/>
  <c r="AR40" i="26" s="1"/>
  <c r="AQ40" i="26" s="1"/>
  <c r="AA40" i="26" s="1"/>
  <c r="BG40" i="26"/>
  <c r="BG43" i="26"/>
  <c r="AU43" i="26"/>
  <c r="AX66" i="26"/>
  <c r="BE111" i="26"/>
  <c r="BH111" i="26"/>
  <c r="BD111" i="26"/>
  <c r="AZ111" i="26"/>
  <c r="BH64" i="27"/>
  <c r="AT64" i="27"/>
  <c r="BJ64" i="27"/>
  <c r="BI64" i="27"/>
  <c r="BF64" i="27"/>
  <c r="BD64" i="27"/>
  <c r="BA64" i="27"/>
  <c r="AV64" i="27"/>
  <c r="BK47" i="26"/>
  <c r="AW48" i="26"/>
  <c r="BH48" i="26"/>
  <c r="AT62" i="26"/>
  <c r="BI62" i="26"/>
  <c r="AV64" i="26"/>
  <c r="BK67" i="26"/>
  <c r="BA82" i="26"/>
  <c r="AZ83" i="26"/>
  <c r="BI83" i="26"/>
  <c r="BE84" i="26"/>
  <c r="AS86" i="26"/>
  <c r="AR86" i="26" s="1"/>
  <c r="AQ86" i="26" s="1"/>
  <c r="AA86" i="26" s="1"/>
  <c r="BB87" i="26"/>
  <c r="BB88" i="26"/>
  <c r="AX89" i="26"/>
  <c r="AW104" i="26"/>
  <c r="AV108" i="26"/>
  <c r="BG108" i="26"/>
  <c r="AZ109" i="26"/>
  <c r="AS125" i="26"/>
  <c r="AR125" i="26" s="1"/>
  <c r="AQ125" i="26" s="1"/>
  <c r="AA125" i="26" s="1"/>
  <c r="AZ127" i="26"/>
  <c r="BE131" i="26"/>
  <c r="AZ144" i="26"/>
  <c r="BB146" i="26"/>
  <c r="AX148" i="26"/>
  <c r="BK148" i="26"/>
  <c r="BF149" i="26"/>
  <c r="BA150" i="26"/>
  <c r="BI20" i="27"/>
  <c r="BD21" i="27"/>
  <c r="AS24" i="27"/>
  <c r="AR24" i="27" s="1"/>
  <c r="AQ24" i="27" s="1"/>
  <c r="AA24" i="27" s="1"/>
  <c r="BF24" i="27"/>
  <c r="BD26" i="27"/>
  <c r="AV41" i="27"/>
  <c r="AV47" i="27"/>
  <c r="BA62" i="27"/>
  <c r="BD65" i="27"/>
  <c r="AS67" i="27"/>
  <c r="AR67" i="27" s="1"/>
  <c r="AQ67" i="27" s="1"/>
  <c r="Z67" i="27" s="1"/>
  <c r="BE69" i="27"/>
  <c r="BF82" i="27"/>
  <c r="BK83" i="27"/>
  <c r="AX85" i="27"/>
  <c r="BI85" i="27"/>
  <c r="BF87" i="27"/>
  <c r="AS88" i="27"/>
  <c r="AR88" i="27" s="1"/>
  <c r="AQ88" i="27" s="1"/>
  <c r="AA88" i="27" s="1"/>
  <c r="BG88" i="27"/>
  <c r="BA103" i="27"/>
  <c r="AS107" i="27"/>
  <c r="AR107" i="27" s="1"/>
  <c r="AQ107" i="27" s="1"/>
  <c r="AA107" i="27" s="1"/>
  <c r="AV110" i="27"/>
  <c r="BF123" i="27"/>
  <c r="BE128" i="27"/>
  <c r="BH130" i="27"/>
  <c r="BH144" i="27"/>
  <c r="AX145" i="27"/>
  <c r="BD149" i="27"/>
  <c r="AT23" i="28"/>
  <c r="BG23" i="28"/>
  <c r="BA24" i="28"/>
  <c r="AV27" i="28"/>
  <c r="AV44" i="28"/>
  <c r="AT60" i="28"/>
  <c r="BD61" i="28"/>
  <c r="BD67" i="28"/>
  <c r="BH68" i="28"/>
  <c r="BF68" i="28"/>
  <c r="AU68" i="28"/>
  <c r="BG85" i="28"/>
  <c r="BK85" i="28"/>
  <c r="BF144" i="28"/>
  <c r="AY144" i="28"/>
  <c r="AT144" i="28"/>
  <c r="BI144" i="28"/>
  <c r="BG144" i="28"/>
  <c r="BC144" i="28"/>
  <c r="BB144" i="28"/>
  <c r="BA144" i="28"/>
  <c r="AU62" i="26"/>
  <c r="BJ62" i="26"/>
  <c r="BG82" i="26"/>
  <c r="BA83" i="26"/>
  <c r="BJ83" i="26"/>
  <c r="AT84" i="26"/>
  <c r="BF84" i="26"/>
  <c r="BE85" i="26"/>
  <c r="AT86" i="26"/>
  <c r="BC87" i="26"/>
  <c r="AS88" i="26"/>
  <c r="AR88" i="26" s="1"/>
  <c r="AQ88" i="26" s="1"/>
  <c r="Z88" i="26" s="1"/>
  <c r="BC88" i="26"/>
  <c r="BF89" i="26"/>
  <c r="AX104" i="26"/>
  <c r="AW108" i="26"/>
  <c r="BH108" i="26"/>
  <c r="BA109" i="26"/>
  <c r="AV125" i="26"/>
  <c r="BI127" i="26"/>
  <c r="BH144" i="26"/>
  <c r="BH149" i="26"/>
  <c r="BJ20" i="27"/>
  <c r="AT24" i="27"/>
  <c r="BG24" i="27"/>
  <c r="BJ26" i="27"/>
  <c r="BI62" i="27"/>
  <c r="BE65" i="27"/>
  <c r="AV67" i="27"/>
  <c r="BF69" i="27"/>
  <c r="BJ82" i="27"/>
  <c r="AV84" i="27"/>
  <c r="AY85" i="27"/>
  <c r="BJ85" i="27"/>
  <c r="AU87" i="27"/>
  <c r="BG87" i="27"/>
  <c r="AV88" i="27"/>
  <c r="BH88" i="27"/>
  <c r="BE103" i="27"/>
  <c r="AZ105" i="27"/>
  <c r="AT107" i="27"/>
  <c r="BB110" i="27"/>
  <c r="BF128" i="27"/>
  <c r="AS130" i="27"/>
  <c r="AR130" i="27" s="1"/>
  <c r="AQ130" i="27" s="1"/>
  <c r="AA130" i="27" s="1"/>
  <c r="BI130" i="27"/>
  <c r="AT144" i="27"/>
  <c r="BJ145" i="27"/>
  <c r="BE148" i="27"/>
  <c r="BG149" i="27"/>
  <c r="AU23" i="28"/>
  <c r="BH23" i="28"/>
  <c r="BJ24" i="28"/>
  <c r="AU25" i="28"/>
  <c r="AW27" i="28"/>
  <c r="BA44" i="28"/>
  <c r="AU60" i="28"/>
  <c r="AT61" i="28"/>
  <c r="BF61" i="28"/>
  <c r="BG65" i="28"/>
  <c r="BF67" i="28"/>
  <c r="BA68" i="28"/>
  <c r="AU89" i="28"/>
  <c r="BD145" i="28"/>
  <c r="AV145" i="28"/>
  <c r="AU145" i="28"/>
  <c r="BK145" i="28"/>
  <c r="BI145" i="28"/>
  <c r="BH145" i="28"/>
  <c r="BA145" i="28"/>
  <c r="AZ145" i="28"/>
  <c r="BH109" i="29"/>
  <c r="AY109" i="29"/>
  <c r="AW109" i="29"/>
  <c r="BK109" i="29"/>
  <c r="AS109" i="29"/>
  <c r="AR109" i="29" s="1"/>
  <c r="AQ109" i="29" s="1"/>
  <c r="Z109" i="29" s="1"/>
  <c r="BI109" i="29"/>
  <c r="BF109" i="29"/>
  <c r="BC109" i="29"/>
  <c r="BB109" i="29"/>
  <c r="AS83" i="26"/>
  <c r="AR83" i="26" s="1"/>
  <c r="AQ83" i="26" s="1"/>
  <c r="AA83" i="26" s="1"/>
  <c r="BB83" i="26"/>
  <c r="BK83" i="26"/>
  <c r="BJ24" i="27"/>
  <c r="AZ39" i="27"/>
  <c r="AZ60" i="27"/>
  <c r="BF65" i="27"/>
  <c r="BI67" i="27"/>
  <c r="AZ123" i="27"/>
  <c r="BI128" i="27"/>
  <c r="BA129" i="27"/>
  <c r="BI149" i="27"/>
  <c r="BD20" i="28"/>
  <c r="BI44" i="28"/>
  <c r="AU61" i="28"/>
  <c r="BG61" i="28"/>
  <c r="AZ84" i="28"/>
  <c r="BD84" i="28"/>
  <c r="BA84" i="28"/>
  <c r="AW84" i="28"/>
  <c r="AV84" i="28"/>
  <c r="AS84" i="28"/>
  <c r="AR84" i="28" s="1"/>
  <c r="AQ84" i="28" s="1"/>
  <c r="AA84" i="28" s="1"/>
  <c r="BF109" i="28"/>
  <c r="AW109" i="28"/>
  <c r="AS20" i="27"/>
  <c r="AR20" i="27" s="1"/>
  <c r="AQ20" i="27" s="1"/>
  <c r="AA20" i="27" s="1"/>
  <c r="BC87" i="28"/>
  <c r="BK87" i="28"/>
  <c r="BD87" i="28"/>
  <c r="AV87" i="28"/>
  <c r="AU87" i="28"/>
  <c r="AV150" i="29"/>
  <c r="AY150" i="29"/>
  <c r="BA47" i="26"/>
  <c r="AY62" i="26"/>
  <c r="AU83" i="26"/>
  <c r="BD83" i="26"/>
  <c r="AZ108" i="26"/>
  <c r="BE125" i="26"/>
  <c r="BC148" i="26"/>
  <c r="AW149" i="26"/>
  <c r="AT150" i="26"/>
  <c r="BH150" i="26"/>
  <c r="AW152" i="26"/>
  <c r="AT20" i="27"/>
  <c r="AV21" i="27"/>
  <c r="BJ21" i="27"/>
  <c r="BD22" i="27"/>
  <c r="AZ24" i="27"/>
  <c r="AU26" i="27"/>
  <c r="BE27" i="27"/>
  <c r="BF41" i="27"/>
  <c r="BF42" i="27"/>
  <c r="AS45" i="27"/>
  <c r="AR45" i="27" s="1"/>
  <c r="AQ45" i="27" s="1"/>
  <c r="AA45" i="27" s="1"/>
  <c r="BG45" i="27"/>
  <c r="BA46" i="27"/>
  <c r="BA61" i="27"/>
  <c r="AT65" i="27"/>
  <c r="AU69" i="27"/>
  <c r="AX83" i="27"/>
  <c r="AS85" i="27"/>
  <c r="AR85" i="27" s="1"/>
  <c r="AQ85" i="27" s="1"/>
  <c r="Z85" i="27" s="1"/>
  <c r="BC85" i="27"/>
  <c r="AY87" i="27"/>
  <c r="AZ88" i="27"/>
  <c r="AY102" i="27"/>
  <c r="BA104" i="27"/>
  <c r="BB107" i="27"/>
  <c r="AV128" i="27"/>
  <c r="AX130" i="27"/>
  <c r="AZ132" i="27"/>
  <c r="BB144" i="27"/>
  <c r="BA146" i="27"/>
  <c r="AV148" i="27"/>
  <c r="BK148" i="27"/>
  <c r="AV149" i="27"/>
  <c r="BA151" i="27"/>
  <c r="BF22" i="28"/>
  <c r="AY23" i="28"/>
  <c r="BC25" i="28"/>
  <c r="AZ39" i="28"/>
  <c r="AY40" i="28"/>
  <c r="AZ41" i="28"/>
  <c r="BC60" i="28"/>
  <c r="AX61" i="28"/>
  <c r="AV67" i="28"/>
  <c r="AT68" i="28"/>
  <c r="BG68" i="28"/>
  <c r="BH39" i="29"/>
  <c r="BA39" i="29"/>
  <c r="AY39" i="29"/>
  <c r="BI39" i="29"/>
  <c r="AT39" i="29"/>
  <c r="BF39" i="29"/>
  <c r="AS39" i="29"/>
  <c r="AR39" i="29" s="1"/>
  <c r="AR50" i="29" s="1"/>
  <c r="AR49" i="29" s="1"/>
  <c r="BD39" i="29"/>
  <c r="BC39" i="29"/>
  <c r="BB39" i="29"/>
  <c r="BB47" i="26"/>
  <c r="AT48" i="26"/>
  <c r="BB48" i="26"/>
  <c r="BB62" i="26"/>
  <c r="AY67" i="26"/>
  <c r="AW82" i="26"/>
  <c r="AV83" i="26"/>
  <c r="BE83" i="26"/>
  <c r="AZ84" i="26"/>
  <c r="BJ86" i="26"/>
  <c r="AS87" i="26"/>
  <c r="AR87" i="26" s="1"/>
  <c r="AQ87" i="26" s="1"/>
  <c r="Z87" i="26" s="1"/>
  <c r="AY88" i="26"/>
  <c r="BJ88" i="26"/>
  <c r="AT89" i="26"/>
  <c r="BF104" i="26"/>
  <c r="BH107" i="26"/>
  <c r="BA108" i="26"/>
  <c r="BF125" i="26"/>
  <c r="BD148" i="26"/>
  <c r="AY149" i="26"/>
  <c r="AV20" i="27"/>
  <c r="BB24" i="27"/>
  <c r="AV26" i="27"/>
  <c r="BF27" i="27"/>
  <c r="AT45" i="27"/>
  <c r="BH45" i="27"/>
  <c r="BC61" i="27"/>
  <c r="AV65" i="27"/>
  <c r="AX69" i="27"/>
  <c r="BH81" i="27"/>
  <c r="BC83" i="27"/>
  <c r="AT85" i="27"/>
  <c r="BD85" i="27"/>
  <c r="AX86" i="27"/>
  <c r="AZ87" i="27"/>
  <c r="BA88" i="27"/>
  <c r="BB104" i="27"/>
  <c r="BD107" i="27"/>
  <c r="AW123" i="27"/>
  <c r="BE124" i="27"/>
  <c r="AY128" i="27"/>
  <c r="BA130" i="27"/>
  <c r="BD132" i="27"/>
  <c r="BD144" i="27"/>
  <c r="BC146" i="27"/>
  <c r="AY149" i="27"/>
  <c r="BB18" i="28"/>
  <c r="BG22" i="28"/>
  <c r="BC23" i="28"/>
  <c r="BD25" i="28"/>
  <c r="BA41" i="28"/>
  <c r="AS43" i="28"/>
  <c r="AR43" i="28" s="1"/>
  <c r="AQ43" i="28" s="1"/>
  <c r="AA43" i="28" s="1"/>
  <c r="BD60" i="28"/>
  <c r="AY61" i="28"/>
  <c r="AX67" i="28"/>
  <c r="AV68" i="28"/>
  <c r="BI68" i="28"/>
  <c r="BI89" i="28"/>
  <c r="BG89" i="28"/>
  <c r="AT89" i="28"/>
  <c r="BF89" i="28"/>
  <c r="BD89" i="28"/>
  <c r="BC89" i="28"/>
  <c r="AY89" i="28"/>
  <c r="BD83" i="27"/>
  <c r="AU85" i="27"/>
  <c r="BF85" i="27"/>
  <c r="AY86" i="27"/>
  <c r="BC87" i="27"/>
  <c r="BD88" i="27"/>
  <c r="AX102" i="27"/>
  <c r="AS103" i="27"/>
  <c r="AR103" i="27" s="1"/>
  <c r="AQ103" i="27" s="1"/>
  <c r="Z103" i="27" s="1"/>
  <c r="BD104" i="27"/>
  <c r="BE107" i="27"/>
  <c r="BA123" i="27"/>
  <c r="BF124" i="27"/>
  <c r="AZ128" i="27"/>
  <c r="BB130" i="27"/>
  <c r="BH132" i="27"/>
  <c r="BF144" i="27"/>
  <c r="BI146" i="27"/>
  <c r="AY148" i="27"/>
  <c r="BA149" i="27"/>
  <c r="BE151" i="27"/>
  <c r="AT153" i="27"/>
  <c r="BD23" i="28"/>
  <c r="BE25" i="28"/>
  <c r="AV26" i="28"/>
  <c r="BH41" i="28"/>
  <c r="BH47" i="28"/>
  <c r="AY48" i="28"/>
  <c r="BB61" i="28"/>
  <c r="BA63" i="28"/>
  <c r="BB67" i="28"/>
  <c r="AW68" i="28"/>
  <c r="BJ68" i="28"/>
  <c r="AW102" i="28"/>
  <c r="BI102" i="28"/>
  <c r="BE102" i="28"/>
  <c r="BA102" i="28"/>
  <c r="AZ102" i="28"/>
  <c r="BJ25" i="29"/>
  <c r="AV25" i="29"/>
  <c r="BI47" i="26"/>
  <c r="AV48" i="26"/>
  <c r="BD48" i="26"/>
  <c r="BG62" i="26"/>
  <c r="AU64" i="26"/>
  <c r="BB67" i="26"/>
  <c r="AY82" i="26"/>
  <c r="AY83" i="26"/>
  <c r="BH83" i="26"/>
  <c r="BD84" i="26"/>
  <c r="BA87" i="26"/>
  <c r="AW89" i="26"/>
  <c r="AU108" i="26"/>
  <c r="BF108" i="26"/>
  <c r="BI123" i="26"/>
  <c r="AW127" i="26"/>
  <c r="BC131" i="26"/>
  <c r="AY144" i="26"/>
  <c r="BA146" i="26"/>
  <c r="AU148" i="26"/>
  <c r="BI148" i="26"/>
  <c r="BC149" i="26"/>
  <c r="AW153" i="26"/>
  <c r="AU19" i="27"/>
  <c r="BF20" i="27"/>
  <c r="BA21" i="27"/>
  <c r="BD24" i="27"/>
  <c r="BC26" i="27"/>
  <c r="AW62" i="27"/>
  <c r="BB65" i="27"/>
  <c r="BD69" i="27"/>
  <c r="AT82" i="27"/>
  <c r="AW85" i="27"/>
  <c r="BG85" i="27"/>
  <c r="BE87" i="27"/>
  <c r="BF88" i="27"/>
  <c r="AW103" i="27"/>
  <c r="BB123" i="27"/>
  <c r="BA128" i="27"/>
  <c r="BC149" i="27"/>
  <c r="BH60" i="28"/>
  <c r="BC61" i="28"/>
  <c r="BG81" i="28"/>
  <c r="BG146" i="29"/>
  <c r="BI146" i="29"/>
  <c r="BA146" i="29"/>
  <c r="AV146" i="29"/>
  <c r="AS146" i="29"/>
  <c r="AR146" i="29" s="1"/>
  <c r="AQ146" i="29" s="1"/>
  <c r="AA146" i="29" s="1"/>
  <c r="AW107" i="28"/>
  <c r="BA110" i="28"/>
  <c r="AT69" i="29"/>
  <c r="BH81" i="29"/>
  <c r="BA89" i="29"/>
  <c r="BA105" i="29"/>
  <c r="BE106" i="29"/>
  <c r="AU107" i="29"/>
  <c r="BG107" i="29"/>
  <c r="AS108" i="29"/>
  <c r="AR108" i="29" s="1"/>
  <c r="AQ108" i="29" s="1"/>
  <c r="BI108" i="29"/>
  <c r="AV131" i="29"/>
  <c r="BK131" i="29"/>
  <c r="AY144" i="29"/>
  <c r="BJ145" i="29"/>
  <c r="BF147" i="29"/>
  <c r="AV148" i="29"/>
  <c r="BC151" i="29"/>
  <c r="BE153" i="29"/>
  <c r="BI90" i="28"/>
  <c r="AS103" i="28"/>
  <c r="AR103" i="28" s="1"/>
  <c r="AQ103" i="28" s="1"/>
  <c r="AA103" i="28" s="1"/>
  <c r="BE103" i="28"/>
  <c r="BF104" i="28"/>
  <c r="AX105" i="28"/>
  <c r="BF105" i="28"/>
  <c r="AU106" i="28"/>
  <c r="AX107" i="28"/>
  <c r="BB110" i="28"/>
  <c r="AZ111" i="28"/>
  <c r="AW123" i="28"/>
  <c r="BF123" i="28"/>
  <c r="AZ124" i="28"/>
  <c r="AY125" i="28"/>
  <c r="AV126" i="28"/>
  <c r="BK129" i="28"/>
  <c r="BK130" i="28"/>
  <c r="BA148" i="28"/>
  <c r="BC150" i="28"/>
  <c r="AY41" i="29"/>
  <c r="AZ42" i="29"/>
  <c r="BD43" i="29"/>
  <c r="BC44" i="29"/>
  <c r="AY45" i="29"/>
  <c r="AW46" i="29"/>
  <c r="BK46" i="29"/>
  <c r="BF60" i="29"/>
  <c r="BJ67" i="29"/>
  <c r="BA68" i="29"/>
  <c r="BK68" i="29"/>
  <c r="AV69" i="29"/>
  <c r="AY81" i="29"/>
  <c r="BI81" i="29"/>
  <c r="BD89" i="29"/>
  <c r="AW102" i="29"/>
  <c r="BE105" i="29"/>
  <c r="AW107" i="29"/>
  <c r="BK107" i="29"/>
  <c r="AU108" i="29"/>
  <c r="BK108" i="29"/>
  <c r="BG144" i="29"/>
  <c r="AV88" i="28"/>
  <c r="AX90" i="28"/>
  <c r="BJ90" i="28"/>
  <c r="AT103" i="28"/>
  <c r="BF103" i="28"/>
  <c r="BG104" i="28"/>
  <c r="AY105" i="28"/>
  <c r="AX106" i="28"/>
  <c r="BC107" i="28"/>
  <c r="BD110" i="28"/>
  <c r="BA111" i="28"/>
  <c r="AX123" i="28"/>
  <c r="BG123" i="28"/>
  <c r="BD124" i="28"/>
  <c r="AZ125" i="28"/>
  <c r="AW126" i="28"/>
  <c r="AV128" i="28"/>
  <c r="BC148" i="28"/>
  <c r="BF149" i="28"/>
  <c r="BD150" i="28"/>
  <c r="BA41" i="29"/>
  <c r="BE44" i="29"/>
  <c r="BA45" i="29"/>
  <c r="AX69" i="29"/>
  <c r="AU124" i="29"/>
  <c r="AS83" i="28"/>
  <c r="AR83" i="28" s="1"/>
  <c r="AQ83" i="28" s="1"/>
  <c r="AA83" i="28" s="1"/>
  <c r="BF86" i="28"/>
  <c r="AU103" i="28"/>
  <c r="BG103" i="28"/>
  <c r="AY106" i="28"/>
  <c r="BE107" i="28"/>
  <c r="AS110" i="28"/>
  <c r="AR110" i="28" s="1"/>
  <c r="AQ110" i="28" s="1"/>
  <c r="Z110" i="28" s="1"/>
  <c r="BE110" i="28"/>
  <c r="BD111" i="28"/>
  <c r="AY123" i="28"/>
  <c r="BH123" i="28"/>
  <c r="BF124" i="28"/>
  <c r="BA125" i="28"/>
  <c r="BB126" i="28"/>
  <c r="AW128" i="28"/>
  <c r="AS130" i="28"/>
  <c r="AR130" i="28" s="1"/>
  <c r="AQ130" i="28" s="1"/>
  <c r="Z130" i="28" s="1"/>
  <c r="AS146" i="28"/>
  <c r="AR146" i="28" s="1"/>
  <c r="AQ146" i="28" s="1"/>
  <c r="AA146" i="28" s="1"/>
  <c r="AS148" i="28"/>
  <c r="AR148" i="28" s="1"/>
  <c r="AQ148" i="28" s="1"/>
  <c r="AA148" i="28" s="1"/>
  <c r="BD148" i="28"/>
  <c r="BH149" i="28"/>
  <c r="AS150" i="28"/>
  <c r="AR150" i="28" s="1"/>
  <c r="AQ150" i="28" s="1"/>
  <c r="AA150" i="28" s="1"/>
  <c r="BE150" i="28"/>
  <c r="BD41" i="29"/>
  <c r="BD42" i="29"/>
  <c r="AU44" i="29"/>
  <c r="BG44" i="29"/>
  <c r="BD45" i="29"/>
  <c r="BA46" i="29"/>
  <c r="BD48" i="29"/>
  <c r="AT68" i="29"/>
  <c r="BC68" i="29"/>
  <c r="AZ69" i="29"/>
  <c r="BA81" i="29"/>
  <c r="AS89" i="29"/>
  <c r="AR89" i="29" s="1"/>
  <c r="AQ89" i="29" s="1"/>
  <c r="Z89" i="29" s="1"/>
  <c r="BG89" i="29"/>
  <c r="BA102" i="29"/>
  <c r="BE104" i="29"/>
  <c r="BA107" i="29"/>
  <c r="AY108" i="29"/>
  <c r="BA131" i="29"/>
  <c r="BD145" i="29"/>
  <c r="BK151" i="29"/>
  <c r="AX152" i="29"/>
  <c r="BB106" i="28"/>
  <c r="BF107" i="28"/>
  <c r="AV108" i="28"/>
  <c r="AT110" i="28"/>
  <c r="BG110" i="28"/>
  <c r="BF111" i="28"/>
  <c r="BG124" i="28"/>
  <c r="BD125" i="28"/>
  <c r="BC126" i="28"/>
  <c r="AX128" i="28"/>
  <c r="AT130" i="28"/>
  <c r="AT146" i="28"/>
  <c r="AU148" i="28"/>
  <c r="BE148" i="28"/>
  <c r="AU150" i="28"/>
  <c r="BG150" i="28"/>
  <c r="BE41" i="29"/>
  <c r="BF42" i="29"/>
  <c r="AV44" i="29"/>
  <c r="BH44" i="29"/>
  <c r="BE45" i="29"/>
  <c r="BC46" i="29"/>
  <c r="BF48" i="29"/>
  <c r="AT67" i="29"/>
  <c r="BD68" i="29"/>
  <c r="BB69" i="29"/>
  <c r="BC81" i="29"/>
  <c r="AV83" i="29"/>
  <c r="BB107" i="29"/>
  <c r="BA108" i="29"/>
  <c r="AY124" i="29"/>
  <c r="BA130" i="29"/>
  <c r="BC131" i="29"/>
  <c r="BE145" i="29"/>
  <c r="BC152" i="29"/>
  <c r="BC123" i="28"/>
  <c r="AT125" i="28"/>
  <c r="BH125" i="28"/>
  <c r="BE126" i="28"/>
  <c r="BC128" i="28"/>
  <c r="AS132" i="28"/>
  <c r="AR132" i="28" s="1"/>
  <c r="AQ132" i="28" s="1"/>
  <c r="AA132" i="28" s="1"/>
  <c r="BI146" i="28"/>
  <c r="AW148" i="28"/>
  <c r="BI148" i="28"/>
  <c r="AV149" i="28"/>
  <c r="AW150" i="28"/>
  <c r="BK150" i="28"/>
  <c r="AV151" i="28"/>
  <c r="AU41" i="29"/>
  <c r="BI41" i="29"/>
  <c r="AY44" i="29"/>
  <c r="BK44" i="29"/>
  <c r="AS45" i="29"/>
  <c r="AR45" i="29" s="1"/>
  <c r="AQ45" i="29" s="1"/>
  <c r="Z45" i="29" s="1"/>
  <c r="BI45" i="29"/>
  <c r="AS46" i="29"/>
  <c r="AR46" i="29" s="1"/>
  <c r="AQ46" i="29" s="1"/>
  <c r="AA46" i="29" s="1"/>
  <c r="BE46" i="29"/>
  <c r="AZ65" i="29"/>
  <c r="AV66" i="29"/>
  <c r="BB67" i="29"/>
  <c r="AX68" i="29"/>
  <c r="BG68" i="29"/>
  <c r="BJ69" i="29"/>
  <c r="AS81" i="29"/>
  <c r="AR81" i="29" s="1"/>
  <c r="AR92" i="29" s="1"/>
  <c r="BE81" i="29"/>
  <c r="BB83" i="29"/>
  <c r="AZ103" i="29"/>
  <c r="BJ104" i="29"/>
  <c r="AS107" i="29"/>
  <c r="AR107" i="29" s="1"/>
  <c r="AQ107" i="29" s="1"/>
  <c r="AA107" i="29" s="1"/>
  <c r="BD107" i="29"/>
  <c r="BD108" i="29"/>
  <c r="BD110" i="29"/>
  <c r="BD111" i="29"/>
  <c r="AZ123" i="29"/>
  <c r="BG124" i="29"/>
  <c r="AV129" i="29"/>
  <c r="BF131" i="29"/>
  <c r="BG145" i="29"/>
  <c r="AX147" i="29"/>
  <c r="AW153" i="29"/>
  <c r="BC104" i="28"/>
  <c r="BG106" i="28"/>
  <c r="AV107" i="28"/>
  <c r="AZ110" i="28"/>
  <c r="AX111" i="28"/>
  <c r="BI111" i="28"/>
  <c r="BD123" i="28"/>
  <c r="AV125" i="28"/>
  <c r="BI125" i="28"/>
  <c r="BJ128" i="28"/>
  <c r="AW131" i="28"/>
  <c r="AV132" i="28"/>
  <c r="BJ146" i="28"/>
  <c r="AY148" i="28"/>
  <c r="BK148" i="28"/>
  <c r="AV26" i="29"/>
  <c r="AV41" i="29"/>
  <c r="BK41" i="29"/>
  <c r="BK104" i="29"/>
  <c r="AT105" i="29"/>
  <c r="AT107" i="29"/>
  <c r="BF107" i="29"/>
  <c r="BG108" i="29"/>
  <c r="AS144" i="29"/>
  <c r="AR144" i="29" s="1"/>
  <c r="AQ144" i="29" s="1"/>
  <c r="BD153" i="29"/>
  <c r="AG19" i="20"/>
  <c r="AJ26" i="20"/>
  <c r="AK44" i="20"/>
  <c r="AD46" i="20"/>
  <c r="AB63" i="20"/>
  <c r="AH19" i="20"/>
  <c r="AB22" i="20"/>
  <c r="AD23" i="20"/>
  <c r="AK26" i="20"/>
  <c r="AC40" i="20"/>
  <c r="AM44" i="20"/>
  <c r="AF46" i="20"/>
  <c r="AG47" i="20"/>
  <c r="AC63" i="20"/>
  <c r="AB87" i="20"/>
  <c r="AP107" i="20"/>
  <c r="AC148" i="20"/>
  <c r="AP148" i="20"/>
  <c r="AC87" i="20"/>
  <c r="AC107" i="20"/>
  <c r="AL23" i="20"/>
  <c r="AI25" i="20"/>
  <c r="AB85" i="20"/>
  <c r="AE23" i="20"/>
  <c r="AB18" i="20"/>
  <c r="AB29" i="20" s="1"/>
  <c r="AL19" i="20"/>
  <c r="AG45" i="20"/>
  <c r="AK46" i="20"/>
  <c r="AJ47" i="20"/>
  <c r="AC18" i="20"/>
  <c r="AC29" i="20" s="1"/>
  <c r="AB19" i="20"/>
  <c r="AM19" i="20"/>
  <c r="AE22" i="20"/>
  <c r="AM23" i="20"/>
  <c r="AM25" i="20"/>
  <c r="AD26" i="20"/>
  <c r="AK27" i="20"/>
  <c r="AF43" i="20"/>
  <c r="AP44" i="20"/>
  <c r="AH45" i="20"/>
  <c r="AL46" i="20"/>
  <c r="AM47" i="20"/>
  <c r="AB86" i="20"/>
  <c r="AF26" i="20"/>
  <c r="AE19" i="20"/>
  <c r="AB24" i="20"/>
  <c r="AG26" i="20"/>
  <c r="AK43" i="20"/>
  <c r="AF44" i="20"/>
  <c r="AD47" i="20"/>
  <c r="AB151" i="20"/>
  <c r="AC151" i="20"/>
  <c r="AF19" i="20"/>
  <c r="AP19" i="20"/>
  <c r="AB23" i="20"/>
  <c r="AI26" i="20"/>
  <c r="AB39" i="20"/>
  <c r="AB50" i="20" s="1"/>
  <c r="AM43" i="20"/>
  <c r="AG44" i="20"/>
  <c r="AE47" i="20"/>
  <c r="AP47" i="20"/>
  <c r="AP62" i="20"/>
  <c r="AP82" i="20"/>
  <c r="AJ19" i="21"/>
  <c r="AM19" i="21"/>
  <c r="AL19" i="21"/>
  <c r="AK19" i="21"/>
  <c r="AH19" i="21"/>
  <c r="AG19" i="21"/>
  <c r="AF19" i="21"/>
  <c r="AE19" i="21"/>
  <c r="AB128" i="20"/>
  <c r="AP39" i="21"/>
  <c r="AP50" i="21" s="1"/>
  <c r="AB69" i="21"/>
  <c r="AP83" i="21"/>
  <c r="AH19" i="22"/>
  <c r="AL22" i="22"/>
  <c r="AL25" i="22"/>
  <c r="AP47" i="22"/>
  <c r="AI48" i="22"/>
  <c r="AB65" i="22"/>
  <c r="AP110" i="22"/>
  <c r="AP127" i="22"/>
  <c r="AB145" i="22"/>
  <c r="AP145" i="22"/>
  <c r="AF20" i="23"/>
  <c r="AF21" i="23"/>
  <c r="AL26" i="23"/>
  <c r="AC40" i="23"/>
  <c r="AG42" i="23"/>
  <c r="AE45" i="23"/>
  <c r="AB46" i="23"/>
  <c r="AP46" i="23"/>
  <c r="AE47" i="23"/>
  <c r="AB66" i="23"/>
  <c r="AB108" i="23"/>
  <c r="AC125" i="23"/>
  <c r="AP126" i="23"/>
  <c r="AP148" i="23"/>
  <c r="AP152" i="23"/>
  <c r="AI19" i="24"/>
  <c r="AP23" i="24"/>
  <c r="AL25" i="24"/>
  <c r="AK26" i="24"/>
  <c r="AJ46" i="24"/>
  <c r="AF45" i="25"/>
  <c r="AM45" i="25"/>
  <c r="AL45" i="25"/>
  <c r="AI45" i="25"/>
  <c r="AC43" i="26"/>
  <c r="AB43" i="26"/>
  <c r="AC69" i="21"/>
  <c r="AC40" i="22"/>
  <c r="AD41" i="22"/>
  <c r="AB62" i="22"/>
  <c r="AB105" i="22"/>
  <c r="AH20" i="23"/>
  <c r="AB146" i="23"/>
  <c r="AB148" i="23"/>
  <c r="AL19" i="24"/>
  <c r="AL26" i="24"/>
  <c r="AF44" i="24"/>
  <c r="AK46" i="24"/>
  <c r="AD22" i="21"/>
  <c r="AF25" i="21"/>
  <c r="AC26" i="21"/>
  <c r="AC66" i="21"/>
  <c r="AC84" i="21"/>
  <c r="AO92" i="21"/>
  <c r="AB106" i="21"/>
  <c r="AC123" i="21"/>
  <c r="AC134" i="21" s="1"/>
  <c r="AC124" i="21"/>
  <c r="AP144" i="21"/>
  <c r="AP155" i="21" s="1"/>
  <c r="AE41" i="22"/>
  <c r="AP149" i="22"/>
  <c r="AM20" i="23"/>
  <c r="AL21" i="23"/>
  <c r="AC22" i="23"/>
  <c r="AC23" i="23"/>
  <c r="AP41" i="23"/>
  <c r="AM45" i="23"/>
  <c r="AF46" i="23"/>
  <c r="AP84" i="23"/>
  <c r="AP109" i="23"/>
  <c r="AC146" i="23"/>
  <c r="AB18" i="24"/>
  <c r="AB29" i="24" s="1"/>
  <c r="AM19" i="24"/>
  <c r="AE22" i="24"/>
  <c r="AD26" i="24"/>
  <c r="AM26" i="24"/>
  <c r="AD41" i="24"/>
  <c r="AB43" i="24"/>
  <c r="AG44" i="24"/>
  <c r="AM46" i="24"/>
  <c r="AF41" i="22"/>
  <c r="AF43" i="22"/>
  <c r="AF43" i="23"/>
  <c r="AH46" i="23"/>
  <c r="AC104" i="23"/>
  <c r="AB130" i="23"/>
  <c r="AF22" i="24"/>
  <c r="AE41" i="24"/>
  <c r="AF43" i="24"/>
  <c r="AB68" i="24"/>
  <c r="AP68" i="24"/>
  <c r="AC68" i="24"/>
  <c r="AB67" i="25"/>
  <c r="AP67" i="25"/>
  <c r="AC67" i="25"/>
  <c r="AF22" i="21"/>
  <c r="AH23" i="21"/>
  <c r="AD24" i="21"/>
  <c r="AF26" i="21"/>
  <c r="AB27" i="21"/>
  <c r="AF40" i="21"/>
  <c r="AC41" i="21"/>
  <c r="AF46" i="21"/>
  <c r="AK47" i="21"/>
  <c r="AB81" i="21"/>
  <c r="AB92" i="21" s="1"/>
  <c r="AB111" i="21"/>
  <c r="AB127" i="21"/>
  <c r="AL23" i="22"/>
  <c r="AF25" i="22"/>
  <c r="AD27" i="22"/>
  <c r="AH41" i="22"/>
  <c r="AG43" i="22"/>
  <c r="AG45" i="22"/>
  <c r="AJ47" i="22"/>
  <c r="AP60" i="22"/>
  <c r="AP71" i="22" s="1"/>
  <c r="AP63" i="22"/>
  <c r="AP42" i="23"/>
  <c r="AI43" i="23"/>
  <c r="AJ46" i="23"/>
  <c r="AC130" i="23"/>
  <c r="AD19" i="24"/>
  <c r="AJ22" i="24"/>
  <c r="AC23" i="24"/>
  <c r="AH41" i="24"/>
  <c r="AP108" i="24"/>
  <c r="AC108" i="24"/>
  <c r="AP128" i="24"/>
  <c r="AC128" i="24"/>
  <c r="AB128" i="24"/>
  <c r="AB40" i="26"/>
  <c r="AP40" i="26"/>
  <c r="AH22" i="21"/>
  <c r="AI23" i="21"/>
  <c r="AF24" i="21"/>
  <c r="AH26" i="21"/>
  <c r="AC27" i="21"/>
  <c r="AJ40" i="21"/>
  <c r="AF41" i="21"/>
  <c r="AD48" i="21"/>
  <c r="AP85" i="21"/>
  <c r="AC111" i="21"/>
  <c r="AC127" i="21"/>
  <c r="AC148" i="21"/>
  <c r="AH25" i="22"/>
  <c r="AG27" i="22"/>
  <c r="AI41" i="22"/>
  <c r="AJ43" i="22"/>
  <c r="AK47" i="22"/>
  <c r="AP68" i="22"/>
  <c r="AC83" i="22"/>
  <c r="AC148" i="22"/>
  <c r="AD27" i="23"/>
  <c r="AB109" i="23"/>
  <c r="AB126" i="23"/>
  <c r="AE19" i="24"/>
  <c r="AK22" i="24"/>
  <c r="AG26" i="24"/>
  <c r="AI41" i="24"/>
  <c r="AB42" i="24"/>
  <c r="AC46" i="24"/>
  <c r="AB63" i="24"/>
  <c r="AP63" i="24"/>
  <c r="AP150" i="20"/>
  <c r="AM40" i="21"/>
  <c r="AK41" i="21"/>
  <c r="AB146" i="21"/>
  <c r="AP18" i="22"/>
  <c r="AP29" i="22" s="1"/>
  <c r="AE22" i="22"/>
  <c r="AJ25" i="22"/>
  <c r="AD26" i="22"/>
  <c r="AH27" i="22"/>
  <c r="AL41" i="22"/>
  <c r="AK43" i="22"/>
  <c r="AP44" i="22"/>
  <c r="AB64" i="22"/>
  <c r="AC107" i="22"/>
  <c r="AD21" i="23"/>
  <c r="AG27" i="23"/>
  <c r="AC41" i="23"/>
  <c r="AF19" i="24"/>
  <c r="AL22" i="24"/>
  <c r="AH26" i="24"/>
  <c r="AI40" i="24"/>
  <c r="AJ41" i="24"/>
  <c r="AP85" i="25"/>
  <c r="AC85" i="25"/>
  <c r="AB129" i="24"/>
  <c r="AP130" i="24"/>
  <c r="AH19" i="25"/>
  <c r="AG22" i="25"/>
  <c r="AB24" i="25"/>
  <c r="AC39" i="25"/>
  <c r="AC50" i="25" s="1"/>
  <c r="AM41" i="25"/>
  <c r="AM46" i="25"/>
  <c r="AE47" i="25"/>
  <c r="AM47" i="25"/>
  <c r="AB61" i="25"/>
  <c r="AC105" i="25"/>
  <c r="AB106" i="25"/>
  <c r="AC125" i="25"/>
  <c r="AJ45" i="27"/>
  <c r="AK45" i="27"/>
  <c r="AH45" i="27"/>
  <c r="AG45" i="27"/>
  <c r="AF45" i="27"/>
  <c r="AE45" i="27"/>
  <c r="AM45" i="27"/>
  <c r="AC69" i="27"/>
  <c r="AP69" i="27"/>
  <c r="AB69" i="27"/>
  <c r="AP90" i="27"/>
  <c r="AC90" i="27"/>
  <c r="AB90" i="27"/>
  <c r="AB22" i="29"/>
  <c r="AC22" i="29"/>
  <c r="AP22" i="29"/>
  <c r="AC84" i="24"/>
  <c r="AP123" i="24"/>
  <c r="AP134" i="24" s="1"/>
  <c r="AC61" i="25"/>
  <c r="AK21" i="26"/>
  <c r="AI45" i="26"/>
  <c r="AC46" i="26"/>
  <c r="AL48" i="26"/>
  <c r="AB63" i="26"/>
  <c r="AC102" i="26"/>
  <c r="AC113" i="26" s="1"/>
  <c r="AP129" i="26"/>
  <c r="AP132" i="26"/>
  <c r="AP145" i="26"/>
  <c r="AP150" i="26"/>
  <c r="AB19" i="27"/>
  <c r="AF20" i="27"/>
  <c r="AJ43" i="27"/>
  <c r="AM43" i="27"/>
  <c r="AK43" i="27"/>
  <c r="AI43" i="27"/>
  <c r="AF43" i="27"/>
  <c r="AE43" i="27"/>
  <c r="AP21" i="28"/>
  <c r="AC21" i="28"/>
  <c r="AJ21" i="29"/>
  <c r="AL21" i="29"/>
  <c r="AH21" i="29"/>
  <c r="AD21" i="29"/>
  <c r="AC27" i="29"/>
  <c r="AB27" i="29"/>
  <c r="AP27" i="29"/>
  <c r="AB105" i="24"/>
  <c r="AP105" i="24"/>
  <c r="AB130" i="24"/>
  <c r="AK19" i="25"/>
  <c r="AD21" i="25"/>
  <c r="AF40" i="25"/>
  <c r="AI42" i="25"/>
  <c r="AP43" i="25"/>
  <c r="AB44" i="25"/>
  <c r="AB89" i="25"/>
  <c r="AB107" i="25"/>
  <c r="AB110" i="25"/>
  <c r="AC148" i="25"/>
  <c r="AB149" i="25"/>
  <c r="AL21" i="26"/>
  <c r="AM45" i="26"/>
  <c r="AF46" i="26"/>
  <c r="AD47" i="26"/>
  <c r="AM48" i="26"/>
  <c r="AB60" i="26"/>
  <c r="AB71" i="26" s="1"/>
  <c r="AP104" i="26"/>
  <c r="AP108" i="26"/>
  <c r="AB128" i="26"/>
  <c r="AB132" i="26"/>
  <c r="AK21" i="27"/>
  <c r="AH21" i="27"/>
  <c r="AC24" i="27"/>
  <c r="AP24" i="27"/>
  <c r="AG25" i="27"/>
  <c r="AG22" i="28"/>
  <c r="AM22" i="28"/>
  <c r="AL22" i="28"/>
  <c r="AJ22" i="28"/>
  <c r="AI22" i="28"/>
  <c r="AH22" i="28"/>
  <c r="AE22" i="28"/>
  <c r="AD22" i="28"/>
  <c r="AC24" i="29"/>
  <c r="AB24" i="29"/>
  <c r="AP24" i="29"/>
  <c r="AB67" i="24"/>
  <c r="AB152" i="24"/>
  <c r="AM19" i="25"/>
  <c r="AB20" i="25"/>
  <c r="AG40" i="25"/>
  <c r="AC41" i="25"/>
  <c r="AC44" i="25"/>
  <c r="AB46" i="25"/>
  <c r="AH47" i="25"/>
  <c r="AP47" i="25"/>
  <c r="AB81" i="25"/>
  <c r="AB92" i="25" s="1"/>
  <c r="AC82" i="25"/>
  <c r="AC149" i="25"/>
  <c r="AD42" i="26"/>
  <c r="AE47" i="26"/>
  <c r="AB129" i="26"/>
  <c r="AI41" i="27"/>
  <c r="AJ41" i="27"/>
  <c r="AG41" i="27"/>
  <c r="AF41" i="27"/>
  <c r="AE41" i="27"/>
  <c r="AM41" i="27"/>
  <c r="AO134" i="27"/>
  <c r="AC123" i="27"/>
  <c r="AC134" i="27" s="1"/>
  <c r="AC153" i="28"/>
  <c r="AB153" i="28"/>
  <c r="AP64" i="24"/>
  <c r="AB107" i="24"/>
  <c r="AI21" i="25"/>
  <c r="AM22" i="25"/>
  <c r="AP25" i="25"/>
  <c r="AJ40" i="25"/>
  <c r="AE41" i="25"/>
  <c r="AE46" i="25"/>
  <c r="AC81" i="25"/>
  <c r="AC92" i="25" s="1"/>
  <c r="AB86" i="25"/>
  <c r="AB104" i="25"/>
  <c r="AP104" i="25"/>
  <c r="AE40" i="26"/>
  <c r="AH42" i="26"/>
  <c r="AI47" i="26"/>
  <c r="AE48" i="26"/>
  <c r="AH27" i="27"/>
  <c r="AL27" i="27"/>
  <c r="AC20" i="29"/>
  <c r="AB20" i="29"/>
  <c r="AP84" i="24"/>
  <c r="AC107" i="24"/>
  <c r="AJ20" i="25"/>
  <c r="AK21" i="25"/>
  <c r="AB84" i="26"/>
  <c r="AC123" i="26"/>
  <c r="AC134" i="26" s="1"/>
  <c r="AP47" i="27"/>
  <c r="AB47" i="27"/>
  <c r="AC23" i="29"/>
  <c r="AB23" i="29"/>
  <c r="AP23" i="29"/>
  <c r="AC66" i="27"/>
  <c r="AB66" i="27"/>
  <c r="AP66" i="27"/>
  <c r="AP81" i="27"/>
  <c r="AP92" i="27" s="1"/>
  <c r="AC81" i="27"/>
  <c r="AC92" i="27" s="1"/>
  <c r="AB83" i="28"/>
  <c r="AC83" i="28"/>
  <c r="AC104" i="28"/>
  <c r="AB104" i="28"/>
  <c r="AP104" i="28"/>
  <c r="AE22" i="25"/>
  <c r="AJ27" i="25"/>
  <c r="AB39" i="25"/>
  <c r="AB50" i="25" s="1"/>
  <c r="AJ41" i="25"/>
  <c r="AP123" i="26"/>
  <c r="AP134" i="26" s="1"/>
  <c r="AC42" i="27"/>
  <c r="AB42" i="27"/>
  <c r="AP42" i="27"/>
  <c r="AJ44" i="27"/>
  <c r="AH44" i="27"/>
  <c r="AE44" i="27"/>
  <c r="AL44" i="27"/>
  <c r="AL45" i="27"/>
  <c r="AB104" i="27"/>
  <c r="AC104" i="27"/>
  <c r="AP104" i="27"/>
  <c r="AC25" i="29"/>
  <c r="AB25" i="29"/>
  <c r="AP25" i="29"/>
  <c r="AC40" i="29"/>
  <c r="AB40" i="29"/>
  <c r="AP40" i="29"/>
  <c r="AC45" i="27"/>
  <c r="AF48" i="27"/>
  <c r="AB62" i="27"/>
  <c r="AB130" i="27"/>
  <c r="AE19" i="28"/>
  <c r="AM24" i="28"/>
  <c r="AF26" i="28"/>
  <c r="AB88" i="28"/>
  <c r="AC132" i="28"/>
  <c r="AB18" i="29"/>
  <c r="AB29" i="29" s="1"/>
  <c r="AE43" i="29"/>
  <c r="AE44" i="29"/>
  <c r="AF45" i="29"/>
  <c r="AB111" i="28"/>
  <c r="AD20" i="29"/>
  <c r="AJ26" i="29"/>
  <c r="AG43" i="29"/>
  <c r="AI44" i="29"/>
  <c r="AI45" i="29"/>
  <c r="AE46" i="29"/>
  <c r="AJ47" i="29"/>
  <c r="AE48" i="29"/>
  <c r="AP86" i="29"/>
  <c r="AP110" i="29"/>
  <c r="AP125" i="29"/>
  <c r="AP88" i="27"/>
  <c r="AH23" i="28"/>
  <c r="AP24" i="28"/>
  <c r="AJ27" i="28"/>
  <c r="AF46" i="28"/>
  <c r="AF47" i="28"/>
  <c r="AC81" i="28"/>
  <c r="AC92" i="28" s="1"/>
  <c r="AP18" i="29"/>
  <c r="AP29" i="29" s="1"/>
  <c r="AH20" i="29"/>
  <c r="AK26" i="29"/>
  <c r="AJ43" i="29"/>
  <c r="AJ44" i="29"/>
  <c r="AK45" i="29"/>
  <c r="AF46" i="29"/>
  <c r="AF48" i="29"/>
  <c r="AP82" i="29"/>
  <c r="AB103" i="29"/>
  <c r="AB125" i="29"/>
  <c r="AP20" i="27"/>
  <c r="AP25" i="27"/>
  <c r="AC44" i="27"/>
  <c r="AG46" i="27"/>
  <c r="AB60" i="27"/>
  <c r="AB71" i="27" s="1"/>
  <c r="AC61" i="27"/>
  <c r="AC128" i="27"/>
  <c r="AP130" i="27"/>
  <c r="AJ23" i="28"/>
  <c r="AC24" i="28"/>
  <c r="AM47" i="28"/>
  <c r="AB48" i="28"/>
  <c r="AB102" i="28"/>
  <c r="AB113" i="28" s="1"/>
  <c r="AB124" i="28"/>
  <c r="AJ20" i="29"/>
  <c r="AL26" i="29"/>
  <c r="AM43" i="29"/>
  <c r="AP64" i="29"/>
  <c r="AP87" i="29"/>
  <c r="AB110" i="29"/>
  <c r="AC83" i="27"/>
  <c r="AD24" i="28"/>
  <c r="AC48" i="28"/>
  <c r="AB130" i="28"/>
  <c r="AP130" i="28"/>
  <c r="AL20" i="29"/>
  <c r="AJ23" i="29"/>
  <c r="AF25" i="29"/>
  <c r="AM26" i="29"/>
  <c r="AP47" i="29"/>
  <c r="AK46" i="27"/>
  <c r="AB67" i="27"/>
  <c r="AC152" i="27"/>
  <c r="AE24" i="28"/>
  <c r="AD48" i="28"/>
  <c r="AP64" i="28"/>
  <c r="AC67" i="28"/>
  <c r="AP68" i="28"/>
  <c r="AC146" i="28"/>
  <c r="AP66" i="29"/>
  <c r="AP152" i="29"/>
  <c r="AX22" i="20"/>
  <c r="BC23" i="20"/>
  <c r="AU24" i="20"/>
  <c r="BD24" i="20"/>
  <c r="AT25" i="20"/>
  <c r="BE25" i="20"/>
  <c r="AZ26" i="20"/>
  <c r="BI26" i="20"/>
  <c r="BB39" i="20"/>
  <c r="AT41" i="20"/>
  <c r="BJ45" i="20"/>
  <c r="BF45" i="20"/>
  <c r="AV45" i="20"/>
  <c r="BE45" i="20"/>
  <c r="AU45" i="20"/>
  <c r="BD45" i="20"/>
  <c r="AS45" i="20"/>
  <c r="AR45" i="20" s="1"/>
  <c r="AQ45" i="20" s="1"/>
  <c r="AA45" i="20" s="1"/>
  <c r="BI45" i="20"/>
  <c r="AX45" i="20"/>
  <c r="BF46" i="20"/>
  <c r="BG46" i="20"/>
  <c r="AT46" i="20"/>
  <c r="BE46" i="20"/>
  <c r="AS46" i="20"/>
  <c r="AR46" i="20" s="1"/>
  <c r="AQ46" i="20" s="1"/>
  <c r="Z46" i="20" s="1"/>
  <c r="BD46" i="20"/>
  <c r="BJ46" i="20"/>
  <c r="AW46" i="20"/>
  <c r="BC125" i="20"/>
  <c r="BB130" i="20"/>
  <c r="AY151" i="20"/>
  <c r="BE60" i="20"/>
  <c r="BD60" i="20"/>
  <c r="BC60" i="20"/>
  <c r="BA60" i="20"/>
  <c r="BF60" i="20"/>
  <c r="AS60" i="20"/>
  <c r="AR60" i="20" s="1"/>
  <c r="AR71" i="20" s="1"/>
  <c r="BB22" i="20"/>
  <c r="BD23" i="20"/>
  <c r="AV24" i="20"/>
  <c r="BF24" i="20"/>
  <c r="AS39" i="20"/>
  <c r="AR39" i="20" s="1"/>
  <c r="AR50" i="20" s="1"/>
  <c r="BC39" i="20"/>
  <c r="BF41" i="20"/>
  <c r="BG41" i="20"/>
  <c r="AV41" i="20"/>
  <c r="BI41" i="20"/>
  <c r="AY41" i="20"/>
  <c r="BI104" i="20"/>
  <c r="BA104" i="20"/>
  <c r="AS104" i="20"/>
  <c r="AR104" i="20" s="1"/>
  <c r="AQ104" i="20" s="1"/>
  <c r="AA104" i="20" s="1"/>
  <c r="BH104" i="20"/>
  <c r="AZ104" i="20"/>
  <c r="BG104" i="20"/>
  <c r="AY104" i="20"/>
  <c r="BF104" i="20"/>
  <c r="AX104" i="20"/>
  <c r="BK104" i="20"/>
  <c r="BC104" i="20"/>
  <c r="AU104" i="20"/>
  <c r="BJ104" i="20"/>
  <c r="BB104" i="20"/>
  <c r="AT104" i="20"/>
  <c r="BD125" i="20"/>
  <c r="BA151" i="20"/>
  <c r="BC24" i="20"/>
  <c r="AZ39" i="20"/>
  <c r="AS18" i="20"/>
  <c r="AR18" i="20" s="1"/>
  <c r="AR29" i="20" s="1"/>
  <c r="BC22" i="20"/>
  <c r="BF23" i="20"/>
  <c r="AX24" i="20"/>
  <c r="BG24" i="20"/>
  <c r="AZ27" i="20"/>
  <c r="AT39" i="20"/>
  <c r="BD39" i="20"/>
  <c r="AZ41" i="20"/>
  <c r="BH42" i="20"/>
  <c r="AV42" i="20"/>
  <c r="AV85" i="20"/>
  <c r="BE130" i="20"/>
  <c r="BH130" i="20"/>
  <c r="AX130" i="20"/>
  <c r="BG130" i="20"/>
  <c r="AV130" i="20"/>
  <c r="BF130" i="20"/>
  <c r="AU130" i="20"/>
  <c r="BD130" i="20"/>
  <c r="AT130" i="20"/>
  <c r="BK130" i="20"/>
  <c r="AZ130" i="20"/>
  <c r="BJ130" i="20"/>
  <c r="AY130" i="20"/>
  <c r="AT152" i="20"/>
  <c r="BJ18" i="20"/>
  <c r="BI87" i="20"/>
  <c r="BA87" i="20"/>
  <c r="AS87" i="20"/>
  <c r="AR87" i="20" s="1"/>
  <c r="AQ87" i="20" s="1"/>
  <c r="BH87" i="20"/>
  <c r="AZ87" i="20"/>
  <c r="BG87" i="20"/>
  <c r="AY87" i="20"/>
  <c r="BF87" i="20"/>
  <c r="AX87" i="20"/>
  <c r="BK87" i="20"/>
  <c r="BC87" i="20"/>
  <c r="AU87" i="20"/>
  <c r="BJ87" i="20"/>
  <c r="BB87" i="20"/>
  <c r="AT87" i="20"/>
  <c r="AZ18" i="20"/>
  <c r="BF19" i="20"/>
  <c r="BD22" i="20"/>
  <c r="AT23" i="20"/>
  <c r="BJ23" i="20"/>
  <c r="AY24" i="20"/>
  <c r="BH24" i="20"/>
  <c r="AU26" i="20"/>
  <c r="BD26" i="20"/>
  <c r="BA27" i="20"/>
  <c r="AU39" i="20"/>
  <c r="BE39" i="20"/>
  <c r="BA41" i="20"/>
  <c r="AW87" i="20"/>
  <c r="BH125" i="20"/>
  <c r="AZ125" i="20"/>
  <c r="BG125" i="20"/>
  <c r="AY125" i="20"/>
  <c r="BF125" i="20"/>
  <c r="AX125" i="20"/>
  <c r="BE125" i="20"/>
  <c r="AW125" i="20"/>
  <c r="BJ125" i="20"/>
  <c r="BB125" i="20"/>
  <c r="AT125" i="20"/>
  <c r="BI125" i="20"/>
  <c r="BA125" i="20"/>
  <c r="AS125" i="20"/>
  <c r="AR125" i="20" s="1"/>
  <c r="AQ125" i="20" s="1"/>
  <c r="Z125" i="20" s="1"/>
  <c r="BH151" i="20"/>
  <c r="BG151" i="20"/>
  <c r="AT151" i="20"/>
  <c r="BD151" i="20"/>
  <c r="AS151" i="20"/>
  <c r="AR151" i="20" s="1"/>
  <c r="AQ151" i="20" s="1"/>
  <c r="Z151" i="20" s="1"/>
  <c r="BC151" i="20"/>
  <c r="BB151" i="20"/>
  <c r="BJ151" i="20"/>
  <c r="AV151" i="20"/>
  <c r="BI151" i="20"/>
  <c r="AU151" i="20"/>
  <c r="AV152" i="20"/>
  <c r="BI85" i="20"/>
  <c r="BA85" i="20"/>
  <c r="AS85" i="20"/>
  <c r="AR85" i="20" s="1"/>
  <c r="AQ85" i="20" s="1"/>
  <c r="Z85" i="20" s="1"/>
  <c r="BH85" i="20"/>
  <c r="AZ85" i="20"/>
  <c r="BG85" i="20"/>
  <c r="AY85" i="20"/>
  <c r="BF85" i="20"/>
  <c r="AX85" i="20"/>
  <c r="BK85" i="20"/>
  <c r="BC85" i="20"/>
  <c r="AU85" i="20"/>
  <c r="BJ85" i="20"/>
  <c r="BB85" i="20"/>
  <c r="AT85" i="20"/>
  <c r="AV22" i="20"/>
  <c r="AU47" i="20"/>
  <c r="BE47" i="20"/>
  <c r="BA18" i="20"/>
  <c r="BG19" i="20"/>
  <c r="BF22" i="20"/>
  <c r="AU23" i="20"/>
  <c r="BK23" i="20"/>
  <c r="AZ24" i="20"/>
  <c r="BI24" i="20"/>
  <c r="AV26" i="20"/>
  <c r="BE26" i="20"/>
  <c r="BD27" i="20"/>
  <c r="AW39" i="20"/>
  <c r="BF39" i="20"/>
  <c r="BB41" i="20"/>
  <c r="BA45" i="20"/>
  <c r="AY46" i="20"/>
  <c r="AU60" i="20"/>
  <c r="BF65" i="20"/>
  <c r="AU65" i="20"/>
  <c r="BE65" i="20"/>
  <c r="BD65" i="20"/>
  <c r="AZ65" i="20"/>
  <c r="BH65" i="20"/>
  <c r="AW65" i="20"/>
  <c r="BG65" i="20"/>
  <c r="AV65" i="20"/>
  <c r="BA69" i="20"/>
  <c r="AX69" i="20"/>
  <c r="BK69" i="20"/>
  <c r="BC69" i="20"/>
  <c r="BD85" i="20"/>
  <c r="BD87" i="20"/>
  <c r="BK90" i="20"/>
  <c r="BF90" i="20"/>
  <c r="AS90" i="20"/>
  <c r="AR90" i="20" s="1"/>
  <c r="AQ90" i="20" s="1"/>
  <c r="AA90" i="20" s="1"/>
  <c r="BE90" i="20"/>
  <c r="BD90" i="20"/>
  <c r="BA90" i="20"/>
  <c r="BI90" i="20"/>
  <c r="AW90" i="20"/>
  <c r="BG90" i="20"/>
  <c r="AV90" i="20"/>
  <c r="BH18" i="20"/>
  <c r="AT22" i="20"/>
  <c r="BJ22" i="20"/>
  <c r="BA24" i="20"/>
  <c r="BJ24" i="20"/>
  <c r="BI27" i="20"/>
  <c r="AX39" i="20"/>
  <c r="BG39" i="20"/>
  <c r="AY47" i="20"/>
  <c r="AW60" i="20"/>
  <c r="BE85" i="20"/>
  <c r="BE87" i="20"/>
  <c r="BK108" i="20"/>
  <c r="BD108" i="20"/>
  <c r="AV108" i="20"/>
  <c r="AT108" i="20"/>
  <c r="AS108" i="20"/>
  <c r="AR108" i="20" s="1"/>
  <c r="AQ108" i="20" s="1"/>
  <c r="AA108" i="20" s="1"/>
  <c r="BJ108" i="20"/>
  <c r="BI108" i="20"/>
  <c r="AV123" i="20"/>
  <c r="BK152" i="20"/>
  <c r="BD152" i="20"/>
  <c r="BB152" i="20"/>
  <c r="AX152" i="20"/>
  <c r="AW152" i="20"/>
  <c r="BF152" i="20"/>
  <c r="BE152" i="20"/>
  <c r="AS43" i="20"/>
  <c r="AR43" i="20" s="1"/>
  <c r="AQ43" i="20" s="1"/>
  <c r="BE43" i="20"/>
  <c r="AU44" i="20"/>
  <c r="BE44" i="20"/>
  <c r="AU63" i="20"/>
  <c r="BD63" i="20"/>
  <c r="BF64" i="20"/>
  <c r="BB67" i="20"/>
  <c r="AY68" i="20"/>
  <c r="BB81" i="20"/>
  <c r="BC83" i="20"/>
  <c r="AX84" i="20"/>
  <c r="BG84" i="20"/>
  <c r="AX86" i="20"/>
  <c r="BF86" i="20"/>
  <c r="AT89" i="20"/>
  <c r="BE89" i="20"/>
  <c r="BB103" i="20"/>
  <c r="AX105" i="20"/>
  <c r="BH105" i="20"/>
  <c r="AU110" i="20"/>
  <c r="BC110" i="20"/>
  <c r="BK110" i="20"/>
  <c r="BJ111" i="20"/>
  <c r="BC123" i="20"/>
  <c r="BA124" i="20"/>
  <c r="AS144" i="20"/>
  <c r="AR144" i="20" s="1"/>
  <c r="AQ144" i="20" s="1"/>
  <c r="AW148" i="20"/>
  <c r="BE148" i="20"/>
  <c r="AX149" i="20"/>
  <c r="BF149" i="20"/>
  <c r="AY150" i="20"/>
  <c r="BG150" i="20"/>
  <c r="BC81" i="20"/>
  <c r="AY84" i="20"/>
  <c r="BH84" i="20"/>
  <c r="AY86" i="20"/>
  <c r="AV89" i="20"/>
  <c r="BF89" i="20"/>
  <c r="AS103" i="20"/>
  <c r="AR103" i="20" s="1"/>
  <c r="AQ103" i="20" s="1"/>
  <c r="AA103" i="20" s="1"/>
  <c r="BD103" i="20"/>
  <c r="BD123" i="20"/>
  <c r="BB124" i="20"/>
  <c r="BA127" i="20"/>
  <c r="BA132" i="20"/>
  <c r="AZ144" i="20"/>
  <c r="AT145" i="20"/>
  <c r="BD145" i="20"/>
  <c r="AV147" i="20"/>
  <c r="AX148" i="20"/>
  <c r="BF148" i="20"/>
  <c r="AY149" i="20"/>
  <c r="BG149" i="20"/>
  <c r="AZ150" i="20"/>
  <c r="BH150" i="20"/>
  <c r="AV153" i="20"/>
  <c r="AZ63" i="20"/>
  <c r="BI63" i="20"/>
  <c r="BE68" i="20"/>
  <c r="AY89" i="20"/>
  <c r="BJ89" i="20"/>
  <c r="AX103" i="20"/>
  <c r="BH103" i="20"/>
  <c r="BK107" i="20"/>
  <c r="AT124" i="20"/>
  <c r="BH124" i="20"/>
  <c r="AU128" i="20"/>
  <c r="BF131" i="20"/>
  <c r="AS132" i="20"/>
  <c r="AR132" i="20" s="1"/>
  <c r="AQ132" i="20" s="1"/>
  <c r="AA132" i="20" s="1"/>
  <c r="BE132" i="20"/>
  <c r="BH144" i="20"/>
  <c r="AX145" i="20"/>
  <c r="BI145" i="20"/>
  <c r="AS146" i="20"/>
  <c r="AR146" i="20" s="1"/>
  <c r="AQ146" i="20" s="1"/>
  <c r="AA146" i="20" s="1"/>
  <c r="BD146" i="20"/>
  <c r="BD147" i="20"/>
  <c r="AS148" i="20"/>
  <c r="AR148" i="20" s="1"/>
  <c r="AQ148" i="20" s="1"/>
  <c r="BA148" i="20"/>
  <c r="BJ148" i="20"/>
  <c r="AT149" i="20"/>
  <c r="BB149" i="20"/>
  <c r="BJ149" i="20"/>
  <c r="AU150" i="20"/>
  <c r="BC150" i="20"/>
  <c r="BK150" i="20"/>
  <c r="BA43" i="20"/>
  <c r="BA63" i="20"/>
  <c r="BJ63" i="20"/>
  <c r="AY66" i="20"/>
  <c r="AT67" i="20"/>
  <c r="AT68" i="20"/>
  <c r="BF68" i="20"/>
  <c r="AW81" i="20"/>
  <c r="BI81" i="20"/>
  <c r="AT84" i="20"/>
  <c r="BD84" i="20"/>
  <c r="AY103" i="20"/>
  <c r="BI103" i="20"/>
  <c r="BG111" i="20"/>
  <c r="AY123" i="20"/>
  <c r="BI123" i="20"/>
  <c r="AV124" i="20"/>
  <c r="BI124" i="20"/>
  <c r="AV128" i="20"/>
  <c r="AT132" i="20"/>
  <c r="BH132" i="20"/>
  <c r="BI144" i="20"/>
  <c r="BC43" i="20"/>
  <c r="BC44" i="20"/>
  <c r="BH62" i="20"/>
  <c r="AS63" i="20"/>
  <c r="AR63" i="20" s="1"/>
  <c r="AQ63" i="20" s="1"/>
  <c r="AA63" i="20" s="1"/>
  <c r="BB63" i="20"/>
  <c r="BK63" i="20"/>
  <c r="AZ66" i="20"/>
  <c r="AU67" i="20"/>
  <c r="AU68" i="20"/>
  <c r="BK68" i="20"/>
  <c r="AV84" i="20"/>
  <c r="BE84" i="20"/>
  <c r="BB89" i="20"/>
  <c r="AZ103" i="20"/>
  <c r="AV105" i="20"/>
  <c r="BE105" i="20"/>
  <c r="BC106" i="20"/>
  <c r="BA110" i="20"/>
  <c r="AY124" i="20"/>
  <c r="BJ124" i="20"/>
  <c r="AX128" i="20"/>
  <c r="AW150" i="20"/>
  <c r="BE150" i="20"/>
  <c r="AV148" i="20"/>
  <c r="BD148" i="20"/>
  <c r="AW149" i="20"/>
  <c r="AX150" i="20"/>
  <c r="BI23" i="21"/>
  <c r="BA23" i="21"/>
  <c r="AS23" i="21"/>
  <c r="AR23" i="21" s="1"/>
  <c r="AQ23" i="21" s="1"/>
  <c r="AA23" i="21" s="1"/>
  <c r="BH23" i="21"/>
  <c r="AZ23" i="21"/>
  <c r="BG23" i="21"/>
  <c r="AY23" i="21"/>
  <c r="BF23" i="21"/>
  <c r="AX23" i="21"/>
  <c r="BE23" i="21"/>
  <c r="AW23" i="21"/>
  <c r="BK23" i="21"/>
  <c r="BC23" i="21"/>
  <c r="AU23" i="21"/>
  <c r="BJ23" i="21"/>
  <c r="BB23" i="21"/>
  <c r="AT23" i="21"/>
  <c r="BI20" i="21"/>
  <c r="AY20" i="21"/>
  <c r="AW131" i="21"/>
  <c r="AV42" i="21"/>
  <c r="AY43" i="21"/>
  <c r="BI43" i="21"/>
  <c r="AS45" i="21"/>
  <c r="AR45" i="21" s="1"/>
  <c r="AQ45" i="21" s="1"/>
  <c r="AA45" i="21" s="1"/>
  <c r="BG61" i="21"/>
  <c r="BC65" i="21"/>
  <c r="BD66" i="21"/>
  <c r="AW69" i="21"/>
  <c r="AS84" i="21"/>
  <c r="AR84" i="21" s="1"/>
  <c r="AQ84" i="21" s="1"/>
  <c r="BH84" i="21"/>
  <c r="AX85" i="21"/>
  <c r="BI85" i="21"/>
  <c r="BB86" i="21"/>
  <c r="AX88" i="21"/>
  <c r="BF88" i="21"/>
  <c r="BB108" i="21"/>
  <c r="AU109" i="21"/>
  <c r="BF109" i="21"/>
  <c r="AV127" i="21"/>
  <c r="AV128" i="21"/>
  <c r="BI128" i="21"/>
  <c r="AT131" i="21"/>
  <c r="BI131" i="21"/>
  <c r="AS144" i="21"/>
  <c r="AR144" i="21" s="1"/>
  <c r="BC144" i="21"/>
  <c r="AZ145" i="21"/>
  <c r="AV146" i="21"/>
  <c r="BJ146" i="21"/>
  <c r="AX148" i="21"/>
  <c r="AX149" i="21"/>
  <c r="AX150" i="21"/>
  <c r="BA151" i="21"/>
  <c r="BC152" i="21"/>
  <c r="AX153" i="21"/>
  <c r="AS19" i="21"/>
  <c r="AR19" i="21" s="1"/>
  <c r="AQ19" i="21" s="1"/>
  <c r="AA19" i="21" s="1"/>
  <c r="BA19" i="21"/>
  <c r="BJ19" i="21"/>
  <c r="AY21" i="21"/>
  <c r="AX22" i="21"/>
  <c r="BF22" i="21"/>
  <c r="AX24" i="21"/>
  <c r="BF24" i="21"/>
  <c r="AU25" i="21"/>
  <c r="BD25" i="21"/>
  <c r="BA26" i="21"/>
  <c r="AS27" i="21"/>
  <c r="AR27" i="21" s="1"/>
  <c r="AQ27" i="21" s="1"/>
  <c r="Z27" i="21" s="1"/>
  <c r="AZ39" i="21"/>
  <c r="BH40" i="21"/>
  <c r="BD42" i="21"/>
  <c r="AZ43" i="21"/>
  <c r="BJ43" i="21"/>
  <c r="BI44" i="21"/>
  <c r="BB45" i="21"/>
  <c r="BH47" i="21"/>
  <c r="BG48" i="21"/>
  <c r="BK61" i="21"/>
  <c r="AS65" i="21"/>
  <c r="AR65" i="21" s="1"/>
  <c r="AQ65" i="21" s="1"/>
  <c r="AA65" i="21" s="1"/>
  <c r="BD65" i="21"/>
  <c r="BG66" i="21"/>
  <c r="AX67" i="21"/>
  <c r="BF67" i="21"/>
  <c r="AZ69" i="21"/>
  <c r="AS82" i="21"/>
  <c r="AR82" i="21" s="1"/>
  <c r="AQ82" i="21" s="1"/>
  <c r="AA82" i="21" s="1"/>
  <c r="AW83" i="21"/>
  <c r="BE83" i="21"/>
  <c r="AV84" i="21"/>
  <c r="BI84" i="21"/>
  <c r="AY85" i="21"/>
  <c r="BJ85" i="21"/>
  <c r="AS86" i="21"/>
  <c r="AR86" i="21" s="1"/>
  <c r="AQ86" i="21" s="1"/>
  <c r="AA86" i="21" s="1"/>
  <c r="BD86" i="21"/>
  <c r="AX87" i="21"/>
  <c r="BI87" i="21"/>
  <c r="AY88" i="21"/>
  <c r="BH88" i="21"/>
  <c r="BE89" i="21"/>
  <c r="AX102" i="21"/>
  <c r="AU104" i="21"/>
  <c r="AT105" i="21"/>
  <c r="BB105" i="21"/>
  <c r="AY106" i="21"/>
  <c r="BB107" i="21"/>
  <c r="BC108" i="21"/>
  <c r="AV109" i="21"/>
  <c r="BG109" i="21"/>
  <c r="AZ127" i="21"/>
  <c r="AW128" i="21"/>
  <c r="BJ128" i="21"/>
  <c r="BB130" i="21"/>
  <c r="AV131" i="21"/>
  <c r="BJ131" i="21"/>
  <c r="AT144" i="21"/>
  <c r="BD144" i="21"/>
  <c r="BC145" i="21"/>
  <c r="AZ148" i="21"/>
  <c r="AZ149" i="21"/>
  <c r="AZ150" i="21"/>
  <c r="BB151" i="21"/>
  <c r="BD152" i="21"/>
  <c r="AY153" i="21"/>
  <c r="AZ128" i="21"/>
  <c r="AZ22" i="21"/>
  <c r="BH22" i="21"/>
  <c r="AZ24" i="21"/>
  <c r="BH24" i="21"/>
  <c r="AW25" i="21"/>
  <c r="BF25" i="21"/>
  <c r="BD26" i="21"/>
  <c r="AZ27" i="21"/>
  <c r="BC39" i="21"/>
  <c r="BB43" i="21"/>
  <c r="AV48" i="21"/>
  <c r="BJ48" i="21"/>
  <c r="BI60" i="21"/>
  <c r="AU61" i="21"/>
  <c r="AX62" i="21"/>
  <c r="BF62" i="21"/>
  <c r="BB63" i="21"/>
  <c r="BK63" i="21"/>
  <c r="BA64" i="21"/>
  <c r="AU65" i="21"/>
  <c r="BI65" i="21"/>
  <c r="AZ67" i="21"/>
  <c r="BH67" i="21"/>
  <c r="BE68" i="21"/>
  <c r="BD69" i="21"/>
  <c r="BB82" i="21"/>
  <c r="AY83" i="21"/>
  <c r="BG83" i="21"/>
  <c r="AX84" i="21"/>
  <c r="BB85" i="21"/>
  <c r="AV86" i="21"/>
  <c r="BF86" i="21"/>
  <c r="AS88" i="21"/>
  <c r="AR88" i="21" s="1"/>
  <c r="AQ88" i="21" s="1"/>
  <c r="AA88" i="21" s="1"/>
  <c r="BA88" i="21"/>
  <c r="BJ88" i="21"/>
  <c r="AW103" i="21"/>
  <c r="AZ104" i="21"/>
  <c r="BC106" i="21"/>
  <c r="BG108" i="21"/>
  <c r="AY109" i="21"/>
  <c r="BJ109" i="21"/>
  <c r="AS111" i="21"/>
  <c r="AR111" i="21" s="1"/>
  <c r="AQ111" i="21" s="1"/>
  <c r="Z111" i="21" s="1"/>
  <c r="AT124" i="21"/>
  <c r="BE127" i="21"/>
  <c r="BA128" i="21"/>
  <c r="AT130" i="21"/>
  <c r="BE130" i="21"/>
  <c r="AZ131" i="21"/>
  <c r="BD132" i="21"/>
  <c r="AW144" i="21"/>
  <c r="BG144" i="21"/>
  <c r="BI145" i="21"/>
  <c r="BD148" i="21"/>
  <c r="BD149" i="21"/>
  <c r="BD150" i="21"/>
  <c r="AS151" i="21"/>
  <c r="AR151" i="21" s="1"/>
  <c r="AQ151" i="21" s="1"/>
  <c r="AA151" i="21" s="1"/>
  <c r="BI151" i="21"/>
  <c r="BG152" i="21"/>
  <c r="BC153" i="21"/>
  <c r="AW84" i="21"/>
  <c r="AV19" i="21"/>
  <c r="BD19" i="21"/>
  <c r="AS22" i="21"/>
  <c r="AR22" i="21" s="1"/>
  <c r="AQ22" i="21" s="1"/>
  <c r="AA22" i="21" s="1"/>
  <c r="BA22" i="21"/>
  <c r="AS24" i="21"/>
  <c r="AR24" i="21" s="1"/>
  <c r="AQ24" i="21" s="1"/>
  <c r="AA24" i="21" s="1"/>
  <c r="BA24" i="21"/>
  <c r="AX25" i="21"/>
  <c r="BG25" i="21"/>
  <c r="AS26" i="21"/>
  <c r="AR26" i="21" s="1"/>
  <c r="AQ26" i="21" s="1"/>
  <c r="AA26" i="21" s="1"/>
  <c r="BE26" i="21"/>
  <c r="BA27" i="21"/>
  <c r="BD39" i="21"/>
  <c r="AV40" i="21"/>
  <c r="AS41" i="21"/>
  <c r="AR41" i="21" s="1"/>
  <c r="AQ41" i="21" s="1"/>
  <c r="AA41" i="21" s="1"/>
  <c r="AS43" i="21"/>
  <c r="AR43" i="21" s="1"/>
  <c r="AQ43" i="21" s="1"/>
  <c r="Z43" i="21" s="1"/>
  <c r="BD43" i="21"/>
  <c r="AV61" i="21"/>
  <c r="AY62" i="21"/>
  <c r="BB64" i="21"/>
  <c r="AX65" i="21"/>
  <c r="BJ65" i="21"/>
  <c r="AS67" i="21"/>
  <c r="AR67" i="21" s="1"/>
  <c r="AQ67" i="21" s="1"/>
  <c r="AA67" i="21" s="1"/>
  <c r="BA67" i="21"/>
  <c r="BF68" i="21"/>
  <c r="BD82" i="21"/>
  <c r="AZ83" i="21"/>
  <c r="AZ84" i="21"/>
  <c r="AS85" i="21"/>
  <c r="AR85" i="21" s="1"/>
  <c r="AQ85" i="21" s="1"/>
  <c r="AA85" i="21" s="1"/>
  <c r="BD85" i="21"/>
  <c r="AW86" i="21"/>
  <c r="BG86" i="21"/>
  <c r="AT88" i="21"/>
  <c r="BB88" i="21"/>
  <c r="BK88" i="21"/>
  <c r="BH103" i="21"/>
  <c r="BC104" i="21"/>
  <c r="BJ108" i="21"/>
  <c r="AZ109" i="21"/>
  <c r="BK109" i="21"/>
  <c r="BH127" i="21"/>
  <c r="BB128" i="21"/>
  <c r="BA131" i="21"/>
  <c r="AX144" i="21"/>
  <c r="BH144" i="21"/>
  <c r="BK145" i="21"/>
  <c r="BF148" i="21"/>
  <c r="BF149" i="21"/>
  <c r="BF150" i="21"/>
  <c r="AT151" i="21"/>
  <c r="BJ151" i="21"/>
  <c r="AU152" i="21"/>
  <c r="BH152" i="21"/>
  <c r="BG153" i="21"/>
  <c r="AT43" i="21"/>
  <c r="BE43" i="21"/>
  <c r="AZ61" i="21"/>
  <c r="BA84" i="21"/>
  <c r="AT85" i="21"/>
  <c r="BE85" i="21"/>
  <c r="BG126" i="21"/>
  <c r="BI127" i="21"/>
  <c r="BD128" i="21"/>
  <c r="BB131" i="21"/>
  <c r="BH148" i="21"/>
  <c r="BJ153" i="21"/>
  <c r="AV43" i="21"/>
  <c r="BF43" i="21"/>
  <c r="BB61" i="21"/>
  <c r="AS66" i="21"/>
  <c r="AR66" i="21" s="1"/>
  <c r="AQ66" i="21" s="1"/>
  <c r="AA66" i="21" s="1"/>
  <c r="BD84" i="21"/>
  <c r="AV85" i="21"/>
  <c r="BF85" i="21"/>
  <c r="AV88" i="21"/>
  <c r="BD88" i="21"/>
  <c r="AV108" i="21"/>
  <c r="BC109" i="21"/>
  <c r="AS128" i="21"/>
  <c r="AR128" i="21" s="1"/>
  <c r="AQ128" i="21" s="1"/>
  <c r="AA128" i="21" s="1"/>
  <c r="BE128" i="21"/>
  <c r="BE131" i="21"/>
  <c r="AW151" i="21"/>
  <c r="AY152" i="21"/>
  <c r="AU153" i="21"/>
  <c r="BG18" i="21"/>
  <c r="AS25" i="21"/>
  <c r="AR25" i="21" s="1"/>
  <c r="AQ25" i="21" s="1"/>
  <c r="AA25" i="21" s="1"/>
  <c r="BB25" i="21"/>
  <c r="BK25" i="21"/>
  <c r="AW26" i="21"/>
  <c r="BJ26" i="21"/>
  <c r="BI27" i="21"/>
  <c r="AW43" i="21"/>
  <c r="BF61" i="21"/>
  <c r="AX66" i="21"/>
  <c r="AW85" i="21"/>
  <c r="BG85" i="21"/>
  <c r="AW88" i="21"/>
  <c r="BE88" i="21"/>
  <c r="AY108" i="21"/>
  <c r="AT109" i="21"/>
  <c r="BD109" i="21"/>
  <c r="AT128" i="21"/>
  <c r="AS131" i="21"/>
  <c r="AR131" i="21" s="1"/>
  <c r="AQ131" i="21" s="1"/>
  <c r="AA131" i="21" s="1"/>
  <c r="BB144" i="21"/>
  <c r="AV148" i="21"/>
  <c r="AV149" i="21"/>
  <c r="AZ152" i="21"/>
  <c r="BB18" i="22"/>
  <c r="AZ19" i="22"/>
  <c r="BJ22" i="22"/>
  <c r="BD23" i="22"/>
  <c r="BE24" i="22"/>
  <c r="AS26" i="22"/>
  <c r="AR26" i="22" s="1"/>
  <c r="AQ26" i="22" s="1"/>
  <c r="Z26" i="22" s="1"/>
  <c r="BA26" i="22"/>
  <c r="BI26" i="22"/>
  <c r="AW27" i="22"/>
  <c r="BH27" i="22"/>
  <c r="BD39" i="22"/>
  <c r="BA40" i="22"/>
  <c r="AX41" i="22"/>
  <c r="BB42" i="22"/>
  <c r="BF43" i="22"/>
  <c r="BE45" i="22"/>
  <c r="BA19" i="22"/>
  <c r="AT22" i="22"/>
  <c r="BK22" i="22"/>
  <c r="BE23" i="22"/>
  <c r="AT24" i="22"/>
  <c r="BJ24" i="22"/>
  <c r="AT26" i="22"/>
  <c r="BB26" i="22"/>
  <c r="BJ26" i="22"/>
  <c r="AX27" i="22"/>
  <c r="BI27" i="22"/>
  <c r="BE39" i="22"/>
  <c r="BB40" i="22"/>
  <c r="BI41" i="22"/>
  <c r="BJ41" i="22"/>
  <c r="BD42" i="22"/>
  <c r="BF88" i="22"/>
  <c r="BK88" i="22"/>
  <c r="AZ88" i="22"/>
  <c r="BJ88" i="22"/>
  <c r="AV88" i="22"/>
  <c r="BI88" i="22"/>
  <c r="AU88" i="22"/>
  <c r="BH88" i="22"/>
  <c r="AT88" i="22"/>
  <c r="BD88" i="22"/>
  <c r="AS88" i="22"/>
  <c r="AR88" i="22" s="1"/>
  <c r="AQ88" i="22" s="1"/>
  <c r="Z88" i="22" s="1"/>
  <c r="BB88" i="22"/>
  <c r="BD19" i="22"/>
  <c r="AU24" i="22"/>
  <c r="BK24" i="22"/>
  <c r="AU26" i="22"/>
  <c r="BC26" i="22"/>
  <c r="BK26" i="22"/>
  <c r="AZ27" i="22"/>
  <c r="BJ27" i="22"/>
  <c r="BD40" i="22"/>
  <c r="AS42" i="22"/>
  <c r="AR42" i="22" s="1"/>
  <c r="AQ42" i="22" s="1"/>
  <c r="BE42" i="22"/>
  <c r="BK45" i="22"/>
  <c r="BC45" i="22"/>
  <c r="AU45" i="22"/>
  <c r="BJ45" i="22"/>
  <c r="BB45" i="22"/>
  <c r="AT45" i="22"/>
  <c r="BI45" i="22"/>
  <c r="BA45" i="22"/>
  <c r="AS45" i="22"/>
  <c r="AR45" i="22" s="1"/>
  <c r="AQ45" i="22" s="1"/>
  <c r="Z45" i="22" s="1"/>
  <c r="BH45" i="22"/>
  <c r="AZ45" i="22"/>
  <c r="BF45" i="22"/>
  <c r="AX45" i="22"/>
  <c r="AV107" i="22"/>
  <c r="BK129" i="22"/>
  <c r="BD129" i="22"/>
  <c r="AW129" i="22"/>
  <c r="AV148" i="22"/>
  <c r="AZ152" i="22"/>
  <c r="BE153" i="22"/>
  <c r="BD153" i="22"/>
  <c r="AW153" i="22"/>
  <c r="BF19" i="22"/>
  <c r="AS40" i="22"/>
  <c r="AR40" i="22" s="1"/>
  <c r="AQ40" i="22" s="1"/>
  <c r="AA40" i="22" s="1"/>
  <c r="BE40" i="22"/>
  <c r="AT42" i="22"/>
  <c r="BF42" i="22"/>
  <c r="BJ43" i="22"/>
  <c r="BB43" i="22"/>
  <c r="AT43" i="22"/>
  <c r="BI43" i="22"/>
  <c r="BA43" i="22"/>
  <c r="AS43" i="22"/>
  <c r="AR43" i="22" s="1"/>
  <c r="AQ43" i="22" s="1"/>
  <c r="BG43" i="22"/>
  <c r="AY43" i="22"/>
  <c r="BE43" i="22"/>
  <c r="AW43" i="22"/>
  <c r="BK124" i="22"/>
  <c r="BI124" i="22"/>
  <c r="BE124" i="22"/>
  <c r="BD124" i="22"/>
  <c r="BA124" i="22"/>
  <c r="AW124" i="22"/>
  <c r="AS124" i="22"/>
  <c r="AR124" i="22" s="1"/>
  <c r="AQ124" i="22" s="1"/>
  <c r="AA124" i="22" s="1"/>
  <c r="AX148" i="22"/>
  <c r="AY19" i="22"/>
  <c r="BF66" i="22"/>
  <c r="BG66" i="22"/>
  <c r="AU66" i="22"/>
  <c r="BE66" i="22"/>
  <c r="AS66" i="22"/>
  <c r="AR66" i="22" s="1"/>
  <c r="AQ66" i="22" s="1"/>
  <c r="BD66" i="22"/>
  <c r="BC66" i="22"/>
  <c r="AZ66" i="22"/>
  <c r="BK66" i="22"/>
  <c r="AW66" i="22"/>
  <c r="AS19" i="22"/>
  <c r="AR19" i="22" s="1"/>
  <c r="AQ19" i="22" s="1"/>
  <c r="BG19" i="22"/>
  <c r="AW22" i="22"/>
  <c r="AW24" i="22"/>
  <c r="AW26" i="22"/>
  <c r="BE26" i="22"/>
  <c r="BB27" i="22"/>
  <c r="AT40" i="22"/>
  <c r="BF40" i="22"/>
  <c r="AV42" i="22"/>
  <c r="AV66" i="22"/>
  <c r="BE107" i="22"/>
  <c r="BK107" i="22"/>
  <c r="AU107" i="22"/>
  <c r="BG107" i="22"/>
  <c r="BF107" i="22"/>
  <c r="BD107" i="22"/>
  <c r="BC107" i="22"/>
  <c r="AX107" i="22"/>
  <c r="BK152" i="22"/>
  <c r="BJ152" i="22"/>
  <c r="AY152" i="22"/>
  <c r="BH152" i="22"/>
  <c r="AX152" i="22"/>
  <c r="BG152" i="22"/>
  <c r="AW152" i="22"/>
  <c r="BF152" i="22"/>
  <c r="AV152" i="22"/>
  <c r="BE152" i="22"/>
  <c r="AT152" i="22"/>
  <c r="BB152" i="22"/>
  <c r="AV19" i="22"/>
  <c r="BH19" i="22"/>
  <c r="AW20" i="22"/>
  <c r="AV40" i="22"/>
  <c r="BI40" i="22"/>
  <c r="BK42" i="22"/>
  <c r="BJ42" i="22"/>
  <c r="AZ42" i="22"/>
  <c r="BI42" i="22"/>
  <c r="AY42" i="22"/>
  <c r="AY66" i="22"/>
  <c r="BG102" i="22"/>
  <c r="BI102" i="22"/>
  <c r="BD102" i="22"/>
  <c r="BB102" i="22"/>
  <c r="BA102" i="22"/>
  <c r="AS102" i="22"/>
  <c r="AR102" i="22" s="1"/>
  <c r="AR113" i="22" s="1"/>
  <c r="AX19" i="22"/>
  <c r="BI19" i="22"/>
  <c r="BD20" i="22"/>
  <c r="AW21" i="22"/>
  <c r="BC22" i="22"/>
  <c r="BB23" i="22"/>
  <c r="BC24" i="22"/>
  <c r="AY26" i="22"/>
  <c r="AT27" i="22"/>
  <c r="BE27" i="22"/>
  <c r="AZ39" i="22"/>
  <c r="AW40" i="22"/>
  <c r="BJ40" i="22"/>
  <c r="AV41" i="22"/>
  <c r="BF41" i="22"/>
  <c r="AX42" i="22"/>
  <c r="BC43" i="22"/>
  <c r="AY45" i="22"/>
  <c r="BK48" i="22"/>
  <c r="BG48" i="22"/>
  <c r="AW48" i="22"/>
  <c r="BF48" i="22"/>
  <c r="AV48" i="22"/>
  <c r="BE48" i="22"/>
  <c r="AU48" i="22"/>
  <c r="BD48" i="22"/>
  <c r="AS48" i="22"/>
  <c r="AR48" i="22" s="1"/>
  <c r="AQ48" i="22" s="1"/>
  <c r="AA48" i="22" s="1"/>
  <c r="BA48" i="22"/>
  <c r="BI48" i="22"/>
  <c r="AY48" i="22"/>
  <c r="BH66" i="22"/>
  <c r="BK148" i="22"/>
  <c r="BC148" i="22"/>
  <c r="AU148" i="22"/>
  <c r="BJ148" i="22"/>
  <c r="BB148" i="22"/>
  <c r="AT148" i="22"/>
  <c r="BI148" i="22"/>
  <c r="BA148" i="22"/>
  <c r="AS148" i="22"/>
  <c r="AR148" i="22" s="1"/>
  <c r="AQ148" i="22" s="1"/>
  <c r="BH148" i="22"/>
  <c r="AZ148" i="22"/>
  <c r="BG148" i="22"/>
  <c r="AY148" i="22"/>
  <c r="BE148" i="22"/>
  <c r="AW148" i="22"/>
  <c r="AS44" i="22"/>
  <c r="AR44" i="22" s="1"/>
  <c r="AQ44" i="22" s="1"/>
  <c r="Z44" i="22" s="1"/>
  <c r="BA44" i="22"/>
  <c r="BI44" i="22"/>
  <c r="AZ125" i="22"/>
  <c r="BH125" i="22"/>
  <c r="BE126" i="22"/>
  <c r="BD127" i="22"/>
  <c r="AU128" i="22"/>
  <c r="BF128" i="22"/>
  <c r="AZ130" i="22"/>
  <c r="BJ130" i="22"/>
  <c r="AT131" i="22"/>
  <c r="BE131" i="22"/>
  <c r="BH144" i="22"/>
  <c r="BD146" i="22"/>
  <c r="AT149" i="22"/>
  <c r="BB149" i="22"/>
  <c r="BJ149" i="22"/>
  <c r="AS150" i="22"/>
  <c r="AR150" i="22" s="1"/>
  <c r="AQ150" i="22" s="1"/>
  <c r="BA150" i="22"/>
  <c r="BI150" i="22"/>
  <c r="BC151" i="22"/>
  <c r="AU44" i="22"/>
  <c r="BC44" i="22"/>
  <c r="BK44" i="22"/>
  <c r="AT46" i="22"/>
  <c r="BD46" i="22"/>
  <c r="BA47" i="22"/>
  <c r="BJ47" i="22"/>
  <c r="BC64" i="22"/>
  <c r="AT82" i="22"/>
  <c r="BD82" i="22"/>
  <c r="BB90" i="22"/>
  <c r="AY108" i="22"/>
  <c r="AU109" i="22"/>
  <c r="BD109" i="22"/>
  <c r="BJ151" i="22"/>
  <c r="BD64" i="22"/>
  <c r="AZ81" i="22"/>
  <c r="BI81" i="22"/>
  <c r="AU82" i="22"/>
  <c r="BG82" i="22"/>
  <c r="BJ83" i="22"/>
  <c r="AV84" i="22"/>
  <c r="BC90" i="22"/>
  <c r="BC108" i="22"/>
  <c r="AV109" i="22"/>
  <c r="BF109" i="22"/>
  <c r="AU125" i="22"/>
  <c r="BC125" i="22"/>
  <c r="BK125" i="22"/>
  <c r="AW126" i="22"/>
  <c r="BI126" i="22"/>
  <c r="AS130" i="22"/>
  <c r="AR130" i="22" s="1"/>
  <c r="AQ130" i="22" s="1"/>
  <c r="Z130" i="22" s="1"/>
  <c r="BC130" i="22"/>
  <c r="AW131" i="22"/>
  <c r="BK131" i="22"/>
  <c r="AT132" i="22"/>
  <c r="BJ132" i="22"/>
  <c r="AW149" i="22"/>
  <c r="BE149" i="22"/>
  <c r="AT151" i="22"/>
  <c r="BK151" i="22"/>
  <c r="AW44" i="22"/>
  <c r="BE44" i="22"/>
  <c r="AV46" i="22"/>
  <c r="BF46" i="22"/>
  <c r="AT47" i="22"/>
  <c r="BD47" i="22"/>
  <c r="AY61" i="22"/>
  <c r="BJ61" i="22"/>
  <c r="BF63" i="22"/>
  <c r="BE64" i="22"/>
  <c r="BC65" i="22"/>
  <c r="AV68" i="22"/>
  <c r="AV82" i="22"/>
  <c r="BH82" i="22"/>
  <c r="BK83" i="22"/>
  <c r="AW84" i="22"/>
  <c r="BD90" i="22"/>
  <c r="BE104" i="22"/>
  <c r="BD108" i="22"/>
  <c r="AX109" i="22"/>
  <c r="BG109" i="22"/>
  <c r="AS127" i="22"/>
  <c r="AR127" i="22" s="1"/>
  <c r="AQ127" i="22" s="1"/>
  <c r="AA127" i="22" s="1"/>
  <c r="AT130" i="22"/>
  <c r="BD130" i="22"/>
  <c r="AS144" i="22"/>
  <c r="AR144" i="22" s="1"/>
  <c r="AQ144" i="22" s="1"/>
  <c r="AX44" i="22"/>
  <c r="AW46" i="22"/>
  <c r="BG46" i="22"/>
  <c r="AV47" i="22"/>
  <c r="BE47" i="22"/>
  <c r="AZ61" i="22"/>
  <c r="BK61" i="22"/>
  <c r="BG63" i="22"/>
  <c r="AU64" i="22"/>
  <c r="BG64" i="22"/>
  <c r="BD65" i="22"/>
  <c r="AX68" i="22"/>
  <c r="AY82" i="22"/>
  <c r="BI82" i="22"/>
  <c r="AX84" i="22"/>
  <c r="BE90" i="22"/>
  <c r="AX104" i="22"/>
  <c r="BF104" i="22"/>
  <c r="AV105" i="22"/>
  <c r="BE105" i="22"/>
  <c r="BF108" i="22"/>
  <c r="AY109" i="22"/>
  <c r="BH109" i="22"/>
  <c r="BK110" i="22"/>
  <c r="AV111" i="22"/>
  <c r="AW125" i="22"/>
  <c r="BE125" i="22"/>
  <c r="AZ126" i="22"/>
  <c r="AU127" i="22"/>
  <c r="BC128" i="22"/>
  <c r="AU130" i="22"/>
  <c r="BG130" i="22"/>
  <c r="BB131" i="22"/>
  <c r="AW132" i="22"/>
  <c r="AZ144" i="22"/>
  <c r="AY149" i="22"/>
  <c r="BG149" i="22"/>
  <c r="AX150" i="22"/>
  <c r="BF150" i="22"/>
  <c r="AV151" i="22"/>
  <c r="AV64" i="22"/>
  <c r="BH64" i="22"/>
  <c r="BE65" i="22"/>
  <c r="AY68" i="22"/>
  <c r="AU81" i="22"/>
  <c r="BC81" i="22"/>
  <c r="AZ82" i="22"/>
  <c r="BJ82" i="22"/>
  <c r="BA83" i="22"/>
  <c r="BD84" i="22"/>
  <c r="AT90" i="22"/>
  <c r="BJ90" i="22"/>
  <c r="AY104" i="22"/>
  <c r="AW105" i="22"/>
  <c r="BF105" i="22"/>
  <c r="BG108" i="22"/>
  <c r="AZ109" i="22"/>
  <c r="BJ109" i="22"/>
  <c r="AW111" i="22"/>
  <c r="AX125" i="22"/>
  <c r="BA126" i="22"/>
  <c r="AY127" i="22"/>
  <c r="AV130" i="22"/>
  <c r="BH130" i="22"/>
  <c r="BC131" i="22"/>
  <c r="BA132" i="22"/>
  <c r="BA144" i="22"/>
  <c r="AZ149" i="22"/>
  <c r="AY150" i="22"/>
  <c r="AW151" i="22"/>
  <c r="AV83" i="23"/>
  <c r="AY18" i="23"/>
  <c r="BG18" i="23"/>
  <c r="BD20" i="23"/>
  <c r="BD21" i="23"/>
  <c r="BH23" i="23"/>
  <c r="AV25" i="23"/>
  <c r="AY26" i="23"/>
  <c r="BG26" i="23"/>
  <c r="BJ27" i="23"/>
  <c r="AZ40" i="23"/>
  <c r="BH40" i="23"/>
  <c r="BC42" i="23"/>
  <c r="AX44" i="23"/>
  <c r="AV45" i="23"/>
  <c r="BE81" i="23"/>
  <c r="AS82" i="23"/>
  <c r="AR82" i="23" s="1"/>
  <c r="AQ82" i="23" s="1"/>
  <c r="BA82" i="23"/>
  <c r="BI82" i="23"/>
  <c r="AY83" i="23"/>
  <c r="AS89" i="23"/>
  <c r="AR89" i="23" s="1"/>
  <c r="AQ89" i="23" s="1"/>
  <c r="AA89" i="23" s="1"/>
  <c r="BA89" i="23"/>
  <c r="BJ89" i="23"/>
  <c r="BB90" i="23"/>
  <c r="AT104" i="23"/>
  <c r="BB104" i="23"/>
  <c r="BJ104" i="23"/>
  <c r="BE105" i="23"/>
  <c r="AV106" i="23"/>
  <c r="BE106" i="23"/>
  <c r="AX107" i="23"/>
  <c r="BJ107" i="23"/>
  <c r="AS108" i="23"/>
  <c r="AR108" i="23" s="1"/>
  <c r="AQ108" i="23" s="1"/>
  <c r="AA108" i="23" s="1"/>
  <c r="BD108" i="23"/>
  <c r="AS110" i="23"/>
  <c r="AR110" i="23" s="1"/>
  <c r="AQ110" i="23" s="1"/>
  <c r="Z110" i="23" s="1"/>
  <c r="BE110" i="23"/>
  <c r="BC111" i="23"/>
  <c r="BE123" i="23"/>
  <c r="AV126" i="23"/>
  <c r="AZ127" i="23"/>
  <c r="BK127" i="23"/>
  <c r="BF128" i="23"/>
  <c r="BA130" i="23"/>
  <c r="AT144" i="23"/>
  <c r="BE144" i="23"/>
  <c r="BA145" i="23"/>
  <c r="BK145" i="23"/>
  <c r="AV147" i="23"/>
  <c r="BF147" i="23"/>
  <c r="BH148" i="23"/>
  <c r="BD149" i="23"/>
  <c r="BD150" i="23"/>
  <c r="AU45" i="23"/>
  <c r="BH26" i="23"/>
  <c r="AS40" i="23"/>
  <c r="AR40" i="23" s="1"/>
  <c r="AQ40" i="23" s="1"/>
  <c r="BA40" i="23"/>
  <c r="BI40" i="23"/>
  <c r="BD42" i="23"/>
  <c r="AX43" i="23"/>
  <c r="AY44" i="23"/>
  <c r="AX45" i="23"/>
  <c r="AS47" i="23"/>
  <c r="AR47" i="23" s="1"/>
  <c r="AQ47" i="23" s="1"/>
  <c r="AA47" i="23" s="1"/>
  <c r="BC47" i="23"/>
  <c r="AX60" i="23"/>
  <c r="BH60" i="23"/>
  <c r="AY63" i="23"/>
  <c r="AZ64" i="23"/>
  <c r="BD68" i="23"/>
  <c r="AW69" i="23"/>
  <c r="BE69" i="23"/>
  <c r="AS81" i="23"/>
  <c r="AR81" i="23" s="1"/>
  <c r="AR92" i="23" s="1"/>
  <c r="BF81" i="23"/>
  <c r="AT82" i="23"/>
  <c r="BB82" i="23"/>
  <c r="BJ82" i="23"/>
  <c r="AZ83" i="23"/>
  <c r="AU84" i="23"/>
  <c r="BD84" i="23"/>
  <c r="AU86" i="23"/>
  <c r="BB89" i="23"/>
  <c r="BK89" i="23"/>
  <c r="BD90" i="23"/>
  <c r="BK104" i="23"/>
  <c r="BA153" i="23"/>
  <c r="BA18" i="23"/>
  <c r="AU20" i="23"/>
  <c r="BF20" i="23"/>
  <c r="AU21" i="23"/>
  <c r="BF21" i="23"/>
  <c r="AS26" i="23"/>
  <c r="AR26" i="23" s="1"/>
  <c r="AQ26" i="23" s="1"/>
  <c r="BA26" i="23"/>
  <c r="BI26" i="23"/>
  <c r="AT27" i="23"/>
  <c r="BD27" i="23"/>
  <c r="BA39" i="23"/>
  <c r="AT40" i="23"/>
  <c r="BB40" i="23"/>
  <c r="BJ40" i="23"/>
  <c r="AT42" i="23"/>
  <c r="BE42" i="23"/>
  <c r="BC44" i="23"/>
  <c r="AY45" i="23"/>
  <c r="AS48" i="23"/>
  <c r="AR48" i="23" s="1"/>
  <c r="AQ48" i="23" s="1"/>
  <c r="AA48" i="23" s="1"/>
  <c r="AZ63" i="23"/>
  <c r="BG68" i="23"/>
  <c r="AX69" i="23"/>
  <c r="BF69" i="23"/>
  <c r="AT81" i="23"/>
  <c r="BI81" i="23"/>
  <c r="AU82" i="23"/>
  <c r="BC82" i="23"/>
  <c r="BK82" i="23"/>
  <c r="BC83" i="23"/>
  <c r="AV84" i="23"/>
  <c r="BE84" i="23"/>
  <c r="AU85" i="23"/>
  <c r="AV86" i="23"/>
  <c r="AS90" i="23"/>
  <c r="AR90" i="23" s="1"/>
  <c r="AQ90" i="23" s="1"/>
  <c r="AA90" i="23" s="1"/>
  <c r="BE90" i="23"/>
  <c r="BG106" i="23"/>
  <c r="BA107" i="23"/>
  <c r="BI110" i="23"/>
  <c r="BC127" i="23"/>
  <c r="AW144" i="23"/>
  <c r="BH144" i="23"/>
  <c r="AS145" i="23"/>
  <c r="AR145" i="23" s="1"/>
  <c r="AQ145" i="23" s="1"/>
  <c r="BC145" i="23"/>
  <c r="AX147" i="23"/>
  <c r="BJ147" i="23"/>
  <c r="BH149" i="23"/>
  <c r="BH150" i="23"/>
  <c r="BC152" i="23"/>
  <c r="BB153" i="23"/>
  <c r="AV44" i="23"/>
  <c r="BJ20" i="23"/>
  <c r="AU42" i="23"/>
  <c r="BF42" i="23"/>
  <c r="BD44" i="23"/>
  <c r="BC45" i="23"/>
  <c r="AW48" i="23"/>
  <c r="BD83" i="23"/>
  <c r="BA103" i="23"/>
  <c r="AW104" i="23"/>
  <c r="BE104" i="23"/>
  <c r="AS105" i="23"/>
  <c r="AR105" i="23" s="1"/>
  <c r="AQ105" i="23" s="1"/>
  <c r="Z105" i="23" s="1"/>
  <c r="AY106" i="23"/>
  <c r="BI106" i="23"/>
  <c r="BB107" i="23"/>
  <c r="AW108" i="23"/>
  <c r="BH108" i="23"/>
  <c r="AY110" i="23"/>
  <c r="BK110" i="23"/>
  <c r="BJ111" i="23"/>
  <c r="BI123" i="23"/>
  <c r="BE125" i="23"/>
  <c r="AS127" i="23"/>
  <c r="AR127" i="23" s="1"/>
  <c r="AQ127" i="23" s="1"/>
  <c r="BD127" i="23"/>
  <c r="AS130" i="23"/>
  <c r="AR130" i="23" s="1"/>
  <c r="AQ130" i="23" s="1"/>
  <c r="AV131" i="23"/>
  <c r="AX132" i="23"/>
  <c r="BI132" i="23"/>
  <c r="AX144" i="23"/>
  <c r="BI144" i="23"/>
  <c r="AT145" i="23"/>
  <c r="BD145" i="23"/>
  <c r="AY146" i="23"/>
  <c r="AY147" i="23"/>
  <c r="BK147" i="23"/>
  <c r="AY148" i="23"/>
  <c r="AU149" i="23"/>
  <c r="BK149" i="23"/>
  <c r="AU150" i="23"/>
  <c r="BK150" i="23"/>
  <c r="AU151" i="23"/>
  <c r="BK151" i="23"/>
  <c r="AT152" i="23"/>
  <c r="BD152" i="23"/>
  <c r="BD153" i="23"/>
  <c r="AW20" i="23"/>
  <c r="BK20" i="23"/>
  <c r="AW21" i="23"/>
  <c r="BK21" i="23"/>
  <c r="AU26" i="23"/>
  <c r="BC26" i="23"/>
  <c r="AW27" i="23"/>
  <c r="BF27" i="23"/>
  <c r="BE39" i="23"/>
  <c r="AV40" i="23"/>
  <c r="BD40" i="23"/>
  <c r="BG41" i="23"/>
  <c r="AV42" i="23"/>
  <c r="BJ42" i="23"/>
  <c r="BD43" i="23"/>
  <c r="BF44" i="23"/>
  <c r="BD45" i="23"/>
  <c r="AV47" i="23"/>
  <c r="BF47" i="23"/>
  <c r="BA48" i="23"/>
  <c r="BD63" i="23"/>
  <c r="AZ69" i="23"/>
  <c r="BH69" i="23"/>
  <c r="AX81" i="23"/>
  <c r="AW82" i="23"/>
  <c r="BE82" i="23"/>
  <c r="BG83" i="23"/>
  <c r="AX84" i="23"/>
  <c r="BG84" i="23"/>
  <c r="AY85" i="23"/>
  <c r="BC86" i="23"/>
  <c r="AW89" i="23"/>
  <c r="BE89" i="23"/>
  <c r="AV90" i="23"/>
  <c r="BI90" i="23"/>
  <c r="BH102" i="23"/>
  <c r="BD103" i="23"/>
  <c r="AX104" i="23"/>
  <c r="BF104" i="23"/>
  <c r="AV105" i="23"/>
  <c r="BA106" i="23"/>
  <c r="BJ106" i="23"/>
  <c r="BD107" i="23"/>
  <c r="AX108" i="23"/>
  <c r="BI108" i="23"/>
  <c r="AU127" i="23"/>
  <c r="BE127" i="23"/>
  <c r="AZ131" i="23"/>
  <c r="AU145" i="23"/>
  <c r="BF145" i="23"/>
  <c r="AU152" i="23"/>
  <c r="BE152" i="23"/>
  <c r="AS153" i="23"/>
  <c r="AR153" i="23" s="1"/>
  <c r="AQ153" i="23" s="1"/>
  <c r="AA153" i="23" s="1"/>
  <c r="BE153" i="23"/>
  <c r="BD22" i="23"/>
  <c r="AW42" i="23"/>
  <c r="BK42" i="23"/>
  <c r="BG44" i="23"/>
  <c r="BG45" i="23"/>
  <c r="BG48" i="23"/>
  <c r="BC60" i="23"/>
  <c r="BH62" i="23"/>
  <c r="BG63" i="23"/>
  <c r="AS69" i="23"/>
  <c r="AR69" i="23" s="1"/>
  <c r="AQ69" i="23" s="1"/>
  <c r="BA69" i="23"/>
  <c r="BI69" i="23"/>
  <c r="BA81" i="23"/>
  <c r="AX82" i="23"/>
  <c r="BF82" i="23"/>
  <c r="BH83" i="23"/>
  <c r="AY84" i="23"/>
  <c r="BI84" i="23"/>
  <c r="BC85" i="23"/>
  <c r="BD86" i="23"/>
  <c r="BF89" i="23"/>
  <c r="AW90" i="23"/>
  <c r="BJ90" i="23"/>
  <c r="AY104" i="23"/>
  <c r="AW105" i="23"/>
  <c r="AS106" i="23"/>
  <c r="AR106" i="23" s="1"/>
  <c r="AQ106" i="23" s="1"/>
  <c r="BB106" i="23"/>
  <c r="BK106" i="23"/>
  <c r="AS107" i="23"/>
  <c r="AR107" i="23" s="1"/>
  <c r="AQ107" i="23" s="1"/>
  <c r="AA107" i="23" s="1"/>
  <c r="BE107" i="23"/>
  <c r="AZ108" i="23"/>
  <c r="AX111" i="23"/>
  <c r="BB123" i="23"/>
  <c r="AW125" i="23"/>
  <c r="BH125" i="23"/>
  <c r="AV127" i="23"/>
  <c r="BG127" i="23"/>
  <c r="BA128" i="23"/>
  <c r="BC131" i="23"/>
  <c r="BK132" i="23"/>
  <c r="BA144" i="23"/>
  <c r="AV145" i="23"/>
  <c r="BG145" i="23"/>
  <c r="BD146" i="23"/>
  <c r="BC147" i="23"/>
  <c r="BC148" i="23"/>
  <c r="AY149" i="23"/>
  <c r="AT153" i="23"/>
  <c r="BF153" i="23"/>
  <c r="BB20" i="23"/>
  <c r="AU44" i="23"/>
  <c r="BK44" i="23"/>
  <c r="BK45" i="23"/>
  <c r="BD60" i="23"/>
  <c r="BH63" i="23"/>
  <c r="AZ67" i="23"/>
  <c r="AY68" i="23"/>
  <c r="AT69" i="23"/>
  <c r="BB69" i="23"/>
  <c r="BB81" i="23"/>
  <c r="AY82" i="23"/>
  <c r="AU83" i="23"/>
  <c r="BK83" i="23"/>
  <c r="BA84" i="23"/>
  <c r="BJ84" i="23"/>
  <c r="AT107" i="23"/>
  <c r="BC123" i="23"/>
  <c r="BI125" i="23"/>
  <c r="AW127" i="23"/>
  <c r="BH127" i="23"/>
  <c r="BC128" i="23"/>
  <c r="BJ131" i="23"/>
  <c r="BB144" i="23"/>
  <c r="AX145" i="23"/>
  <c r="BI145" i="23"/>
  <c r="BG146" i="23"/>
  <c r="AT147" i="23"/>
  <c r="BD147" i="23"/>
  <c r="BD148" i="23"/>
  <c r="AZ149" i="23"/>
  <c r="AZ150" i="23"/>
  <c r="AZ151" i="23"/>
  <c r="AW152" i="23"/>
  <c r="BG152" i="23"/>
  <c r="AV153" i="23"/>
  <c r="BI153" i="23"/>
  <c r="BC41" i="24"/>
  <c r="BA41" i="24"/>
  <c r="AY18" i="24"/>
  <c r="AX19" i="24"/>
  <c r="BG19" i="24"/>
  <c r="BD21" i="24"/>
  <c r="AU22" i="24"/>
  <c r="BD22" i="24"/>
  <c r="AT23" i="24"/>
  <c r="BD23" i="24"/>
  <c r="AX24" i="24"/>
  <c r="AX39" i="24"/>
  <c r="BJ82" i="24"/>
  <c r="BK82" i="24"/>
  <c r="AZ82" i="24"/>
  <c r="BI82" i="24"/>
  <c r="AX82" i="24"/>
  <c r="BH82" i="24"/>
  <c r="AW82" i="24"/>
  <c r="BF82" i="24"/>
  <c r="AV82" i="24"/>
  <c r="BE82" i="24"/>
  <c r="AU82" i="24"/>
  <c r="BD82" i="24"/>
  <c r="AS82" i="24"/>
  <c r="AR82" i="24" s="1"/>
  <c r="AQ82" i="24" s="1"/>
  <c r="AA82" i="24" s="1"/>
  <c r="BC82" i="24"/>
  <c r="BK148" i="24"/>
  <c r="AZ148" i="24"/>
  <c r="BI148" i="24"/>
  <c r="AY148" i="24"/>
  <c r="BH148" i="24"/>
  <c r="AX148" i="24"/>
  <c r="BG148" i="24"/>
  <c r="AV148" i="24"/>
  <c r="BE148" i="24"/>
  <c r="AU148" i="24"/>
  <c r="BD148" i="24"/>
  <c r="AS148" i="24"/>
  <c r="AR148" i="24" s="1"/>
  <c r="AQ148" i="24" s="1"/>
  <c r="AA148" i="24" s="1"/>
  <c r="BC148" i="24"/>
  <c r="BK47" i="24"/>
  <c r="AU47" i="24"/>
  <c r="BG47" i="24"/>
  <c r="BF47" i="24"/>
  <c r="BD47" i="24"/>
  <c r="BC47" i="24"/>
  <c r="AY47" i="24"/>
  <c r="AX47" i="24"/>
  <c r="AZ18" i="24"/>
  <c r="AY19" i="24"/>
  <c r="BH19" i="24"/>
  <c r="AV22" i="24"/>
  <c r="BF22" i="24"/>
  <c r="AU23" i="24"/>
  <c r="BF23" i="24"/>
  <c r="BE24" i="24"/>
  <c r="BK24" i="24"/>
  <c r="BB24" i="24"/>
  <c r="AS24" i="24"/>
  <c r="AR24" i="24" s="1"/>
  <c r="AQ24" i="24" s="1"/>
  <c r="AA24" i="24" s="1"/>
  <c r="BJ24" i="24"/>
  <c r="BA24" i="24"/>
  <c r="BD39" i="24"/>
  <c r="BI48" i="24"/>
  <c r="BK48" i="24"/>
  <c r="BB48" i="24"/>
  <c r="BJ48" i="24"/>
  <c r="AZ48" i="24"/>
  <c r="BH48" i="24"/>
  <c r="AY48" i="24"/>
  <c r="BG48" i="24"/>
  <c r="AX48" i="24"/>
  <c r="BF48" i="24"/>
  <c r="AW48" i="24"/>
  <c r="BE48" i="24"/>
  <c r="AV48" i="24"/>
  <c r="BD48" i="24"/>
  <c r="AU48" i="24"/>
  <c r="BD18" i="24"/>
  <c r="AZ19" i="24"/>
  <c r="BJ19" i="24"/>
  <c r="AX22" i="24"/>
  <c r="BG22" i="24"/>
  <c r="AV23" i="24"/>
  <c r="BG23" i="24"/>
  <c r="AZ24" i="24"/>
  <c r="BF39" i="24"/>
  <c r="BB19" i="24"/>
  <c r="BK19" i="24"/>
  <c r="AY22" i="24"/>
  <c r="BH22" i="24"/>
  <c r="AX23" i="24"/>
  <c r="BK129" i="24"/>
  <c r="BJ129" i="24"/>
  <c r="BF129" i="24"/>
  <c r="BE129" i="24"/>
  <c r="AW129" i="24"/>
  <c r="AT129" i="24"/>
  <c r="AS129" i="24"/>
  <c r="AR129" i="24" s="1"/>
  <c r="AQ129" i="24" s="1"/>
  <c r="Z129" i="24" s="1"/>
  <c r="AT22" i="24"/>
  <c r="AZ22" i="24"/>
  <c r="BI22" i="24"/>
  <c r="BE39" i="24"/>
  <c r="BC39" i="24"/>
  <c r="AZ39" i="24"/>
  <c r="AY39" i="24"/>
  <c r="BG39" i="24"/>
  <c r="AU19" i="24"/>
  <c r="BD19" i="24"/>
  <c r="BA22" i="24"/>
  <c r="BJ22" i="24"/>
  <c r="BK151" i="24"/>
  <c r="AV151" i="24"/>
  <c r="BJ151" i="24"/>
  <c r="AU151" i="24"/>
  <c r="BH151" i="24"/>
  <c r="AT151" i="24"/>
  <c r="BE151" i="24"/>
  <c r="BC151" i="24"/>
  <c r="BB151" i="24"/>
  <c r="AZ151" i="24"/>
  <c r="BC22" i="24"/>
  <c r="AV19" i="24"/>
  <c r="BE19" i="24"/>
  <c r="AS22" i="24"/>
  <c r="AR22" i="24" s="1"/>
  <c r="AQ22" i="24" s="1"/>
  <c r="BB22" i="24"/>
  <c r="BK22" i="24"/>
  <c r="BE23" i="24"/>
  <c r="BK23" i="24"/>
  <c r="BB23" i="24"/>
  <c r="AV47" i="24"/>
  <c r="BK147" i="24"/>
  <c r="AZ147" i="24"/>
  <c r="BJ147" i="24"/>
  <c r="AY147" i="24"/>
  <c r="BH147" i="24"/>
  <c r="AX147" i="24"/>
  <c r="BG147" i="24"/>
  <c r="AV147" i="24"/>
  <c r="BE147" i="24"/>
  <c r="AU147" i="24"/>
  <c r="BD147" i="24"/>
  <c r="AT147" i="24"/>
  <c r="BC147" i="24"/>
  <c r="BB60" i="24"/>
  <c r="BF63" i="24"/>
  <c r="AY64" i="24"/>
  <c r="BJ64" i="24"/>
  <c r="AW69" i="24"/>
  <c r="BH69" i="24"/>
  <c r="AX83" i="24"/>
  <c r="BH83" i="24"/>
  <c r="AV85" i="24"/>
  <c r="BF85" i="24"/>
  <c r="BF87" i="24"/>
  <c r="AZ88" i="24"/>
  <c r="BH88" i="24"/>
  <c r="BD90" i="24"/>
  <c r="BB102" i="24"/>
  <c r="AW103" i="24"/>
  <c r="AX104" i="24"/>
  <c r="BD107" i="24"/>
  <c r="AV108" i="24"/>
  <c r="BG108" i="24"/>
  <c r="BC109" i="24"/>
  <c r="AX111" i="24"/>
  <c r="BF111" i="24"/>
  <c r="AX126" i="24"/>
  <c r="BF126" i="24"/>
  <c r="AX127" i="24"/>
  <c r="BH127" i="24"/>
  <c r="BG130" i="24"/>
  <c r="BD131" i="24"/>
  <c r="AX132" i="24"/>
  <c r="BK132" i="24"/>
  <c r="AS26" i="24"/>
  <c r="AR26" i="24" s="1"/>
  <c r="AQ26" i="24" s="1"/>
  <c r="AA26" i="24" s="1"/>
  <c r="BA26" i="24"/>
  <c r="BI26" i="24"/>
  <c r="BD27" i="24"/>
  <c r="BD40" i="24"/>
  <c r="AS43" i="24"/>
  <c r="AR43" i="24" s="1"/>
  <c r="AQ43" i="24" s="1"/>
  <c r="Z43" i="24" s="1"/>
  <c r="BG43" i="24"/>
  <c r="BD44" i="24"/>
  <c r="AU46" i="24"/>
  <c r="BD60" i="24"/>
  <c r="AW61" i="24"/>
  <c r="BF61" i="24"/>
  <c r="AT63" i="24"/>
  <c r="BI63" i="24"/>
  <c r="AZ64" i="24"/>
  <c r="BK64" i="24"/>
  <c r="BG65" i="24"/>
  <c r="BC66" i="24"/>
  <c r="AY67" i="24"/>
  <c r="AX69" i="24"/>
  <c r="BI69" i="24"/>
  <c r="AZ83" i="24"/>
  <c r="BI83" i="24"/>
  <c r="AW85" i="24"/>
  <c r="BG85" i="24"/>
  <c r="BG87" i="24"/>
  <c r="AS88" i="24"/>
  <c r="AR88" i="24" s="1"/>
  <c r="AQ88" i="24" s="1"/>
  <c r="AA88" i="24" s="1"/>
  <c r="BA88" i="24"/>
  <c r="BI88" i="24"/>
  <c r="BE90" i="24"/>
  <c r="BC102" i="24"/>
  <c r="BD104" i="24"/>
  <c r="AW108" i="24"/>
  <c r="BH108" i="24"/>
  <c r="BE109" i="24"/>
  <c r="AY111" i="24"/>
  <c r="BG111" i="24"/>
  <c r="AY144" i="24"/>
  <c r="BC145" i="24"/>
  <c r="AX149" i="24"/>
  <c r="BG149" i="24"/>
  <c r="AZ150" i="24"/>
  <c r="AT152" i="24"/>
  <c r="BC152" i="24"/>
  <c r="BE104" i="24"/>
  <c r="BD105" i="24"/>
  <c r="AT107" i="24"/>
  <c r="BH107" i="24"/>
  <c r="AY108" i="24"/>
  <c r="BI108" i="24"/>
  <c r="BF109" i="24"/>
  <c r="AZ111" i="24"/>
  <c r="BH111" i="24"/>
  <c r="AT123" i="24"/>
  <c r="BD123" i="24"/>
  <c r="AZ126" i="24"/>
  <c r="BH126" i="24"/>
  <c r="AZ127" i="24"/>
  <c r="BK127" i="24"/>
  <c r="BD128" i="24"/>
  <c r="AS130" i="24"/>
  <c r="AR130" i="24" s="1"/>
  <c r="AQ130" i="24" s="1"/>
  <c r="BH131" i="24"/>
  <c r="AZ132" i="24"/>
  <c r="AY149" i="24"/>
  <c r="BH149" i="24"/>
  <c r="BE150" i="24"/>
  <c r="AU152" i="24"/>
  <c r="BD152" i="24"/>
  <c r="BC64" i="24"/>
  <c r="BK88" i="24"/>
  <c r="BI102" i="24"/>
  <c r="BK104" i="24"/>
  <c r="AV130" i="24"/>
  <c r="BB132" i="24"/>
  <c r="BI145" i="24"/>
  <c r="AZ149" i="24"/>
  <c r="BI149" i="24"/>
  <c r="BF150" i="24"/>
  <c r="AV152" i="24"/>
  <c r="BE152" i="24"/>
  <c r="AV44" i="24"/>
  <c r="BH44" i="24"/>
  <c r="BI46" i="24"/>
  <c r="AZ61" i="24"/>
  <c r="BJ61" i="24"/>
  <c r="AY63" i="24"/>
  <c r="AT64" i="24"/>
  <c r="BD64" i="24"/>
  <c r="AV66" i="24"/>
  <c r="BG66" i="24"/>
  <c r="BD67" i="24"/>
  <c r="AS69" i="24"/>
  <c r="AR69" i="24" s="1"/>
  <c r="AQ69" i="24" s="1"/>
  <c r="BC69" i="24"/>
  <c r="AW87" i="24"/>
  <c r="BJ111" i="24"/>
  <c r="AW123" i="24"/>
  <c r="BF123" i="24"/>
  <c r="AT126" i="24"/>
  <c r="BB126" i="24"/>
  <c r="BJ126" i="24"/>
  <c r="BC127" i="24"/>
  <c r="BH128" i="24"/>
  <c r="AX130" i="24"/>
  <c r="BC132" i="24"/>
  <c r="BA149" i="24"/>
  <c r="BK149" i="24"/>
  <c r="BI150" i="24"/>
  <c r="AW152" i="24"/>
  <c r="BF152" i="24"/>
  <c r="AV25" i="24"/>
  <c r="BF25" i="24"/>
  <c r="AW26" i="24"/>
  <c r="BE26" i="24"/>
  <c r="AW44" i="24"/>
  <c r="BB61" i="24"/>
  <c r="BK61" i="24"/>
  <c r="BA63" i="24"/>
  <c r="AU64" i="24"/>
  <c r="BE64" i="24"/>
  <c r="AW66" i="24"/>
  <c r="BH66" i="24"/>
  <c r="BF67" i="24"/>
  <c r="AT69" i="24"/>
  <c r="BD69" i="24"/>
  <c r="AU83" i="24"/>
  <c r="BD83" i="24"/>
  <c r="BF86" i="24"/>
  <c r="AY87" i="24"/>
  <c r="AW88" i="24"/>
  <c r="BE88" i="24"/>
  <c r="AU90" i="24"/>
  <c r="AU104" i="24"/>
  <c r="BB108" i="24"/>
  <c r="AU111" i="24"/>
  <c r="BC111" i="24"/>
  <c r="AX123" i="24"/>
  <c r="BH123" i="24"/>
  <c r="AU126" i="24"/>
  <c r="BC126" i="24"/>
  <c r="AS127" i="24"/>
  <c r="AR127" i="24" s="1"/>
  <c r="AQ127" i="24" s="1"/>
  <c r="AA127" i="24" s="1"/>
  <c r="BD127" i="24"/>
  <c r="BK128" i="24"/>
  <c r="AY130" i="24"/>
  <c r="BG132" i="24"/>
  <c r="AX152" i="24"/>
  <c r="BG152" i="24"/>
  <c r="AW25" i="24"/>
  <c r="BG25" i="24"/>
  <c r="AX26" i="24"/>
  <c r="AV27" i="24"/>
  <c r="AV40" i="24"/>
  <c r="AY42" i="24"/>
  <c r="BC63" i="24"/>
  <c r="AV64" i="24"/>
  <c r="BG64" i="24"/>
  <c r="BI67" i="24"/>
  <c r="AU69" i="24"/>
  <c r="BE69" i="24"/>
  <c r="BA87" i="24"/>
  <c r="AV104" i="24"/>
  <c r="BI123" i="24"/>
  <c r="AU127" i="24"/>
  <c r="BB130" i="24"/>
  <c r="AT131" i="24"/>
  <c r="AS132" i="24"/>
  <c r="AR132" i="24" s="1"/>
  <c r="AQ132" i="24" s="1"/>
  <c r="AA132" i="24" s="1"/>
  <c r="AY145" i="24"/>
  <c r="AU149" i="24"/>
  <c r="AY152" i="24"/>
  <c r="BH152" i="24"/>
  <c r="BA19" i="25"/>
  <c r="BK19" i="25"/>
  <c r="BB22" i="25"/>
  <c r="AV23" i="25"/>
  <c r="BI23" i="25"/>
  <c r="AU24" i="25"/>
  <c r="AX25" i="25"/>
  <c r="AU27" i="25"/>
  <c r="BC27" i="25"/>
  <c r="BK27" i="25"/>
  <c r="BI39" i="25"/>
  <c r="AW40" i="25"/>
  <c r="BF40" i="25"/>
  <c r="BC22" i="25"/>
  <c r="AW24" i="25"/>
  <c r="AY25" i="25"/>
  <c r="AX40" i="25"/>
  <c r="BG40" i="25"/>
  <c r="AU46" i="25"/>
  <c r="BK85" i="25"/>
  <c r="BJ85" i="25"/>
  <c r="BA85" i="25"/>
  <c r="BI85" i="25"/>
  <c r="AZ85" i="25"/>
  <c r="BH85" i="25"/>
  <c r="AY85" i="25"/>
  <c r="BG85" i="25"/>
  <c r="AX85" i="25"/>
  <c r="BF85" i="25"/>
  <c r="AW85" i="25"/>
  <c r="BE85" i="25"/>
  <c r="AV85" i="25"/>
  <c r="BD85" i="25"/>
  <c r="AT85" i="25"/>
  <c r="BK103" i="25"/>
  <c r="BC103" i="25"/>
  <c r="AU103" i="25"/>
  <c r="BJ103" i="25"/>
  <c r="BB103" i="25"/>
  <c r="AT103" i="25"/>
  <c r="BI103" i="25"/>
  <c r="BA103" i="25"/>
  <c r="AS103" i="25"/>
  <c r="AR103" i="25" s="1"/>
  <c r="AQ103" i="25" s="1"/>
  <c r="BH103" i="25"/>
  <c r="AZ103" i="25"/>
  <c r="BG103" i="25"/>
  <c r="AY103" i="25"/>
  <c r="BF103" i="25"/>
  <c r="AX103" i="25"/>
  <c r="BE103" i="25"/>
  <c r="AW103" i="25"/>
  <c r="BJ129" i="25"/>
  <c r="BK129" i="25"/>
  <c r="AZ129" i="25"/>
  <c r="BI129" i="25"/>
  <c r="AX129" i="25"/>
  <c r="BH129" i="25"/>
  <c r="AW129" i="25"/>
  <c r="BF129" i="25"/>
  <c r="AV129" i="25"/>
  <c r="BE129" i="25"/>
  <c r="AU129" i="25"/>
  <c r="BD129" i="25"/>
  <c r="AS129" i="25"/>
  <c r="AR129" i="25" s="1"/>
  <c r="AQ129" i="25" s="1"/>
  <c r="AA129" i="25" s="1"/>
  <c r="BC129" i="25"/>
  <c r="AW25" i="25"/>
  <c r="BF41" i="25"/>
  <c r="BK41" i="25"/>
  <c r="AX41" i="25"/>
  <c r="BH41" i="25"/>
  <c r="AV41" i="25"/>
  <c r="AS19" i="25"/>
  <c r="AR19" i="25" s="1"/>
  <c r="AQ19" i="25" s="1"/>
  <c r="Z19" i="25" s="1"/>
  <c r="BC19" i="25"/>
  <c r="AS22" i="25"/>
  <c r="AR22" i="25" s="1"/>
  <c r="AQ22" i="25" s="1"/>
  <c r="Z22" i="25" s="1"/>
  <c r="BE22" i="25"/>
  <c r="AY23" i="25"/>
  <c r="BC24" i="25"/>
  <c r="BC25" i="25"/>
  <c r="AW27" i="25"/>
  <c r="BE27" i="25"/>
  <c r="AY40" i="25"/>
  <c r="BH40" i="25"/>
  <c r="AY41" i="25"/>
  <c r="AY46" i="25"/>
  <c r="AV48" i="25"/>
  <c r="BH64" i="25"/>
  <c r="BK64" i="25"/>
  <c r="BB64" i="25"/>
  <c r="AS64" i="25"/>
  <c r="AR64" i="25" s="1"/>
  <c r="AQ64" i="25" s="1"/>
  <c r="AA64" i="25" s="1"/>
  <c r="BJ64" i="25"/>
  <c r="BA64" i="25"/>
  <c r="BI64" i="25"/>
  <c r="AY64" i="25"/>
  <c r="BG64" i="25"/>
  <c r="AX64" i="25"/>
  <c r="BF64" i="25"/>
  <c r="AW64" i="25"/>
  <c r="BE64" i="25"/>
  <c r="AV64" i="25"/>
  <c r="BD64" i="25"/>
  <c r="AU64" i="25"/>
  <c r="AT19" i="25"/>
  <c r="BD19" i="25"/>
  <c r="BD20" i="25"/>
  <c r="AT22" i="25"/>
  <c r="BH22" i="25"/>
  <c r="AZ23" i="25"/>
  <c r="BD24" i="25"/>
  <c r="BE25" i="25"/>
  <c r="AX27" i="25"/>
  <c r="AZ40" i="25"/>
  <c r="AZ41" i="25"/>
  <c r="BK43" i="25"/>
  <c r="AT43" i="25"/>
  <c r="BJ43" i="25"/>
  <c r="AY43" i="25"/>
  <c r="AV43" i="25"/>
  <c r="AZ46" i="25"/>
  <c r="BA48" i="25"/>
  <c r="BE110" i="25"/>
  <c r="BJ110" i="25"/>
  <c r="AX110" i="25"/>
  <c r="BH110" i="25"/>
  <c r="AV110" i="25"/>
  <c r="BG110" i="25"/>
  <c r="AT110" i="25"/>
  <c r="BF110" i="25"/>
  <c r="BD110" i="25"/>
  <c r="BB110" i="25"/>
  <c r="AZ110" i="25"/>
  <c r="BE149" i="25"/>
  <c r="BK149" i="25"/>
  <c r="AX149" i="25"/>
  <c r="BI149" i="25"/>
  <c r="AV149" i="25"/>
  <c r="BH149" i="25"/>
  <c r="AU149" i="25"/>
  <c r="BF149" i="25"/>
  <c r="AS149" i="25"/>
  <c r="AR149" i="25" s="1"/>
  <c r="AQ149" i="25" s="1"/>
  <c r="BD149" i="25"/>
  <c r="BC149" i="25"/>
  <c r="BA149" i="25"/>
  <c r="AV22" i="25"/>
  <c r="BI22" i="25"/>
  <c r="BF25" i="25"/>
  <c r="BC41" i="25"/>
  <c r="AV45" i="25"/>
  <c r="BC46" i="25"/>
  <c r="BB48" i="25"/>
  <c r="BA22" i="25"/>
  <c r="AY22" i="25"/>
  <c r="BJ22" i="25"/>
  <c r="AS25" i="25"/>
  <c r="AR25" i="25" s="1"/>
  <c r="AQ25" i="25" s="1"/>
  <c r="AA25" i="25" s="1"/>
  <c r="BG25" i="25"/>
  <c r="BI40" i="25"/>
  <c r="BA40" i="25"/>
  <c r="AS40" i="25"/>
  <c r="AR40" i="25" s="1"/>
  <c r="AQ40" i="25" s="1"/>
  <c r="BD41" i="25"/>
  <c r="AZ22" i="25"/>
  <c r="AV25" i="25"/>
  <c r="BH25" i="25"/>
  <c r="BG41" i="25"/>
  <c r="BK45" i="25"/>
  <c r="AU45" i="25"/>
  <c r="BE46" i="25"/>
  <c r="BF46" i="25"/>
  <c r="BD46" i="25"/>
  <c r="BK46" i="25"/>
  <c r="AX46" i="25"/>
  <c r="BH46" i="25"/>
  <c r="AV46" i="25"/>
  <c r="BG48" i="25"/>
  <c r="BE48" i="25"/>
  <c r="AT48" i="25"/>
  <c r="BD48" i="25"/>
  <c r="AS48" i="25"/>
  <c r="AR48" i="25" s="1"/>
  <c r="AQ48" i="25" s="1"/>
  <c r="AA48" i="25" s="1"/>
  <c r="BJ48" i="25"/>
  <c r="AZ48" i="25"/>
  <c r="BI48" i="25"/>
  <c r="AX48" i="25"/>
  <c r="BH48" i="25"/>
  <c r="AW48" i="25"/>
  <c r="BJ111" i="25"/>
  <c r="BK111" i="25"/>
  <c r="AY111" i="25"/>
  <c r="BI111" i="25"/>
  <c r="AX111" i="25"/>
  <c r="BG111" i="25"/>
  <c r="AW111" i="25"/>
  <c r="BF111" i="25"/>
  <c r="AV111" i="25"/>
  <c r="BE111" i="25"/>
  <c r="AU111" i="25"/>
  <c r="BD111" i="25"/>
  <c r="AS111" i="25"/>
  <c r="AR111" i="25" s="1"/>
  <c r="AQ111" i="25" s="1"/>
  <c r="AA111" i="25" s="1"/>
  <c r="BC111" i="25"/>
  <c r="AW42" i="25"/>
  <c r="BF42" i="25"/>
  <c r="BC44" i="25"/>
  <c r="AX47" i="25"/>
  <c r="BF47" i="25"/>
  <c r="AW61" i="25"/>
  <c r="BH61" i="25"/>
  <c r="AZ62" i="25"/>
  <c r="BH62" i="25"/>
  <c r="AY65" i="25"/>
  <c r="BI65" i="25"/>
  <c r="BA66" i="25"/>
  <c r="BJ66" i="25"/>
  <c r="BF67" i="25"/>
  <c r="BD82" i="25"/>
  <c r="AV84" i="25"/>
  <c r="BH84" i="25"/>
  <c r="AW87" i="25"/>
  <c r="BE87" i="25"/>
  <c r="BD88" i="25"/>
  <c r="AV89" i="25"/>
  <c r="BH89" i="25"/>
  <c r="AX90" i="25"/>
  <c r="BG90" i="25"/>
  <c r="AX106" i="25"/>
  <c r="BG106" i="25"/>
  <c r="BI108" i="25"/>
  <c r="AU109" i="25"/>
  <c r="BF125" i="25"/>
  <c r="BI126" i="25"/>
  <c r="AV130" i="25"/>
  <c r="BJ131" i="25"/>
  <c r="AU132" i="25"/>
  <c r="AZ144" i="25"/>
  <c r="BI144" i="25"/>
  <c r="AX147" i="25"/>
  <c r="BG147" i="25"/>
  <c r="AV148" i="25"/>
  <c r="BI148" i="25"/>
  <c r="AX150" i="25"/>
  <c r="BK150" i="25"/>
  <c r="AT151" i="25"/>
  <c r="AX152" i="25"/>
  <c r="BF152" i="25"/>
  <c r="BG42" i="25"/>
  <c r="AY47" i="25"/>
  <c r="BG47" i="25"/>
  <c r="AX61" i="25"/>
  <c r="BI61" i="25"/>
  <c r="AS62" i="25"/>
  <c r="AR62" i="25" s="1"/>
  <c r="AQ62" i="25" s="1"/>
  <c r="AA62" i="25" s="1"/>
  <c r="BA62" i="25"/>
  <c r="BI62" i="25"/>
  <c r="BA65" i="25"/>
  <c r="BJ65" i="25"/>
  <c r="AS66" i="25"/>
  <c r="AR66" i="25" s="1"/>
  <c r="AQ66" i="25" s="1"/>
  <c r="AA66" i="25" s="1"/>
  <c r="BB66" i="25"/>
  <c r="BK66" i="25"/>
  <c r="BB81" i="25"/>
  <c r="AS82" i="25"/>
  <c r="AR82" i="25" s="1"/>
  <c r="AQ82" i="25" s="1"/>
  <c r="AA82" i="25" s="1"/>
  <c r="BE82" i="25"/>
  <c r="AU83" i="25"/>
  <c r="AX84" i="25"/>
  <c r="BI84" i="25"/>
  <c r="BD86" i="25"/>
  <c r="AX87" i="25"/>
  <c r="BF87" i="25"/>
  <c r="BE88" i="25"/>
  <c r="AX89" i="25"/>
  <c r="BI89" i="25"/>
  <c r="AY90" i="25"/>
  <c r="BH90" i="25"/>
  <c r="AZ104" i="25"/>
  <c r="BH106" i="25"/>
  <c r="BH107" i="25"/>
  <c r="BK108" i="25"/>
  <c r="AV109" i="25"/>
  <c r="AW124" i="25"/>
  <c r="BE124" i="25"/>
  <c r="AT125" i="25"/>
  <c r="BG125" i="25"/>
  <c r="BJ126" i="25"/>
  <c r="AV132" i="25"/>
  <c r="BA144" i="25"/>
  <c r="AV146" i="25"/>
  <c r="AY147" i="25"/>
  <c r="BH147" i="25"/>
  <c r="BK148" i="25"/>
  <c r="AV151" i="25"/>
  <c r="AY152" i="25"/>
  <c r="BG152" i="25"/>
  <c r="AZ61" i="25"/>
  <c r="BJ61" i="25"/>
  <c r="AT62" i="25"/>
  <c r="BB62" i="25"/>
  <c r="BJ62" i="25"/>
  <c r="AS65" i="25"/>
  <c r="AR65" i="25" s="1"/>
  <c r="AQ65" i="25" s="1"/>
  <c r="AA65" i="25" s="1"/>
  <c r="BB65" i="25"/>
  <c r="BK65" i="25"/>
  <c r="BE69" i="25"/>
  <c r="BA104" i="25"/>
  <c r="AZ106" i="25"/>
  <c r="BI106" i="25"/>
  <c r="BI107" i="25"/>
  <c r="BC109" i="25"/>
  <c r="BF124" i="25"/>
  <c r="AV125" i="25"/>
  <c r="BH125" i="25"/>
  <c r="BK126" i="25"/>
  <c r="BI132" i="25"/>
  <c r="AY146" i="25"/>
  <c r="AZ147" i="25"/>
  <c r="BJ147" i="25"/>
  <c r="BA150" i="25"/>
  <c r="BB151" i="25"/>
  <c r="AZ152" i="25"/>
  <c r="BH152" i="25"/>
  <c r="AZ84" i="25"/>
  <c r="AZ89" i="25"/>
  <c r="BA90" i="25"/>
  <c r="BK90" i="25"/>
  <c r="AY124" i="25"/>
  <c r="BG124" i="25"/>
  <c r="AX125" i="25"/>
  <c r="BJ125" i="25"/>
  <c r="AS144" i="25"/>
  <c r="AR144" i="25" s="1"/>
  <c r="AQ144" i="25" s="1"/>
  <c r="BC144" i="25"/>
  <c r="BB146" i="25"/>
  <c r="BB147" i="25"/>
  <c r="BK147" i="25"/>
  <c r="BI152" i="25"/>
  <c r="BB61" i="25"/>
  <c r="AU65" i="25"/>
  <c r="BD65" i="25"/>
  <c r="BA84" i="25"/>
  <c r="BA89" i="25"/>
  <c r="BE108" i="25"/>
  <c r="AU47" i="25"/>
  <c r="BC47" i="25"/>
  <c r="AS61" i="25"/>
  <c r="AR61" i="25" s="1"/>
  <c r="AQ61" i="25" s="1"/>
  <c r="Z61" i="25" s="1"/>
  <c r="BD61" i="25"/>
  <c r="AW62" i="25"/>
  <c r="BE62" i="25"/>
  <c r="AV65" i="25"/>
  <c r="BE65" i="25"/>
  <c r="AW66" i="25"/>
  <c r="BF66" i="25"/>
  <c r="BI81" i="25"/>
  <c r="AZ82" i="25"/>
  <c r="BD84" i="25"/>
  <c r="BH86" i="25"/>
  <c r="AT87" i="25"/>
  <c r="BB87" i="25"/>
  <c r="BJ87" i="25"/>
  <c r="AV88" i="25"/>
  <c r="BD89" i="25"/>
  <c r="AU90" i="25"/>
  <c r="BD90" i="25"/>
  <c r="BF102" i="25"/>
  <c r="AS104" i="25"/>
  <c r="AR104" i="25" s="1"/>
  <c r="AQ104" i="25" s="1"/>
  <c r="AA104" i="25" s="1"/>
  <c r="BG104" i="25"/>
  <c r="AU106" i="25"/>
  <c r="BD106" i="25"/>
  <c r="BD107" i="25"/>
  <c r="BI124" i="25"/>
  <c r="AZ125" i="25"/>
  <c r="AU152" i="25"/>
  <c r="BC152" i="25"/>
  <c r="BD42" i="25"/>
  <c r="AT61" i="25"/>
  <c r="BE61" i="25"/>
  <c r="AX62" i="25"/>
  <c r="AW65" i="25"/>
  <c r="BF65" i="25"/>
  <c r="AX66" i="25"/>
  <c r="BG66" i="25"/>
  <c r="BA82" i="25"/>
  <c r="BF84" i="25"/>
  <c r="AW88" i="25"/>
  <c r="BF89" i="25"/>
  <c r="AV90" i="25"/>
  <c r="BE90" i="25"/>
  <c r="AV106" i="25"/>
  <c r="BE106" i="25"/>
  <c r="BE107" i="25"/>
  <c r="BG108" i="25"/>
  <c r="BB124" i="25"/>
  <c r="BB125" i="25"/>
  <c r="BF126" i="25"/>
  <c r="AV147" i="25"/>
  <c r="BE147" i="25"/>
  <c r="BF148" i="25"/>
  <c r="BE45" i="26"/>
  <c r="BC45" i="26"/>
  <c r="BB45" i="26"/>
  <c r="AY45" i="26"/>
  <c r="AV45" i="26"/>
  <c r="BB60" i="26"/>
  <c r="BI60" i="26"/>
  <c r="AY60" i="26"/>
  <c r="BH60" i="26"/>
  <c r="AW60" i="26"/>
  <c r="BG60" i="26"/>
  <c r="AU60" i="26"/>
  <c r="BE60" i="26"/>
  <c r="AS60" i="26"/>
  <c r="AR60" i="26" s="1"/>
  <c r="AR71" i="26" s="1"/>
  <c r="BD60" i="26"/>
  <c r="BA21" i="26"/>
  <c r="AW23" i="26"/>
  <c r="BE23" i="26"/>
  <c r="BK65" i="26"/>
  <c r="BC65" i="26"/>
  <c r="AU65" i="26"/>
  <c r="BJ65" i="26"/>
  <c r="BB65" i="26"/>
  <c r="AT65" i="26"/>
  <c r="BI65" i="26"/>
  <c r="BA65" i="26"/>
  <c r="AS65" i="26"/>
  <c r="AR65" i="26" s="1"/>
  <c r="AQ65" i="26" s="1"/>
  <c r="AA65" i="26" s="1"/>
  <c r="BH65" i="26"/>
  <c r="AZ65" i="26"/>
  <c r="BG65" i="26"/>
  <c r="AY65" i="26"/>
  <c r="BH81" i="26"/>
  <c r="BF81" i="26"/>
  <c r="BD81" i="26"/>
  <c r="BB81" i="26"/>
  <c r="AX81" i="26"/>
  <c r="AT81" i="26"/>
  <c r="BK110" i="26"/>
  <c r="BI110" i="26"/>
  <c r="AS110" i="26"/>
  <c r="AR110" i="26" s="1"/>
  <c r="AQ110" i="26" s="1"/>
  <c r="AA110" i="26" s="1"/>
  <c r="BF110" i="26"/>
  <c r="BE110" i="26"/>
  <c r="BD110" i="26"/>
  <c r="BA110" i="26"/>
  <c r="AX110" i="26"/>
  <c r="BH151" i="26"/>
  <c r="BK151" i="26"/>
  <c r="AY151" i="26"/>
  <c r="BJ151" i="26"/>
  <c r="AV151" i="26"/>
  <c r="BI151" i="26"/>
  <c r="AU151" i="26"/>
  <c r="BG151" i="26"/>
  <c r="AT151" i="26"/>
  <c r="BD151" i="26"/>
  <c r="AS151" i="26"/>
  <c r="AR151" i="26" s="1"/>
  <c r="AQ151" i="26" s="1"/>
  <c r="AA151" i="26" s="1"/>
  <c r="BC151" i="26"/>
  <c r="AX18" i="26"/>
  <c r="BH18" i="26"/>
  <c r="BB21" i="26"/>
  <c r="AX23" i="26"/>
  <c r="BF23" i="26"/>
  <c r="AW25" i="26"/>
  <c r="AS26" i="26"/>
  <c r="AR26" i="26" s="1"/>
  <c r="AQ26" i="26" s="1"/>
  <c r="Z26" i="26" s="1"/>
  <c r="BA26" i="26"/>
  <c r="BJ26" i="26"/>
  <c r="BC27" i="26"/>
  <c r="BK27" i="26"/>
  <c r="BD39" i="26"/>
  <c r="AV41" i="26"/>
  <c r="BH41" i="26"/>
  <c r="AY46" i="26"/>
  <c r="BG145" i="26"/>
  <c r="BI145" i="26"/>
  <c r="AV145" i="26"/>
  <c r="BH145" i="26"/>
  <c r="AT145" i="26"/>
  <c r="BF145" i="26"/>
  <c r="AS145" i="26"/>
  <c r="AR145" i="26" s="1"/>
  <c r="AQ145" i="26" s="1"/>
  <c r="BD145" i="26"/>
  <c r="BB145" i="26"/>
  <c r="BA145" i="26"/>
  <c r="AY18" i="26"/>
  <c r="BI18" i="26"/>
  <c r="BD21" i="26"/>
  <c r="AY23" i="26"/>
  <c r="BG23" i="26"/>
  <c r="AY24" i="26"/>
  <c r="AX25" i="26"/>
  <c r="AT26" i="26"/>
  <c r="BB26" i="26"/>
  <c r="BK26" i="26"/>
  <c r="BE39" i="26"/>
  <c r="AX41" i="26"/>
  <c r="BE44" i="26"/>
  <c r="BD44" i="26"/>
  <c r="BC44" i="26"/>
  <c r="AY44" i="26"/>
  <c r="AV44" i="26"/>
  <c r="AT45" i="26"/>
  <c r="AZ46" i="26"/>
  <c r="AV65" i="26"/>
  <c r="BK103" i="26"/>
  <c r="BI103" i="26"/>
  <c r="AS103" i="26"/>
  <c r="AR103" i="26" s="1"/>
  <c r="AQ103" i="26" s="1"/>
  <c r="AA103" i="26" s="1"/>
  <c r="BG103" i="26"/>
  <c r="BE103" i="26"/>
  <c r="BD103" i="26"/>
  <c r="BA103" i="26"/>
  <c r="AY103" i="26"/>
  <c r="AS21" i="26"/>
  <c r="AR21" i="26" s="1"/>
  <c r="AQ21" i="26" s="1"/>
  <c r="AA21" i="26" s="1"/>
  <c r="BE21" i="26"/>
  <c r="AZ23" i="26"/>
  <c r="BH23" i="26"/>
  <c r="AZ25" i="26"/>
  <c r="BE41" i="26"/>
  <c r="BI41" i="26"/>
  <c r="AY41" i="26"/>
  <c r="AU45" i="26"/>
  <c r="AW65" i="26"/>
  <c r="BA18" i="26"/>
  <c r="BG19" i="26"/>
  <c r="BB20" i="26"/>
  <c r="AT21" i="26"/>
  <c r="BH21" i="26"/>
  <c r="AX22" i="26"/>
  <c r="BF22" i="26"/>
  <c r="AS23" i="26"/>
  <c r="AR23" i="26" s="1"/>
  <c r="AQ23" i="26" s="1"/>
  <c r="BA23" i="26"/>
  <c r="BI23" i="26"/>
  <c r="BB24" i="26"/>
  <c r="BC25" i="26"/>
  <c r="AV26" i="26"/>
  <c r="BD26" i="26"/>
  <c r="AX27" i="26"/>
  <c r="BF27" i="26"/>
  <c r="BI39" i="26"/>
  <c r="BA41" i="26"/>
  <c r="BD45" i="26"/>
  <c r="AZ60" i="26"/>
  <c r="AX65" i="26"/>
  <c r="BK128" i="26"/>
  <c r="BH128" i="26"/>
  <c r="BG128" i="26"/>
  <c r="BC128" i="26"/>
  <c r="BB128" i="26"/>
  <c r="AY128" i="26"/>
  <c r="AX128" i="26"/>
  <c r="BD18" i="26"/>
  <c r="AV21" i="26"/>
  <c r="BI21" i="26"/>
  <c r="AT23" i="26"/>
  <c r="BB23" i="26"/>
  <c r="BJ23" i="26"/>
  <c r="BE25" i="26"/>
  <c r="AW26" i="26"/>
  <c r="BF26" i="26"/>
  <c r="BC41" i="26"/>
  <c r="BG45" i="26"/>
  <c r="BI46" i="26"/>
  <c r="BH46" i="26"/>
  <c r="AV46" i="26"/>
  <c r="BG46" i="26"/>
  <c r="AU46" i="26"/>
  <c r="BF46" i="26"/>
  <c r="AS46" i="26"/>
  <c r="AR46" i="26" s="1"/>
  <c r="AQ46" i="26" s="1"/>
  <c r="Z46" i="26" s="1"/>
  <c r="BD46" i="26"/>
  <c r="BA60" i="26"/>
  <c r="BD65" i="26"/>
  <c r="BK106" i="26"/>
  <c r="BJ106" i="26"/>
  <c r="AY106" i="26"/>
  <c r="BH106" i="26"/>
  <c r="AX106" i="26"/>
  <c r="BG106" i="26"/>
  <c r="AW106" i="26"/>
  <c r="BF106" i="26"/>
  <c r="AV106" i="26"/>
  <c r="BE106" i="26"/>
  <c r="AT106" i="26"/>
  <c r="BD106" i="26"/>
  <c r="BE18" i="26"/>
  <c r="BE20" i="26"/>
  <c r="AW21" i="26"/>
  <c r="BJ21" i="26"/>
  <c r="AZ22" i="26"/>
  <c r="AU23" i="26"/>
  <c r="BC23" i="26"/>
  <c r="BG24" i="26"/>
  <c r="BG25" i="26"/>
  <c r="AX26" i="26"/>
  <c r="BG26" i="26"/>
  <c r="AZ27" i="26"/>
  <c r="AW39" i="26"/>
  <c r="AS41" i="26"/>
  <c r="AR41" i="26" s="1"/>
  <c r="AQ41" i="26" s="1"/>
  <c r="Z41" i="26" s="1"/>
  <c r="BD41" i="26"/>
  <c r="BE43" i="26"/>
  <c r="BD43" i="26"/>
  <c r="BC43" i="26"/>
  <c r="AY43" i="26"/>
  <c r="AV43" i="26"/>
  <c r="BK45" i="26"/>
  <c r="BE47" i="26"/>
  <c r="BH47" i="26"/>
  <c r="AY47" i="26"/>
  <c r="BG47" i="26"/>
  <c r="AX47" i="26"/>
  <c r="BF47" i="26"/>
  <c r="AV47" i="26"/>
  <c r="BD47" i="26"/>
  <c r="AU47" i="26"/>
  <c r="BC60" i="26"/>
  <c r="BJ64" i="26"/>
  <c r="BB64" i="26"/>
  <c r="AT64" i="26"/>
  <c r="BI64" i="26"/>
  <c r="BA64" i="26"/>
  <c r="AS64" i="26"/>
  <c r="AR64" i="26" s="1"/>
  <c r="AQ64" i="26" s="1"/>
  <c r="AA64" i="26" s="1"/>
  <c r="BH64" i="26"/>
  <c r="AZ64" i="26"/>
  <c r="BG64" i="26"/>
  <c r="AY64" i="26"/>
  <c r="BF64" i="26"/>
  <c r="AX64" i="26"/>
  <c r="BE65" i="26"/>
  <c r="BF67" i="26"/>
  <c r="BI67" i="26"/>
  <c r="AW67" i="26"/>
  <c r="BG67" i="26"/>
  <c r="AV67" i="26"/>
  <c r="BE67" i="26"/>
  <c r="AU67" i="26"/>
  <c r="BD67" i="26"/>
  <c r="AT67" i="26"/>
  <c r="BC67" i="26"/>
  <c r="AS67" i="26"/>
  <c r="AR67" i="26" s="1"/>
  <c r="AQ67" i="26" s="1"/>
  <c r="AA67" i="26" s="1"/>
  <c r="AV110" i="26"/>
  <c r="AX145" i="26"/>
  <c r="BA151" i="26"/>
  <c r="BA149" i="26"/>
  <c r="BK149" i="26"/>
  <c r="BB152" i="26"/>
  <c r="BA153" i="26"/>
  <c r="AU86" i="26"/>
  <c r="BD86" i="26"/>
  <c r="AU87" i="26"/>
  <c r="BD87" i="26"/>
  <c r="BB107" i="26"/>
  <c r="AU109" i="26"/>
  <c r="BC109" i="26"/>
  <c r="BA127" i="26"/>
  <c r="BA144" i="26"/>
  <c r="AW147" i="26"/>
  <c r="AW150" i="26"/>
  <c r="BE150" i="26"/>
  <c r="BD152" i="26"/>
  <c r="BD153" i="26"/>
  <c r="BA62" i="26"/>
  <c r="BK62" i="26"/>
  <c r="BH66" i="26"/>
  <c r="BC69" i="26"/>
  <c r="BC82" i="26"/>
  <c r="BA85" i="26"/>
  <c r="BJ85" i="26"/>
  <c r="AV86" i="26"/>
  <c r="BE86" i="26"/>
  <c r="AV87" i="26"/>
  <c r="BE87" i="26"/>
  <c r="AZ89" i="26"/>
  <c r="AV90" i="26"/>
  <c r="BD107" i="26"/>
  <c r="AV109" i="26"/>
  <c r="BD109" i="26"/>
  <c r="AU123" i="26"/>
  <c r="AZ126" i="26"/>
  <c r="BB127" i="26"/>
  <c r="BA131" i="26"/>
  <c r="BJ131" i="26"/>
  <c r="BC144" i="26"/>
  <c r="AS146" i="26"/>
  <c r="AR146" i="26" s="1"/>
  <c r="AQ146" i="26" s="1"/>
  <c r="Z146" i="26" s="1"/>
  <c r="BC146" i="26"/>
  <c r="AX147" i="26"/>
  <c r="AV148" i="26"/>
  <c r="BE148" i="26"/>
  <c r="AU149" i="26"/>
  <c r="BD149" i="26"/>
  <c r="AX150" i="26"/>
  <c r="BF150" i="26"/>
  <c r="BE152" i="26"/>
  <c r="BE153" i="26"/>
  <c r="BB42" i="26"/>
  <c r="BE48" i="26"/>
  <c r="BI66" i="26"/>
  <c r="AS69" i="26"/>
  <c r="AR69" i="26" s="1"/>
  <c r="AQ69" i="26" s="1"/>
  <c r="Z69" i="26" s="1"/>
  <c r="BD69" i="26"/>
  <c r="AS82" i="26"/>
  <c r="AR82" i="26" s="1"/>
  <c r="AQ82" i="26" s="1"/>
  <c r="BD82" i="26"/>
  <c r="AS85" i="26"/>
  <c r="AR85" i="26" s="1"/>
  <c r="AQ85" i="26" s="1"/>
  <c r="BB85" i="26"/>
  <c r="BK85" i="26"/>
  <c r="AW86" i="26"/>
  <c r="BF86" i="26"/>
  <c r="AW87" i="26"/>
  <c r="BF87" i="26"/>
  <c r="AV88" i="26"/>
  <c r="BD88" i="26"/>
  <c r="BB89" i="26"/>
  <c r="AW90" i="26"/>
  <c r="BJ104" i="26"/>
  <c r="AT107" i="26"/>
  <c r="BE107" i="26"/>
  <c r="AT108" i="26"/>
  <c r="BB108" i="26"/>
  <c r="AW109" i="26"/>
  <c r="BF109" i="26"/>
  <c r="AY123" i="26"/>
  <c r="AW125" i="26"/>
  <c r="BH126" i="26"/>
  <c r="BD127" i="26"/>
  <c r="AS131" i="26"/>
  <c r="AR131" i="26" s="1"/>
  <c r="AQ131" i="26" s="1"/>
  <c r="AA131" i="26" s="1"/>
  <c r="BB131" i="26"/>
  <c r="BK131" i="26"/>
  <c r="BD144" i="26"/>
  <c r="AT146" i="26"/>
  <c r="BD146" i="26"/>
  <c r="BB147" i="26"/>
  <c r="AW148" i="26"/>
  <c r="BF148" i="26"/>
  <c r="AV149" i="26"/>
  <c r="BE149" i="26"/>
  <c r="AY150" i="26"/>
  <c r="BG150" i="26"/>
  <c r="BF152" i="26"/>
  <c r="BI153" i="26"/>
  <c r="BC42" i="26"/>
  <c r="BF48" i="26"/>
  <c r="AS62" i="26"/>
  <c r="AR62" i="26" s="1"/>
  <c r="AQ62" i="26" s="1"/>
  <c r="Z62" i="26" s="1"/>
  <c r="BC62" i="26"/>
  <c r="BD63" i="26"/>
  <c r="AU69" i="26"/>
  <c r="BE69" i="26"/>
  <c r="AU82" i="26"/>
  <c r="BE82" i="26"/>
  <c r="AX86" i="26"/>
  <c r="BG86" i="26"/>
  <c r="AX87" i="26"/>
  <c r="BG87" i="26"/>
  <c r="BD89" i="26"/>
  <c r="AY90" i="26"/>
  <c r="AV107" i="26"/>
  <c r="BF107" i="26"/>
  <c r="BD108" i="26"/>
  <c r="AX109" i="26"/>
  <c r="BG109" i="26"/>
  <c r="BC123" i="26"/>
  <c r="AS127" i="26"/>
  <c r="AR127" i="26" s="1"/>
  <c r="AQ127" i="26" s="1"/>
  <c r="AA127" i="26" s="1"/>
  <c r="BE127" i="26"/>
  <c r="AS144" i="26"/>
  <c r="AR144" i="26" s="1"/>
  <c r="AQ144" i="26" s="1"/>
  <c r="BE144" i="26"/>
  <c r="AU146" i="26"/>
  <c r="BE146" i="26"/>
  <c r="BD147" i="26"/>
  <c r="AS42" i="26"/>
  <c r="AR42" i="26" s="1"/>
  <c r="AQ42" i="26" s="1"/>
  <c r="AA42" i="26" s="1"/>
  <c r="BD42" i="26"/>
  <c r="BD62" i="26"/>
  <c r="AV69" i="26"/>
  <c r="BF69" i="26"/>
  <c r="AV82" i="26"/>
  <c r="BF82" i="26"/>
  <c r="AX83" i="26"/>
  <c r="AU85" i="26"/>
  <c r="BD85" i="26"/>
  <c r="AY86" i="26"/>
  <c r="BI86" i="26"/>
  <c r="AY87" i="26"/>
  <c r="BI87" i="26"/>
  <c r="AX88" i="26"/>
  <c r="BF88" i="26"/>
  <c r="BE89" i="26"/>
  <c r="BA90" i="26"/>
  <c r="AZ104" i="26"/>
  <c r="AW107" i="26"/>
  <c r="BG107" i="26"/>
  <c r="AY109" i="26"/>
  <c r="BI109" i="26"/>
  <c r="BD123" i="26"/>
  <c r="BA125" i="26"/>
  <c r="AT127" i="26"/>
  <c r="BH127" i="26"/>
  <c r="AU131" i="26"/>
  <c r="BD131" i="26"/>
  <c r="AU144" i="26"/>
  <c r="BG144" i="26"/>
  <c r="AV146" i="26"/>
  <c r="BG146" i="26"/>
  <c r="BE147" i="26"/>
  <c r="BH148" i="26"/>
  <c r="AX149" i="26"/>
  <c r="BG149" i="26"/>
  <c r="AS153" i="26"/>
  <c r="AR153" i="26" s="1"/>
  <c r="AQ153" i="26" s="1"/>
  <c r="AA153" i="26" s="1"/>
  <c r="BA23" i="27"/>
  <c r="AX40" i="27"/>
  <c r="BH106" i="27"/>
  <c r="BE106" i="27"/>
  <c r="AS106" i="27"/>
  <c r="AR106" i="27" s="1"/>
  <c r="AQ106" i="27" s="1"/>
  <c r="AA106" i="27" s="1"/>
  <c r="BD106" i="27"/>
  <c r="BB106" i="27"/>
  <c r="BA106" i="27"/>
  <c r="BJ106" i="27"/>
  <c r="AW106" i="27"/>
  <c r="BI106" i="27"/>
  <c r="AV106" i="27"/>
  <c r="AW129" i="27"/>
  <c r="AW40" i="27"/>
  <c r="BH43" i="27"/>
  <c r="BK43" i="27"/>
  <c r="BB43" i="27"/>
  <c r="AS43" i="27"/>
  <c r="AR43" i="27" s="1"/>
  <c r="AQ43" i="27" s="1"/>
  <c r="AA43" i="27" s="1"/>
  <c r="BJ43" i="27"/>
  <c r="BA43" i="27"/>
  <c r="BI43" i="27"/>
  <c r="AY43" i="27"/>
  <c r="BG43" i="27"/>
  <c r="AX43" i="27"/>
  <c r="BE66" i="27"/>
  <c r="BD66" i="27"/>
  <c r="BA66" i="27"/>
  <c r="AZ66" i="27"/>
  <c r="BI66" i="27"/>
  <c r="AW66" i="27"/>
  <c r="BH66" i="27"/>
  <c r="AV66" i="27"/>
  <c r="BC23" i="27"/>
  <c r="BA40" i="27"/>
  <c r="AV43" i="27"/>
  <c r="BH126" i="27"/>
  <c r="AZ126" i="27"/>
  <c r="BG126" i="27"/>
  <c r="AY126" i="27"/>
  <c r="BF126" i="27"/>
  <c r="AX126" i="27"/>
  <c r="BE126" i="27"/>
  <c r="AW126" i="27"/>
  <c r="BK126" i="27"/>
  <c r="BC126" i="27"/>
  <c r="AU126" i="27"/>
  <c r="BJ126" i="27"/>
  <c r="BB126" i="27"/>
  <c r="AT126" i="27"/>
  <c r="BH111" i="27"/>
  <c r="BG111" i="27"/>
  <c r="AX111" i="27"/>
  <c r="BF111" i="27"/>
  <c r="AW111" i="27"/>
  <c r="BE111" i="27"/>
  <c r="AV111" i="27"/>
  <c r="BD111" i="27"/>
  <c r="AU111" i="27"/>
  <c r="BK111" i="27"/>
  <c r="BB111" i="27"/>
  <c r="AS111" i="27"/>
  <c r="AR111" i="27" s="1"/>
  <c r="AQ111" i="27" s="1"/>
  <c r="Z111" i="27" s="1"/>
  <c r="BJ111" i="27"/>
  <c r="BA111" i="27"/>
  <c r="BD23" i="27"/>
  <c r="AX25" i="27"/>
  <c r="AW26" i="27"/>
  <c r="BE26" i="27"/>
  <c r="BB40" i="27"/>
  <c r="AW43" i="27"/>
  <c r="BH46" i="27"/>
  <c r="BI46" i="27"/>
  <c r="AZ46" i="27"/>
  <c r="BG46" i="27"/>
  <c r="AY46" i="27"/>
  <c r="BF46" i="27"/>
  <c r="AX46" i="27"/>
  <c r="BE46" i="27"/>
  <c r="AW46" i="27"/>
  <c r="BJ81" i="27"/>
  <c r="BF89" i="27"/>
  <c r="BE89" i="27"/>
  <c r="AS89" i="27"/>
  <c r="AR89" i="27" s="1"/>
  <c r="AQ89" i="27" s="1"/>
  <c r="AA89" i="27" s="1"/>
  <c r="BD89" i="27"/>
  <c r="BB89" i="27"/>
  <c r="BA89" i="27"/>
  <c r="BJ89" i="27"/>
  <c r="AX89" i="27"/>
  <c r="BI89" i="27"/>
  <c r="AW89" i="27"/>
  <c r="AZ20" i="27"/>
  <c r="AX21" i="27"/>
  <c r="BI21" i="27"/>
  <c r="AT23" i="27"/>
  <c r="BF23" i="27"/>
  <c r="AX24" i="27"/>
  <c r="BI24" i="27"/>
  <c r="AY25" i="27"/>
  <c r="AX26" i="27"/>
  <c r="BF26" i="27"/>
  <c r="AV27" i="27"/>
  <c r="BD40" i="27"/>
  <c r="BJ42" i="27"/>
  <c r="BD42" i="27"/>
  <c r="BB42" i="27"/>
  <c r="BA42" i="27"/>
  <c r="AX42" i="27"/>
  <c r="BC43" i="27"/>
  <c r="AV46" i="27"/>
  <c r="AT111" i="27"/>
  <c r="BF129" i="27"/>
  <c r="AV129" i="27"/>
  <c r="BE129" i="27"/>
  <c r="AT129" i="27"/>
  <c r="BD129" i="27"/>
  <c r="AS129" i="27"/>
  <c r="AR129" i="27" s="1"/>
  <c r="AQ129" i="27" s="1"/>
  <c r="Z129" i="27" s="1"/>
  <c r="BB129" i="27"/>
  <c r="BJ129" i="27"/>
  <c r="AZ129" i="27"/>
  <c r="BI129" i="27"/>
  <c r="AX129" i="27"/>
  <c r="BD147" i="27"/>
  <c r="BB147" i="27"/>
  <c r="AZ147" i="27"/>
  <c r="AX147" i="27"/>
  <c r="BJ147" i="27"/>
  <c r="AT147" i="27"/>
  <c r="BH147" i="27"/>
  <c r="BA20" i="27"/>
  <c r="AU23" i="27"/>
  <c r="BH23" i="27"/>
  <c r="BC25" i="27"/>
  <c r="AY26" i="27"/>
  <c r="BG26" i="27"/>
  <c r="AW27" i="27"/>
  <c r="BF40" i="27"/>
  <c r="BK41" i="27"/>
  <c r="BC41" i="27"/>
  <c r="AU41" i="27"/>
  <c r="BJ41" i="27"/>
  <c r="BB41" i="27"/>
  <c r="AT41" i="27"/>
  <c r="BI41" i="27"/>
  <c r="BA41" i="27"/>
  <c r="AS41" i="27"/>
  <c r="AR41" i="27" s="1"/>
  <c r="AQ41" i="27" s="1"/>
  <c r="Z41" i="27" s="1"/>
  <c r="BH41" i="27"/>
  <c r="AZ41" i="27"/>
  <c r="BD43" i="27"/>
  <c r="AS66" i="27"/>
  <c r="AR66" i="27" s="1"/>
  <c r="AQ66" i="27" s="1"/>
  <c r="AA66" i="27" s="1"/>
  <c r="AT89" i="27"/>
  <c r="BG108" i="27"/>
  <c r="BJ108" i="27"/>
  <c r="AZ108" i="27"/>
  <c r="BI108" i="27"/>
  <c r="AX108" i="27"/>
  <c r="BH108" i="27"/>
  <c r="AW108" i="27"/>
  <c r="BF108" i="27"/>
  <c r="AV108" i="27"/>
  <c r="BD108" i="27"/>
  <c r="AS108" i="27"/>
  <c r="AR108" i="27" s="1"/>
  <c r="AQ108" i="27" s="1"/>
  <c r="AA108" i="27" s="1"/>
  <c r="BB108" i="27"/>
  <c r="AY111" i="27"/>
  <c r="AS126" i="27"/>
  <c r="AR126" i="27" s="1"/>
  <c r="AQ126" i="27" s="1"/>
  <c r="AA126" i="27" s="1"/>
  <c r="AZ23" i="27"/>
  <c r="AT43" i="27"/>
  <c r="BB20" i="27"/>
  <c r="AV23" i="27"/>
  <c r="BI23" i="27"/>
  <c r="BA24" i="27"/>
  <c r="BD25" i="27"/>
  <c r="AZ26" i="27"/>
  <c r="BH26" i="27"/>
  <c r="BA27" i="27"/>
  <c r="BG39" i="27"/>
  <c r="AS40" i="27"/>
  <c r="AR40" i="27" s="1"/>
  <c r="AQ40" i="27" s="1"/>
  <c r="AA40" i="27" s="1"/>
  <c r="BH40" i="27"/>
  <c r="AW41" i="27"/>
  <c r="AS42" i="27"/>
  <c r="AR42" i="27" s="1"/>
  <c r="AQ42" i="27" s="1"/>
  <c r="AA42" i="27" s="1"/>
  <c r="BE43" i="27"/>
  <c r="BB46" i="27"/>
  <c r="BI47" i="27"/>
  <c r="BF47" i="27"/>
  <c r="BA47" i="27"/>
  <c r="AZ47" i="27"/>
  <c r="AW47" i="27"/>
  <c r="BJ47" i="27"/>
  <c r="AX66" i="27"/>
  <c r="AZ89" i="27"/>
  <c r="AT106" i="27"/>
  <c r="BC111" i="27"/>
  <c r="AV126" i="27"/>
  <c r="BD20" i="27"/>
  <c r="BB21" i="27"/>
  <c r="AY23" i="27"/>
  <c r="BJ23" i="27"/>
  <c r="BF25" i="27"/>
  <c r="AS26" i="27"/>
  <c r="AR26" i="27" s="1"/>
  <c r="AQ26" i="27" s="1"/>
  <c r="AA26" i="27" s="1"/>
  <c r="BA26" i="27"/>
  <c r="BB27" i="27"/>
  <c r="AV40" i="27"/>
  <c r="BI40" i="27"/>
  <c r="AX41" i="27"/>
  <c r="AV42" i="27"/>
  <c r="BF43" i="27"/>
  <c r="BC46" i="27"/>
  <c r="BF66" i="27"/>
  <c r="BH89" i="27"/>
  <c r="BI105" i="27"/>
  <c r="BH105" i="27"/>
  <c r="BE105" i="27"/>
  <c r="BA105" i="27"/>
  <c r="AW105" i="27"/>
  <c r="AV105" i="27"/>
  <c r="AX106" i="27"/>
  <c r="BH109" i="27"/>
  <c r="AT109" i="27"/>
  <c r="BI111" i="27"/>
  <c r="BA126" i="27"/>
  <c r="AZ103" i="27"/>
  <c r="AT104" i="27"/>
  <c r="BE104" i="27"/>
  <c r="BD123" i="27"/>
  <c r="BG124" i="27"/>
  <c r="AT132" i="27"/>
  <c r="BF132" i="27"/>
  <c r="AU144" i="27"/>
  <c r="BE144" i="27"/>
  <c r="AZ146" i="27"/>
  <c r="BK146" i="27"/>
  <c r="AS149" i="27"/>
  <c r="AR149" i="27" s="1"/>
  <c r="AQ149" i="27" s="1"/>
  <c r="Z149" i="27" s="1"/>
  <c r="BE149" i="27"/>
  <c r="AW150" i="27"/>
  <c r="BK150" i="27"/>
  <c r="AS151" i="27"/>
  <c r="AR151" i="27" s="1"/>
  <c r="AQ151" i="27" s="1"/>
  <c r="Z151" i="27" s="1"/>
  <c r="BD151" i="27"/>
  <c r="AU153" i="27"/>
  <c r="BC153" i="27"/>
  <c r="BK153" i="27"/>
  <c r="AX62" i="27"/>
  <c r="BA81" i="27"/>
  <c r="AW83" i="27"/>
  <c r="BE83" i="27"/>
  <c r="AT84" i="27"/>
  <c r="AU45" i="27"/>
  <c r="BC45" i="27"/>
  <c r="BK45" i="27"/>
  <c r="BB60" i="27"/>
  <c r="BH61" i="27"/>
  <c r="BB62" i="27"/>
  <c r="BA63" i="27"/>
  <c r="AW65" i="27"/>
  <c r="BH65" i="27"/>
  <c r="AV68" i="27"/>
  <c r="AV69" i="27"/>
  <c r="BJ69" i="27"/>
  <c r="BD81" i="27"/>
  <c r="AV82" i="27"/>
  <c r="AY83" i="27"/>
  <c r="BG83" i="27"/>
  <c r="AZ84" i="27"/>
  <c r="BA86" i="27"/>
  <c r="BJ86" i="27"/>
  <c r="AS87" i="27"/>
  <c r="AR87" i="27" s="1"/>
  <c r="AQ87" i="27" s="1"/>
  <c r="AA87" i="27" s="1"/>
  <c r="BA87" i="27"/>
  <c r="BJ87" i="27"/>
  <c r="AT88" i="27"/>
  <c r="BB88" i="27"/>
  <c r="BJ88" i="27"/>
  <c r="BH103" i="27"/>
  <c r="AX104" i="27"/>
  <c r="BI104" i="27"/>
  <c r="AV107" i="27"/>
  <c r="BF107" i="27"/>
  <c r="AS123" i="27"/>
  <c r="AR123" i="27" s="1"/>
  <c r="AQ123" i="27" s="1"/>
  <c r="AA123" i="27" s="1"/>
  <c r="AA134" i="27" s="1"/>
  <c r="BI123" i="27"/>
  <c r="BK124" i="27"/>
  <c r="BE131" i="27"/>
  <c r="AY132" i="27"/>
  <c r="BK132" i="27"/>
  <c r="AY144" i="27"/>
  <c r="BI144" i="27"/>
  <c r="AS146" i="27"/>
  <c r="AR146" i="27" s="1"/>
  <c r="AQ146" i="27" s="1"/>
  <c r="Z146" i="27" s="1"/>
  <c r="BD146" i="27"/>
  <c r="BD148" i="27"/>
  <c r="AW149" i="27"/>
  <c r="BK149" i="27"/>
  <c r="BC150" i="27"/>
  <c r="AW151" i="27"/>
  <c r="BH151" i="27"/>
  <c r="AX153" i="27"/>
  <c r="BF153" i="27"/>
  <c r="BI61" i="27"/>
  <c r="BD62" i="27"/>
  <c r="BC63" i="27"/>
  <c r="AX64" i="27"/>
  <c r="AX65" i="27"/>
  <c r="BI65" i="27"/>
  <c r="AS81" i="27"/>
  <c r="AR81" i="27" s="1"/>
  <c r="AQ81" i="27" s="1"/>
  <c r="Z81" i="27" s="1"/>
  <c r="Z92" i="27" s="1"/>
  <c r="BE81" i="27"/>
  <c r="AZ82" i="27"/>
  <c r="AZ83" i="27"/>
  <c r="BH83" i="27"/>
  <c r="BA84" i="27"/>
  <c r="AS86" i="27"/>
  <c r="AR86" i="27" s="1"/>
  <c r="AQ86" i="27" s="1"/>
  <c r="AA86" i="27" s="1"/>
  <c r="BB86" i="27"/>
  <c r="BK86" i="27"/>
  <c r="AT87" i="27"/>
  <c r="BB87" i="27"/>
  <c r="BK87" i="27"/>
  <c r="AU88" i="27"/>
  <c r="BC88" i="27"/>
  <c r="BK88" i="27"/>
  <c r="BI103" i="27"/>
  <c r="AZ104" i="27"/>
  <c r="BJ104" i="27"/>
  <c r="AW107" i="27"/>
  <c r="BI107" i="27"/>
  <c r="BA144" i="27"/>
  <c r="AU146" i="27"/>
  <c r="BE146" i="27"/>
  <c r="BD150" i="27"/>
  <c r="AY151" i="27"/>
  <c r="BI151" i="27"/>
  <c r="AY153" i="27"/>
  <c r="BG153" i="27"/>
  <c r="AW45" i="27"/>
  <c r="BE45" i="27"/>
  <c r="BF62" i="27"/>
  <c r="BD63" i="27"/>
  <c r="AZ64" i="27"/>
  <c r="AZ65" i="27"/>
  <c r="AU81" i="27"/>
  <c r="BG81" i="27"/>
  <c r="BA82" i="27"/>
  <c r="AS83" i="27"/>
  <c r="AR83" i="27" s="1"/>
  <c r="AQ83" i="27" s="1"/>
  <c r="Z83" i="27" s="1"/>
  <c r="BA83" i="27"/>
  <c r="BI83" i="27"/>
  <c r="BE84" i="27"/>
  <c r="AV90" i="27"/>
  <c r="AX107" i="27"/>
  <c r="BJ107" i="27"/>
  <c r="AX123" i="27"/>
  <c r="BD124" i="27"/>
  <c r="BB125" i="27"/>
  <c r="AV127" i="27"/>
  <c r="BB132" i="27"/>
  <c r="AV146" i="27"/>
  <c r="BG146" i="27"/>
  <c r="AS150" i="27"/>
  <c r="AR150" i="27" s="1"/>
  <c r="AQ150" i="27" s="1"/>
  <c r="Z150" i="27" s="1"/>
  <c r="BE150" i="27"/>
  <c r="AZ153" i="27"/>
  <c r="BH153" i="27"/>
  <c r="AX45" i="27"/>
  <c r="AW61" i="27"/>
  <c r="AS62" i="27"/>
  <c r="AR62" i="27" s="1"/>
  <c r="AQ62" i="27" s="1"/>
  <c r="AA62" i="27" s="1"/>
  <c r="BH62" i="27"/>
  <c r="BG63" i="27"/>
  <c r="BA69" i="27"/>
  <c r="AW81" i="27"/>
  <c r="BE82" i="27"/>
  <c r="AT83" i="27"/>
  <c r="BB83" i="27"/>
  <c r="BF84" i="27"/>
  <c r="AV85" i="27"/>
  <c r="BE85" i="27"/>
  <c r="AU86" i="27"/>
  <c r="BD86" i="27"/>
  <c r="AV87" i="27"/>
  <c r="BD87" i="27"/>
  <c r="AW88" i="27"/>
  <c r="BA90" i="27"/>
  <c r="AV103" i="27"/>
  <c r="BB127" i="27"/>
  <c r="BC132" i="27"/>
  <c r="AS144" i="27"/>
  <c r="AR144" i="27" s="1"/>
  <c r="AR155" i="27" s="1"/>
  <c r="BC144" i="27"/>
  <c r="AW146" i="27"/>
  <c r="BH146" i="27"/>
  <c r="AU150" i="27"/>
  <c r="BG150" i="27"/>
  <c r="AS153" i="27"/>
  <c r="AR153" i="27" s="1"/>
  <c r="AQ153" i="27" s="1"/>
  <c r="Z153" i="27" s="1"/>
  <c r="BA153" i="27"/>
  <c r="BC24" i="28"/>
  <c r="AY109" i="28"/>
  <c r="AX26" i="28"/>
  <c r="AV45" i="28"/>
  <c r="AU47" i="28"/>
  <c r="BC48" i="28"/>
  <c r="AT63" i="28"/>
  <c r="AX64" i="28"/>
  <c r="BC66" i="28"/>
  <c r="BF108" i="28"/>
  <c r="AZ18" i="28"/>
  <c r="AT19" i="28"/>
  <c r="BD19" i="28"/>
  <c r="AS22" i="28"/>
  <c r="AR22" i="28" s="1"/>
  <c r="AQ22" i="28" s="1"/>
  <c r="AA22" i="28" s="1"/>
  <c r="BB22" i="28"/>
  <c r="BK22" i="28"/>
  <c r="AZ23" i="28"/>
  <c r="BI23" i="28"/>
  <c r="AU24" i="28"/>
  <c r="BD24" i="28"/>
  <c r="AW25" i="28"/>
  <c r="BG25" i="28"/>
  <c r="AY26" i="28"/>
  <c r="BG26" i="28"/>
  <c r="AZ27" i="28"/>
  <c r="AZ40" i="28"/>
  <c r="AY42" i="28"/>
  <c r="AZ43" i="28"/>
  <c r="AW45" i="28"/>
  <c r="AV47" i="28"/>
  <c r="BD48" i="28"/>
  <c r="AW60" i="28"/>
  <c r="BF60" i="28"/>
  <c r="BJ61" i="28"/>
  <c r="AU63" i="28"/>
  <c r="BD63" i="28"/>
  <c r="AY64" i="28"/>
  <c r="BD66" i="28"/>
  <c r="BH67" i="28"/>
  <c r="BD81" i="28"/>
  <c r="AT83" i="28"/>
  <c r="BD83" i="28"/>
  <c r="BH84" i="28"/>
  <c r="AZ89" i="28"/>
  <c r="BJ89" i="28"/>
  <c r="AY103" i="28"/>
  <c r="BI103" i="28"/>
  <c r="AY104" i="28"/>
  <c r="BH104" i="28"/>
  <c r="AV106" i="28"/>
  <c r="BJ106" i="28"/>
  <c r="AZ107" i="28"/>
  <c r="BI107" i="28"/>
  <c r="AY108" i="28"/>
  <c r="BG108" i="28"/>
  <c r="BB109" i="28"/>
  <c r="BH124" i="28"/>
  <c r="BJ125" i="28"/>
  <c r="BJ126" i="28"/>
  <c r="AU127" i="28"/>
  <c r="BE128" i="28"/>
  <c r="AV130" i="28"/>
  <c r="BF130" i="28"/>
  <c r="AS144" i="28"/>
  <c r="AR144" i="28" s="1"/>
  <c r="AR155" i="28" s="1"/>
  <c r="BD144" i="28"/>
  <c r="BE147" i="28"/>
  <c r="AX148" i="28"/>
  <c r="BF148" i="28"/>
  <c r="AS149" i="28"/>
  <c r="AR149" i="28" s="1"/>
  <c r="AQ149" i="28" s="1"/>
  <c r="BA149" i="28"/>
  <c r="BI149" i="28"/>
  <c r="AT150" i="28"/>
  <c r="BB150" i="28"/>
  <c r="BJ150" i="28"/>
  <c r="BD152" i="28"/>
  <c r="BF26" i="28"/>
  <c r="AX108" i="28"/>
  <c r="BD18" i="28"/>
  <c r="AU19" i="28"/>
  <c r="BE19" i="28"/>
  <c r="BA23" i="28"/>
  <c r="BJ23" i="28"/>
  <c r="AV24" i="28"/>
  <c r="BF24" i="28"/>
  <c r="AX25" i="28"/>
  <c r="BJ25" i="28"/>
  <c r="AZ26" i="28"/>
  <c r="BH26" i="28"/>
  <c r="BD27" i="28"/>
  <c r="BD40" i="28"/>
  <c r="AZ42" i="28"/>
  <c r="BA43" i="28"/>
  <c r="AZ45" i="28"/>
  <c r="AY47" i="28"/>
  <c r="AT48" i="28"/>
  <c r="BF48" i="28"/>
  <c r="AX60" i="28"/>
  <c r="BG60" i="28"/>
  <c r="BK61" i="28"/>
  <c r="AV62" i="28"/>
  <c r="AV63" i="28"/>
  <c r="BE63" i="28"/>
  <c r="BB64" i="28"/>
  <c r="AT66" i="28"/>
  <c r="BF66" i="28"/>
  <c r="AY67" i="28"/>
  <c r="BJ67" i="28"/>
  <c r="BD68" i="28"/>
  <c r="AU83" i="28"/>
  <c r="BE83" i="28"/>
  <c r="BI84" i="28"/>
  <c r="BB89" i="28"/>
  <c r="BK89" i="28"/>
  <c r="AS102" i="28"/>
  <c r="AR102" i="28" s="1"/>
  <c r="AR113" i="28" s="1"/>
  <c r="BA103" i="28"/>
  <c r="BJ103" i="28"/>
  <c r="AZ104" i="28"/>
  <c r="BJ104" i="28"/>
  <c r="BK106" i="28"/>
  <c r="BA107" i="28"/>
  <c r="BJ107" i="28"/>
  <c r="AZ108" i="28"/>
  <c r="BH108" i="28"/>
  <c r="BD109" i="28"/>
  <c r="AY110" i="28"/>
  <c r="BI110" i="28"/>
  <c r="BK126" i="28"/>
  <c r="AV127" i="28"/>
  <c r="BF128" i="28"/>
  <c r="AX130" i="28"/>
  <c r="BG130" i="28"/>
  <c r="AT149" i="28"/>
  <c r="BB149" i="28"/>
  <c r="BJ149" i="28"/>
  <c r="BE18" i="28"/>
  <c r="AV19" i="28"/>
  <c r="BF19" i="28"/>
  <c r="AU22" i="28"/>
  <c r="BD22" i="28"/>
  <c r="AS23" i="28"/>
  <c r="AR23" i="28" s="1"/>
  <c r="AQ23" i="28" s="1"/>
  <c r="Z23" i="28" s="1"/>
  <c r="BB23" i="28"/>
  <c r="BK23" i="28"/>
  <c r="AX24" i="28"/>
  <c r="BG24" i="28"/>
  <c r="AY25" i="28"/>
  <c r="BK25" i="28"/>
  <c r="AS26" i="28"/>
  <c r="AR26" i="28" s="1"/>
  <c r="AQ26" i="28" s="1"/>
  <c r="AA26" i="28" s="1"/>
  <c r="BA26" i="28"/>
  <c r="BI26" i="28"/>
  <c r="BE27" i="28"/>
  <c r="BK40" i="28"/>
  <c r="AS41" i="28"/>
  <c r="AR41" i="28" s="1"/>
  <c r="AQ41" i="28" s="1"/>
  <c r="AA41" i="28" s="1"/>
  <c r="BC42" i="28"/>
  <c r="BD43" i="28"/>
  <c r="BA45" i="28"/>
  <c r="AZ47" i="28"/>
  <c r="AU48" i="28"/>
  <c r="BG48" i="28"/>
  <c r="AY60" i="28"/>
  <c r="BI60" i="28"/>
  <c r="AY62" i="28"/>
  <c r="AW63" i="28"/>
  <c r="BF63" i="28"/>
  <c r="BC64" i="28"/>
  <c r="AU66" i="28"/>
  <c r="BG66" i="28"/>
  <c r="AZ67" i="28"/>
  <c r="BK67" i="28"/>
  <c r="BE68" i="28"/>
  <c r="AS82" i="28"/>
  <c r="AR82" i="28" s="1"/>
  <c r="AQ82" i="28" s="1"/>
  <c r="Z82" i="28" s="1"/>
  <c r="AV83" i="28"/>
  <c r="BF83" i="28"/>
  <c r="AS85" i="28"/>
  <c r="AR85" i="28" s="1"/>
  <c r="AQ85" i="28" s="1"/>
  <c r="BB104" i="28"/>
  <c r="BK104" i="28"/>
  <c r="AS107" i="28"/>
  <c r="AR107" i="28" s="1"/>
  <c r="AQ107" i="28" s="1"/>
  <c r="AA107" i="28" s="1"/>
  <c r="BB107" i="28"/>
  <c r="BK107" i="28"/>
  <c r="AS108" i="28"/>
  <c r="AR108" i="28" s="1"/>
  <c r="AQ108" i="28" s="1"/>
  <c r="AA108" i="28" s="1"/>
  <c r="BA108" i="28"/>
  <c r="BI108" i="28"/>
  <c r="BE109" i="28"/>
  <c r="BJ110" i="28"/>
  <c r="BB125" i="28"/>
  <c r="AX127" i="28"/>
  <c r="AU128" i="28"/>
  <c r="BG128" i="28"/>
  <c r="AY130" i="28"/>
  <c r="BH130" i="28"/>
  <c r="AU144" i="28"/>
  <c r="BH144" i="28"/>
  <c r="BH148" i="28"/>
  <c r="AU149" i="28"/>
  <c r="BC149" i="28"/>
  <c r="BK149" i="28"/>
  <c r="BG152" i="28"/>
  <c r="AT24" i="28"/>
  <c r="AV42" i="28"/>
  <c r="BH18" i="28"/>
  <c r="AW19" i="28"/>
  <c r="BG19" i="28"/>
  <c r="AY24" i="28"/>
  <c r="BH24" i="28"/>
  <c r="AT26" i="28"/>
  <c r="BB26" i="28"/>
  <c r="BJ26" i="28"/>
  <c r="BH27" i="28"/>
  <c r="BG42" i="28"/>
  <c r="BE43" i="28"/>
  <c r="BE45" i="28"/>
  <c r="AS46" i="28"/>
  <c r="AR46" i="28" s="1"/>
  <c r="AQ46" i="28" s="1"/>
  <c r="Z46" i="28" s="1"/>
  <c r="BC47" i="28"/>
  <c r="AV48" i="28"/>
  <c r="BJ48" i="28"/>
  <c r="AZ62" i="28"/>
  <c r="AX63" i="28"/>
  <c r="BG63" i="28"/>
  <c r="BD64" i="28"/>
  <c r="AV66" i="28"/>
  <c r="BJ66" i="28"/>
  <c r="BD82" i="28"/>
  <c r="AW83" i="28"/>
  <c r="BI83" i="28"/>
  <c r="BA85" i="28"/>
  <c r="AT108" i="28"/>
  <c r="BB108" i="28"/>
  <c r="BJ108" i="28"/>
  <c r="BG109" i="28"/>
  <c r="BF127" i="28"/>
  <c r="AZ130" i="28"/>
  <c r="BI130" i="28"/>
  <c r="BC63" i="28"/>
  <c r="AX19" i="28"/>
  <c r="BJ19" i="28"/>
  <c r="AV20" i="28"/>
  <c r="AZ24" i="28"/>
  <c r="BI24" i="28"/>
  <c r="AU26" i="28"/>
  <c r="BC26" i="28"/>
  <c r="BK26" i="28"/>
  <c r="BH42" i="28"/>
  <c r="BH45" i="28"/>
  <c r="AV46" i="28"/>
  <c r="BD47" i="28"/>
  <c r="AX48" i="28"/>
  <c r="BK48" i="28"/>
  <c r="BD62" i="28"/>
  <c r="AY63" i="28"/>
  <c r="BI63" i="28"/>
  <c r="BG64" i="28"/>
  <c r="AU65" i="28"/>
  <c r="AX66" i="28"/>
  <c r="BK66" i="28"/>
  <c r="BI82" i="28"/>
  <c r="AX83" i="28"/>
  <c r="BJ83" i="28"/>
  <c r="BC85" i="28"/>
  <c r="AX86" i="28"/>
  <c r="AV89" i="28"/>
  <c r="BE89" i="28"/>
  <c r="BE90" i="28"/>
  <c r="BD102" i="28"/>
  <c r="BD103" i="28"/>
  <c r="AU104" i="28"/>
  <c r="BD104" i="28"/>
  <c r="BC106" i="28"/>
  <c r="AU107" i="28"/>
  <c r="BD107" i="28"/>
  <c r="AU108" i="28"/>
  <c r="BC108" i="28"/>
  <c r="BK108" i="28"/>
  <c r="AV109" i="28"/>
  <c r="BJ109" i="28"/>
  <c r="BA124" i="28"/>
  <c r="BE125" i="28"/>
  <c r="BK127" i="28"/>
  <c r="BA130" i="28"/>
  <c r="BJ130" i="28"/>
  <c r="AV131" i="28"/>
  <c r="AZ144" i="28"/>
  <c r="AV147" i="28"/>
  <c r="AT148" i="28"/>
  <c r="BB148" i="28"/>
  <c r="AW149" i="28"/>
  <c r="BE149" i="28"/>
  <c r="AX150" i="28"/>
  <c r="BF150" i="28"/>
  <c r="BD151" i="28"/>
  <c r="AS24" i="28"/>
  <c r="AR24" i="28" s="1"/>
  <c r="AQ24" i="28" s="1"/>
  <c r="AA24" i="28" s="1"/>
  <c r="BB24" i="28"/>
  <c r="BK24" i="28"/>
  <c r="AW26" i="28"/>
  <c r="BB39" i="28"/>
  <c r="BI46" i="28"/>
  <c r="BK47" i="28"/>
  <c r="BB48" i="28"/>
  <c r="AS63" i="28"/>
  <c r="AR63" i="28" s="1"/>
  <c r="AQ63" i="28" s="1"/>
  <c r="Z63" i="28" s="1"/>
  <c r="BB63" i="28"/>
  <c r="BK63" i="28"/>
  <c r="AV64" i="28"/>
  <c r="BK64" i="28"/>
  <c r="BB66" i="28"/>
  <c r="BK86" i="28"/>
  <c r="AW108" i="28"/>
  <c r="AX109" i="28"/>
  <c r="BB131" i="28"/>
  <c r="AY149" i="28"/>
  <c r="AZ150" i="28"/>
  <c r="AW152" i="28"/>
  <c r="AV20" i="29"/>
  <c r="BH25" i="29"/>
  <c r="AW26" i="29"/>
  <c r="AZ20" i="29"/>
  <c r="AX26" i="29"/>
  <c r="BD20" i="29"/>
  <c r="AZ26" i="29"/>
  <c r="BD26" i="29"/>
  <c r="AT23" i="29"/>
  <c r="BE26" i="29"/>
  <c r="AX23" i="29"/>
  <c r="BF26" i="29"/>
  <c r="BH24" i="29"/>
  <c r="BH26" i="29"/>
  <c r="AI41" i="20"/>
  <c r="AF22" i="20"/>
  <c r="AF23" i="20"/>
  <c r="AF24" i="20"/>
  <c r="AC27" i="20"/>
  <c r="AI19" i="20"/>
  <c r="AH22" i="20"/>
  <c r="AH23" i="20"/>
  <c r="AH24" i="20"/>
  <c r="AP24" i="20"/>
  <c r="AH25" i="20"/>
  <c r="AH26" i="20"/>
  <c r="AJ27" i="20"/>
  <c r="AB40" i="20"/>
  <c r="AK41" i="20"/>
  <c r="AJ42" i="20"/>
  <c r="AH43" i="20"/>
  <c r="AH44" i="20"/>
  <c r="AF45" i="20"/>
  <c r="AL48" i="20"/>
  <c r="AB62" i="20"/>
  <c r="AC81" i="20"/>
  <c r="AC92" i="20" s="1"/>
  <c r="AP85" i="20"/>
  <c r="AB89" i="20"/>
  <c r="AB104" i="20"/>
  <c r="AC106" i="20"/>
  <c r="AC110" i="20"/>
  <c r="AB123" i="20"/>
  <c r="AB134" i="20" s="1"/>
  <c r="AP128" i="20"/>
  <c r="AC130" i="20"/>
  <c r="AP131" i="20"/>
  <c r="AB144" i="20"/>
  <c r="AB155" i="20" s="1"/>
  <c r="AC145" i="20"/>
  <c r="AC146" i="20"/>
  <c r="AG21" i="21"/>
  <c r="AF23" i="21"/>
  <c r="AG24" i="21"/>
  <c r="AE25" i="21"/>
  <c r="AP25" i="21"/>
  <c r="AJ27" i="21"/>
  <c r="AO50" i="21"/>
  <c r="AB39" i="21"/>
  <c r="AB50" i="21" s="1"/>
  <c r="AB40" i="21"/>
  <c r="AD46" i="21"/>
  <c r="AL41" i="20"/>
  <c r="AM48" i="20"/>
  <c r="AC123" i="20"/>
  <c r="AC134" i="20" s="1"/>
  <c r="AC144" i="20"/>
  <c r="AC155" i="20" s="1"/>
  <c r="AC40" i="21"/>
  <c r="AJ43" i="21"/>
  <c r="AK43" i="21"/>
  <c r="AL45" i="21"/>
  <c r="AJ45" i="21"/>
  <c r="AE46" i="21"/>
  <c r="AB65" i="21"/>
  <c r="AP65" i="21"/>
  <c r="AP20" i="21"/>
  <c r="AB20" i="21"/>
  <c r="AI27" i="21"/>
  <c r="AF27" i="21"/>
  <c r="AP43" i="21"/>
  <c r="AC43" i="21"/>
  <c r="AC48" i="21"/>
  <c r="AB48" i="21"/>
  <c r="AB86" i="21"/>
  <c r="AP86" i="21"/>
  <c r="AK24" i="20"/>
  <c r="AD41" i="20"/>
  <c r="AJ45" i="20"/>
  <c r="AD48" i="20"/>
  <c r="AP84" i="20"/>
  <c r="AP103" i="20"/>
  <c r="AP106" i="20"/>
  <c r="AB108" i="20"/>
  <c r="AP108" i="20"/>
  <c r="AP123" i="20"/>
  <c r="AP134" i="20" s="1"/>
  <c r="AC125" i="20"/>
  <c r="AP129" i="20"/>
  <c r="AP130" i="20"/>
  <c r="AP145" i="20"/>
  <c r="AJ23" i="21"/>
  <c r="AK24" i="21"/>
  <c r="AI25" i="21"/>
  <c r="AH46" i="21"/>
  <c r="AP48" i="21"/>
  <c r="AL24" i="20"/>
  <c r="AL26" i="20"/>
  <c r="AF41" i="20"/>
  <c r="AK45" i="20"/>
  <c r="AG46" i="20"/>
  <c r="AE48" i="20"/>
  <c r="AO50" i="20"/>
  <c r="AC67" i="20"/>
  <c r="AP69" i="20"/>
  <c r="AB111" i="20"/>
  <c r="AK22" i="21"/>
  <c r="AG22" i="21"/>
  <c r="AL23" i="21"/>
  <c r="AK25" i="21"/>
  <c r="AB43" i="21"/>
  <c r="AK46" i="21"/>
  <c r="AC65" i="21"/>
  <c r="AP104" i="21"/>
  <c r="AB104" i="21"/>
  <c r="AD24" i="20"/>
  <c r="AM24" i="20"/>
  <c r="AG41" i="20"/>
  <c r="AE43" i="20"/>
  <c r="AE44" i="20"/>
  <c r="AM45" i="20"/>
  <c r="AF48" i="20"/>
  <c r="AO155" i="20"/>
  <c r="AM24" i="21"/>
  <c r="AE24" i="21"/>
  <c r="AI24" i="21"/>
  <c r="AD43" i="21"/>
  <c r="AE24" i="20"/>
  <c r="AG48" i="20"/>
  <c r="AB105" i="20"/>
  <c r="AG23" i="21"/>
  <c r="AK23" i="21"/>
  <c r="AJ25" i="21"/>
  <c r="AH25" i="21"/>
  <c r="AM25" i="21"/>
  <c r="AD25" i="21"/>
  <c r="AL44" i="21"/>
  <c r="AD44" i="21"/>
  <c r="AI46" i="21"/>
  <c r="AM46" i="21"/>
  <c r="AG46" i="21"/>
  <c r="AC86" i="21"/>
  <c r="AG25" i="20"/>
  <c r="AJ41" i="20"/>
  <c r="AE45" i="20"/>
  <c r="AH48" i="20"/>
  <c r="AC105" i="20"/>
  <c r="AB129" i="20"/>
  <c r="AP149" i="20"/>
  <c r="AE23" i="21"/>
  <c r="AB45" i="21"/>
  <c r="AB46" i="21"/>
  <c r="AC46" i="21"/>
  <c r="AJ47" i="21"/>
  <c r="AG47" i="21"/>
  <c r="AM47" i="21"/>
  <c r="AC61" i="21"/>
  <c r="AP61" i="21"/>
  <c r="AB61" i="21"/>
  <c r="AE40" i="21"/>
  <c r="AC102" i="21"/>
  <c r="AC113" i="21" s="1"/>
  <c r="AP126" i="21"/>
  <c r="AJ19" i="22"/>
  <c r="AD22" i="22"/>
  <c r="AM23" i="22"/>
  <c r="AD24" i="22"/>
  <c r="AK26" i="22"/>
  <c r="AL27" i="22"/>
  <c r="AD40" i="22"/>
  <c r="AP40" i="22"/>
  <c r="AM41" i="22"/>
  <c r="AF42" i="22"/>
  <c r="AD43" i="22"/>
  <c r="AL43" i="22"/>
  <c r="AH45" i="22"/>
  <c r="AP45" i="22"/>
  <c r="AH47" i="22"/>
  <c r="AJ48" i="22"/>
  <c r="AB60" i="22"/>
  <c r="AB71" i="22" s="1"/>
  <c r="AB67" i="22"/>
  <c r="AC106" i="22"/>
  <c r="AB130" i="22"/>
  <c r="AC132" i="22"/>
  <c r="AC144" i="22"/>
  <c r="AC155" i="22" s="1"/>
  <c r="AP148" i="22"/>
  <c r="AB149" i="22"/>
  <c r="AL20" i="23"/>
  <c r="AG21" i="23"/>
  <c r="AB22" i="23"/>
  <c r="AJ25" i="23"/>
  <c r="AB26" i="23"/>
  <c r="AJ27" i="23"/>
  <c r="AI41" i="23"/>
  <c r="AD42" i="23"/>
  <c r="AH44" i="23"/>
  <c r="AP45" i="23"/>
  <c r="AE46" i="23"/>
  <c r="AM46" i="23"/>
  <c r="AH47" i="23"/>
  <c r="AC61" i="23"/>
  <c r="AC82" i="23"/>
  <c r="AC83" i="23"/>
  <c r="AP86" i="23"/>
  <c r="AP104" i="23"/>
  <c r="AP111" i="23"/>
  <c r="AP124" i="23"/>
  <c r="AB128" i="23"/>
  <c r="AM20" i="24"/>
  <c r="AF20" i="24"/>
  <c r="AJ23" i="24"/>
  <c r="AK24" i="24"/>
  <c r="AO50" i="24"/>
  <c r="AC39" i="24"/>
  <c r="AC50" i="24" s="1"/>
  <c r="AL41" i="24"/>
  <c r="AF45" i="24"/>
  <c r="AH47" i="24"/>
  <c r="AI47" i="24"/>
  <c r="AE48" i="24"/>
  <c r="AB109" i="21"/>
  <c r="AK19" i="22"/>
  <c r="AE24" i="22"/>
  <c r="AL26" i="22"/>
  <c r="AC39" i="22"/>
  <c r="AC50" i="22" s="1"/>
  <c r="AF40" i="22"/>
  <c r="AG42" i="22"/>
  <c r="AE43" i="22"/>
  <c r="AM43" i="22"/>
  <c r="AI45" i="22"/>
  <c r="AI47" i="22"/>
  <c r="AK48" i="22"/>
  <c r="AC60" i="22"/>
  <c r="AC71" i="22" s="1"/>
  <c r="AC67" i="22"/>
  <c r="AB88" i="22"/>
  <c r="AC127" i="22"/>
  <c r="AC130" i="22"/>
  <c r="AC26" i="23"/>
  <c r="AK27" i="23"/>
  <c r="AJ41" i="23"/>
  <c r="AE42" i="23"/>
  <c r="AI44" i="23"/>
  <c r="AL47" i="23"/>
  <c r="AB86" i="23"/>
  <c r="AL23" i="24"/>
  <c r="AJ42" i="24"/>
  <c r="AI42" i="24"/>
  <c r="AI45" i="24"/>
  <c r="AP47" i="24"/>
  <c r="AB47" i="24"/>
  <c r="AG48" i="24"/>
  <c r="AC69" i="24"/>
  <c r="AP69" i="24"/>
  <c r="AC88" i="24"/>
  <c r="AB88" i="24"/>
  <c r="AP88" i="24"/>
  <c r="AP110" i="24"/>
  <c r="AC110" i="24"/>
  <c r="AP102" i="21"/>
  <c r="AP113" i="21" s="1"/>
  <c r="AP105" i="21"/>
  <c r="AF24" i="22"/>
  <c r="AG40" i="22"/>
  <c r="AH42" i="22"/>
  <c r="AB45" i="22"/>
  <c r="AJ45" i="22"/>
  <c r="AB83" i="22"/>
  <c r="AC88" i="22"/>
  <c r="AP105" i="22"/>
  <c r="AF19" i="23"/>
  <c r="AJ22" i="23"/>
  <c r="AL27" i="23"/>
  <c r="AP40" i="23"/>
  <c r="AK41" i="23"/>
  <c r="AF42" i="23"/>
  <c r="AE43" i="23"/>
  <c r="AM44" i="23"/>
  <c r="AG46" i="23"/>
  <c r="AM47" i="23"/>
  <c r="AB62" i="23"/>
  <c r="AC64" i="23"/>
  <c r="AC66" i="23"/>
  <c r="AP69" i="23"/>
  <c r="AP87" i="23"/>
  <c r="AB131" i="23"/>
  <c r="AP132" i="23"/>
  <c r="AP147" i="23"/>
  <c r="AP149" i="23"/>
  <c r="AB24" i="24"/>
  <c r="AG24" i="24"/>
  <c r="AI24" i="24"/>
  <c r="AM24" i="24"/>
  <c r="AD24" i="24"/>
  <c r="AG41" i="24"/>
  <c r="AK41" i="24"/>
  <c r="AJ45" i="24"/>
  <c r="AH48" i="24"/>
  <c r="AP145" i="21"/>
  <c r="AB18" i="22"/>
  <c r="AB29" i="22" s="1"/>
  <c r="AG24" i="22"/>
  <c r="AH40" i="22"/>
  <c r="AI42" i="22"/>
  <c r="AK45" i="22"/>
  <c r="AB47" i="22"/>
  <c r="AB82" i="22"/>
  <c r="AL41" i="23"/>
  <c r="AB87" i="23"/>
  <c r="AB149" i="23"/>
  <c r="AG23" i="24"/>
  <c r="AK23" i="24"/>
  <c r="AF23" i="24"/>
  <c r="AI48" i="24"/>
  <c r="AB89" i="24"/>
  <c r="AP89" i="24"/>
  <c r="AB110" i="24"/>
  <c r="AI19" i="21"/>
  <c r="AG26" i="21"/>
  <c r="AC47" i="21"/>
  <c r="AI48" i="21"/>
  <c r="AC87" i="21"/>
  <c r="AP109" i="21"/>
  <c r="AO113" i="21"/>
  <c r="AB125" i="21"/>
  <c r="AB126" i="21"/>
  <c r="AB144" i="21"/>
  <c r="AB155" i="21" s="1"/>
  <c r="AB145" i="21"/>
  <c r="AC18" i="22"/>
  <c r="AC29" i="22" s="1"/>
  <c r="AC19" i="22"/>
  <c r="AM22" i="22"/>
  <c r="AE23" i="22"/>
  <c r="AL24" i="22"/>
  <c r="AI25" i="22"/>
  <c r="AF27" i="22"/>
  <c r="AK40" i="22"/>
  <c r="AG41" i="22"/>
  <c r="AJ42" i="22"/>
  <c r="AH43" i="22"/>
  <c r="AD45" i="22"/>
  <c r="AL45" i="22"/>
  <c r="AH46" i="22"/>
  <c r="AL47" i="22"/>
  <c r="AF48" i="22"/>
  <c r="AC62" i="22"/>
  <c r="AC82" i="22"/>
  <c r="AP106" i="22"/>
  <c r="AB123" i="22"/>
  <c r="AB134" i="22" s="1"/>
  <c r="AP150" i="22"/>
  <c r="AE20" i="23"/>
  <c r="AP20" i="23"/>
  <c r="AJ23" i="23"/>
  <c r="AF27" i="23"/>
  <c r="AI40" i="23"/>
  <c r="AD41" i="23"/>
  <c r="AM41" i="23"/>
  <c r="AH42" i="23"/>
  <c r="AH43" i="23"/>
  <c r="AI45" i="23"/>
  <c r="AI46" i="23"/>
  <c r="AD47" i="23"/>
  <c r="AK48" i="23"/>
  <c r="AC60" i="23"/>
  <c r="AC71" i="23" s="1"/>
  <c r="AB63" i="23"/>
  <c r="AP106" i="23"/>
  <c r="AC129" i="23"/>
  <c r="AB22" i="24"/>
  <c r="AG22" i="24"/>
  <c r="AM22" i="24"/>
  <c r="AD22" i="24"/>
  <c r="AI22" i="24"/>
  <c r="AD23" i="24"/>
  <c r="AE24" i="24"/>
  <c r="AH27" i="24"/>
  <c r="AF27" i="24"/>
  <c r="AF41" i="24"/>
  <c r="AE42" i="24"/>
  <c r="AG43" i="24"/>
  <c r="AC47" i="24"/>
  <c r="AL48" i="24"/>
  <c r="AB69" i="24"/>
  <c r="AC105" i="21"/>
  <c r="AC144" i="21"/>
  <c r="AC155" i="21" s="1"/>
  <c r="AB149" i="21"/>
  <c r="AC151" i="21"/>
  <c r="AF19" i="22"/>
  <c r="AF23" i="22"/>
  <c r="AM24" i="22"/>
  <c r="AC26" i="22"/>
  <c r="AL40" i="22"/>
  <c r="AK42" i="22"/>
  <c r="AE45" i="22"/>
  <c r="AG48" i="22"/>
  <c r="AC123" i="22"/>
  <c r="AC134" i="22" s="1"/>
  <c r="AB65" i="23"/>
  <c r="AB67" i="23"/>
  <c r="AC69" i="23"/>
  <c r="AB102" i="23"/>
  <c r="AB113" i="23" s="1"/>
  <c r="AE23" i="24"/>
  <c r="AF24" i="24"/>
  <c r="AH40" i="24"/>
  <c r="AF40" i="24"/>
  <c r="AP62" i="24"/>
  <c r="AC62" i="24"/>
  <c r="AB102" i="24"/>
  <c r="AB113" i="24" s="1"/>
  <c r="AO113" i="24"/>
  <c r="AP102" i="24"/>
  <c r="AP113" i="24" s="1"/>
  <c r="AC102" i="24"/>
  <c r="AC113" i="24" s="1"/>
  <c r="AF21" i="22"/>
  <c r="AL42" i="22"/>
  <c r="AC102" i="22"/>
  <c r="AC113" i="22" s="1"/>
  <c r="AB150" i="22"/>
  <c r="AG20" i="23"/>
  <c r="AP21" i="23"/>
  <c r="AB24" i="23"/>
  <c r="AH27" i="23"/>
  <c r="AF41" i="23"/>
  <c r="AM42" i="23"/>
  <c r="AM43" i="23"/>
  <c r="AE44" i="23"/>
  <c r="AF47" i="23"/>
  <c r="AP60" i="23"/>
  <c r="AP71" i="23" s="1"/>
  <c r="AC65" i="23"/>
  <c r="AP68" i="23"/>
  <c r="AP85" i="23"/>
  <c r="AP89" i="23"/>
  <c r="AC102" i="23"/>
  <c r="AC113" i="23" s="1"/>
  <c r="AP151" i="23"/>
  <c r="AC151" i="23"/>
  <c r="AB20" i="24"/>
  <c r="AH23" i="24"/>
  <c r="AH24" i="24"/>
  <c r="AK48" i="24"/>
  <c r="AJ48" i="24"/>
  <c r="AF48" i="24"/>
  <c r="AC111" i="24"/>
  <c r="AB111" i="24"/>
  <c r="AO155" i="22"/>
  <c r="AI27" i="23"/>
  <c r="AH41" i="23"/>
  <c r="AF44" i="23"/>
  <c r="AC132" i="23"/>
  <c r="AP26" i="24"/>
  <c r="AB26" i="24"/>
  <c r="AH19" i="24"/>
  <c r="AC41" i="24"/>
  <c r="AB44" i="24"/>
  <c r="AB108" i="24"/>
  <c r="AP147" i="24"/>
  <c r="AP148" i="24"/>
  <c r="AB19" i="25"/>
  <c r="AL19" i="25"/>
  <c r="AL21" i="25"/>
  <c r="AK22" i="25"/>
  <c r="AC24" i="25"/>
  <c r="AC26" i="25"/>
  <c r="AI27" i="25"/>
  <c r="AP39" i="25"/>
  <c r="AP50" i="25" s="1"/>
  <c r="AI40" i="25"/>
  <c r="AB41" i="25"/>
  <c r="AH42" i="25"/>
  <c r="AI44" i="25"/>
  <c r="AF48" i="25"/>
  <c r="AB85" i="25"/>
  <c r="AC86" i="25"/>
  <c r="AB87" i="25"/>
  <c r="AP102" i="25"/>
  <c r="AP113" i="25" s="1"/>
  <c r="AB108" i="25"/>
  <c r="AC126" i="25"/>
  <c r="AB129" i="25"/>
  <c r="AP132" i="25"/>
  <c r="AE19" i="26"/>
  <c r="AF21" i="26"/>
  <c r="AK22" i="26"/>
  <c r="AE23" i="26"/>
  <c r="AM23" i="26"/>
  <c r="AH24" i="26"/>
  <c r="AD26" i="26"/>
  <c r="AM26" i="26"/>
  <c r="AG27" i="26"/>
  <c r="AP27" i="26"/>
  <c r="AD40" i="26"/>
  <c r="AM40" i="26"/>
  <c r="AH41" i="26"/>
  <c r="AF42" i="26"/>
  <c r="AE46" i="26"/>
  <c r="AH47" i="26"/>
  <c r="AG48" i="26"/>
  <c r="AB68" i="26"/>
  <c r="AP84" i="26"/>
  <c r="AP87" i="26"/>
  <c r="AB124" i="26"/>
  <c r="AP126" i="26"/>
  <c r="AP149" i="26"/>
  <c r="AD26" i="25"/>
  <c r="AG48" i="25"/>
  <c r="AB85" i="26"/>
  <c r="AP85" i="26"/>
  <c r="AO29" i="27"/>
  <c r="AC18" i="27"/>
  <c r="AC29" i="27" s="1"/>
  <c r="AM26" i="27"/>
  <c r="AE26" i="27"/>
  <c r="AL26" i="27"/>
  <c r="AD26" i="27"/>
  <c r="AJ26" i="27"/>
  <c r="AH26" i="27"/>
  <c r="AB127" i="24"/>
  <c r="AF20" i="25"/>
  <c r="AE26" i="25"/>
  <c r="AK27" i="25"/>
  <c r="AK40" i="25"/>
  <c r="AK42" i="25"/>
  <c r="AB45" i="25"/>
  <c r="AP45" i="25"/>
  <c r="AP46" i="25"/>
  <c r="AH48" i="25"/>
  <c r="AC89" i="25"/>
  <c r="AC132" i="25"/>
  <c r="AC145" i="25"/>
  <c r="AB153" i="25"/>
  <c r="AD20" i="26"/>
  <c r="AE22" i="26"/>
  <c r="AM22" i="26"/>
  <c r="AG23" i="26"/>
  <c r="AJ24" i="26"/>
  <c r="AP25" i="26"/>
  <c r="AF26" i="26"/>
  <c r="AI27" i="26"/>
  <c r="AF40" i="26"/>
  <c r="AJ41" i="26"/>
  <c r="AK42" i="26"/>
  <c r="AE43" i="26"/>
  <c r="AH46" i="26"/>
  <c r="AK47" i="26"/>
  <c r="AP61" i="26"/>
  <c r="AP128" i="26"/>
  <c r="AC146" i="26"/>
  <c r="AC151" i="26"/>
  <c r="AC23" i="27"/>
  <c r="AP23" i="27"/>
  <c r="AB23" i="27"/>
  <c r="AL40" i="27"/>
  <c r="AH40" i="27"/>
  <c r="AC127" i="24"/>
  <c r="AH20" i="25"/>
  <c r="AF26" i="25"/>
  <c r="AD27" i="25"/>
  <c r="AL27" i="25"/>
  <c r="AD40" i="25"/>
  <c r="AL40" i="25"/>
  <c r="AC42" i="25"/>
  <c r="AL42" i="25"/>
  <c r="AJ48" i="25"/>
  <c r="AP105" i="25"/>
  <c r="AC153" i="25"/>
  <c r="AH23" i="26"/>
  <c r="AK24" i="26"/>
  <c r="AH26" i="26"/>
  <c r="AJ27" i="26"/>
  <c r="AG40" i="26"/>
  <c r="AK41" i="26"/>
  <c r="AL42" i="26"/>
  <c r="AF43" i="26"/>
  <c r="AB45" i="26"/>
  <c r="AI46" i="26"/>
  <c r="AB47" i="26"/>
  <c r="AL47" i="26"/>
  <c r="AP68" i="26"/>
  <c r="AB126" i="26"/>
  <c r="AP130" i="26"/>
  <c r="AP147" i="26"/>
  <c r="AH19" i="27"/>
  <c r="AM19" i="27"/>
  <c r="AF19" i="27"/>
  <c r="AF27" i="27"/>
  <c r="AC40" i="27"/>
  <c r="AB40" i="27"/>
  <c r="AP40" i="27"/>
  <c r="AH25" i="24"/>
  <c r="AB106" i="24"/>
  <c r="AP144" i="24"/>
  <c r="AP155" i="24" s="1"/>
  <c r="AB147" i="24"/>
  <c r="AP152" i="24"/>
  <c r="AF19" i="25"/>
  <c r="AI20" i="25"/>
  <c r="AE21" i="25"/>
  <c r="AP21" i="25"/>
  <c r="AF22" i="25"/>
  <c r="AC25" i="25"/>
  <c r="AL26" i="25"/>
  <c r="AE27" i="25"/>
  <c r="AM27" i="25"/>
  <c r="AE40" i="25"/>
  <c r="AM40" i="25"/>
  <c r="AD42" i="25"/>
  <c r="AM42" i="25"/>
  <c r="AH46" i="25"/>
  <c r="AK48" i="25"/>
  <c r="AP110" i="25"/>
  <c r="AC18" i="26"/>
  <c r="AC29" i="26" s="1"/>
  <c r="AG20" i="26"/>
  <c r="AG22" i="26"/>
  <c r="AI23" i="26"/>
  <c r="AD24" i="26"/>
  <c r="AL24" i="26"/>
  <c r="AI26" i="26"/>
  <c r="AK27" i="26"/>
  <c r="AH40" i="26"/>
  <c r="AB41" i="26"/>
  <c r="AM41" i="26"/>
  <c r="AM42" i="26"/>
  <c r="AI43" i="26"/>
  <c r="AF44" i="26"/>
  <c r="AE45" i="26"/>
  <c r="AJ46" i="26"/>
  <c r="AC47" i="26"/>
  <c r="AM47" i="26"/>
  <c r="AB81" i="26"/>
  <c r="AB92" i="26" s="1"/>
  <c r="AC106" i="26"/>
  <c r="AP106" i="26"/>
  <c r="AB106" i="26"/>
  <c r="AG20" i="27"/>
  <c r="AK20" i="27"/>
  <c r="AH20" i="27"/>
  <c r="AD20" i="27"/>
  <c r="AM21" i="27"/>
  <c r="AF21" i="27"/>
  <c r="AD21" i="27"/>
  <c r="AL21" i="27"/>
  <c r="AJ21" i="27"/>
  <c r="AG24" i="27"/>
  <c r="AK24" i="27"/>
  <c r="AK25" i="27"/>
  <c r="AL25" i="27"/>
  <c r="AF25" i="27"/>
  <c r="AC26" i="27"/>
  <c r="AH42" i="27"/>
  <c r="AM26" i="25"/>
  <c r="AL48" i="25"/>
  <c r="AB125" i="25"/>
  <c r="AB148" i="25"/>
  <c r="AJ23" i="26"/>
  <c r="AE24" i="26"/>
  <c r="AM24" i="26"/>
  <c r="AB25" i="26"/>
  <c r="AJ26" i="26"/>
  <c r="AD27" i="26"/>
  <c r="AL27" i="26"/>
  <c r="AI40" i="26"/>
  <c r="AC41" i="26"/>
  <c r="AC42" i="26"/>
  <c r="AM43" i="26"/>
  <c r="AM46" i="26"/>
  <c r="AB61" i="26"/>
  <c r="AB130" i="26"/>
  <c r="AC153" i="26"/>
  <c r="AF26" i="27"/>
  <c r="AP63" i="27"/>
  <c r="AC63" i="27"/>
  <c r="AB63" i="27"/>
  <c r="AK23" i="26"/>
  <c r="AK26" i="26"/>
  <c r="AJ40" i="26"/>
  <c r="AG26" i="27"/>
  <c r="AK27" i="27"/>
  <c r="AJ27" i="27"/>
  <c r="AG27" i="27"/>
  <c r="AD27" i="27"/>
  <c r="AG42" i="25"/>
  <c r="AP42" i="25"/>
  <c r="AD48" i="25"/>
  <c r="AD23" i="26"/>
  <c r="AL26" i="26"/>
  <c r="AF27" i="26"/>
  <c r="AL40" i="26"/>
  <c r="AF41" i="26"/>
  <c r="AE42" i="26"/>
  <c r="AP42" i="26"/>
  <c r="AF47" i="26"/>
  <c r="AO113" i="26"/>
  <c r="AB102" i="26"/>
  <c r="AB113" i="26" s="1"/>
  <c r="AP152" i="26"/>
  <c r="AI26" i="27"/>
  <c r="AB22" i="27"/>
  <c r="AD41" i="27"/>
  <c r="AL41" i="27"/>
  <c r="AC43" i="27"/>
  <c r="AL43" i="27"/>
  <c r="AK44" i="27"/>
  <c r="AI45" i="27"/>
  <c r="AH46" i="27"/>
  <c r="AJ47" i="27"/>
  <c r="AE48" i="27"/>
  <c r="AC60" i="27"/>
  <c r="AC71" i="27" s="1"/>
  <c r="AB81" i="27"/>
  <c r="AB92" i="27" s="1"/>
  <c r="AC102" i="27"/>
  <c r="AC113" i="27" s="1"/>
  <c r="AP106" i="27"/>
  <c r="AB110" i="27"/>
  <c r="AP123" i="27"/>
  <c r="AP134" i="27" s="1"/>
  <c r="AC124" i="27"/>
  <c r="AB128" i="27"/>
  <c r="AG19" i="28"/>
  <c r="AK22" i="28"/>
  <c r="AI23" i="28"/>
  <c r="AF24" i="28"/>
  <c r="AF25" i="28"/>
  <c r="AP25" i="28"/>
  <c r="AH26" i="28"/>
  <c r="AP26" i="28"/>
  <c r="AB27" i="28"/>
  <c r="AB147" i="27"/>
  <c r="AG25" i="28"/>
  <c r="AI26" i="28"/>
  <c r="AG41" i="28"/>
  <c r="AK41" i="28"/>
  <c r="AJ41" i="28"/>
  <c r="AF41" i="28"/>
  <c r="AD41" i="28"/>
  <c r="AD44" i="27"/>
  <c r="AM44" i="27"/>
  <c r="AL47" i="27"/>
  <c r="AP60" i="27"/>
  <c r="AP71" i="27" s="1"/>
  <c r="AP102" i="27"/>
  <c r="AP113" i="27" s="1"/>
  <c r="AP125" i="27"/>
  <c r="AP145" i="27"/>
  <c r="AI19" i="28"/>
  <c r="AB20" i="28"/>
  <c r="AB23" i="28"/>
  <c r="AK23" i="28"/>
  <c r="AI24" i="28"/>
  <c r="AH25" i="28"/>
  <c r="AJ26" i="28"/>
  <c r="AB125" i="27"/>
  <c r="AL19" i="28"/>
  <c r="AC20" i="28"/>
  <c r="AC23" i="28"/>
  <c r="AL23" i="28"/>
  <c r="AJ24" i="28"/>
  <c r="AI25" i="28"/>
  <c r="AC26" i="28"/>
  <c r="AK26" i="28"/>
  <c r="AB24" i="27"/>
  <c r="AH41" i="27"/>
  <c r="AP41" i="27"/>
  <c r="AG43" i="27"/>
  <c r="AP43" i="27"/>
  <c r="AF44" i="27"/>
  <c r="AD46" i="27"/>
  <c r="AM46" i="27"/>
  <c r="AK48" i="27"/>
  <c r="AP124" i="27"/>
  <c r="AB145" i="27"/>
  <c r="AB18" i="28"/>
  <c r="AB29" i="28" s="1"/>
  <c r="AM19" i="28"/>
  <c r="AF20" i="28"/>
  <c r="AF22" i="28"/>
  <c r="AD23" i="28"/>
  <c r="AM23" i="28"/>
  <c r="AK24" i="28"/>
  <c r="AL25" i="28"/>
  <c r="AD26" i="28"/>
  <c r="AL26" i="28"/>
  <c r="AH43" i="27"/>
  <c r="AG44" i="27"/>
  <c r="AB123" i="27"/>
  <c r="AB134" i="27" s="1"/>
  <c r="AB21" i="28"/>
  <c r="AL24" i="28"/>
  <c r="AM25" i="28"/>
  <c r="AE26" i="28"/>
  <c r="AM26" i="28"/>
  <c r="AO50" i="28"/>
  <c r="AC39" i="28"/>
  <c r="AC50" i="28" s="1"/>
  <c r="AP110" i="27"/>
  <c r="AC129" i="27"/>
  <c r="AP147" i="27"/>
  <c r="AP19" i="28"/>
  <c r="AE25" i="28"/>
  <c r="AP39" i="28"/>
  <c r="AP50" i="28" s="1"/>
  <c r="AP40" i="28"/>
  <c r="AC40" i="28"/>
  <c r="AB41" i="28"/>
  <c r="AC46" i="28"/>
  <c r="AP87" i="28"/>
  <c r="AC41" i="28"/>
  <c r="AE48" i="28"/>
  <c r="AB87" i="28"/>
  <c r="AP127" i="28"/>
  <c r="AG45" i="28"/>
  <c r="AK46" i="28"/>
  <c r="AF48" i="28"/>
  <c r="AB65" i="28"/>
  <c r="AP67" i="28"/>
  <c r="AP86" i="28"/>
  <c r="AP89" i="28"/>
  <c r="AB149" i="28"/>
  <c r="AB42" i="28"/>
  <c r="AH48" i="28"/>
  <c r="AB61" i="28"/>
  <c r="AC65" i="28"/>
  <c r="AB107" i="28"/>
  <c r="AC124" i="28"/>
  <c r="AB125" i="28"/>
  <c r="AB144" i="28"/>
  <c r="AB155" i="28" s="1"/>
  <c r="AC145" i="28"/>
  <c r="AI40" i="28"/>
  <c r="AE42" i="28"/>
  <c r="AG43" i="28"/>
  <c r="AI48" i="28"/>
  <c r="AB66" i="28"/>
  <c r="AC82" i="28"/>
  <c r="AC103" i="28"/>
  <c r="AC107" i="28"/>
  <c r="AC125" i="28"/>
  <c r="AB132" i="28"/>
  <c r="AC144" i="28"/>
  <c r="AC155" i="28" s="1"/>
  <c r="AB148" i="28"/>
  <c r="AP150" i="28"/>
  <c r="AC151" i="28"/>
  <c r="AP153" i="28"/>
  <c r="AJ42" i="28"/>
  <c r="AJ43" i="28"/>
  <c r="AC44" i="28"/>
  <c r="AE47" i="28"/>
  <c r="AL48" i="28"/>
  <c r="AP66" i="28"/>
  <c r="AP103" i="28"/>
  <c r="AK44" i="28"/>
  <c r="AP149" i="28"/>
  <c r="AB150" i="28"/>
  <c r="BC63" i="29"/>
  <c r="AP19" i="29"/>
  <c r="BJ19" i="29"/>
  <c r="AV23" i="29"/>
  <c r="AD25" i="29"/>
  <c r="AY26" i="29"/>
  <c r="BG26" i="29"/>
  <c r="AU39" i="29"/>
  <c r="BE39" i="29"/>
  <c r="AM41" i="29"/>
  <c r="AI43" i="29"/>
  <c r="AU43" i="29"/>
  <c r="BE43" i="29"/>
  <c r="AC44" i="29"/>
  <c r="AJ45" i="29"/>
  <c r="AW45" i="29"/>
  <c r="BH45" i="29"/>
  <c r="AG46" i="29"/>
  <c r="AH47" i="29"/>
  <c r="AX47" i="29"/>
  <c r="AH48" i="29"/>
  <c r="AT60" i="29"/>
  <c r="AW61" i="29"/>
  <c r="BE61" i="29"/>
  <c r="AP62" i="29"/>
  <c r="AU63" i="29"/>
  <c r="BD63" i="29"/>
  <c r="AB65" i="29"/>
  <c r="AV65" i="29"/>
  <c r="BD66" i="29"/>
  <c r="AP67" i="29"/>
  <c r="BD69" i="29"/>
  <c r="AV82" i="29"/>
  <c r="BA84" i="29"/>
  <c r="AV86" i="29"/>
  <c r="AP88" i="29"/>
  <c r="AW90" i="29"/>
  <c r="AV103" i="29"/>
  <c r="AS103" i="29"/>
  <c r="AR103" i="29" s="1"/>
  <c r="AQ103" i="29" s="1"/>
  <c r="Z103" i="29" s="1"/>
  <c r="BI103" i="29"/>
  <c r="BB103" i="29"/>
  <c r="AV47" i="29"/>
  <c r="BD61" i="29"/>
  <c r="AZ47" i="29"/>
  <c r="AX61" i="29"/>
  <c r="BF61" i="29"/>
  <c r="AT62" i="29"/>
  <c r="AV63" i="29"/>
  <c r="BE63" i="29"/>
  <c r="BC84" i="29"/>
  <c r="AT88" i="29"/>
  <c r="AB108" i="29"/>
  <c r="AC108" i="29"/>
  <c r="AP108" i="29"/>
  <c r="AV19" i="29"/>
  <c r="AP21" i="29"/>
  <c r="AV22" i="29"/>
  <c r="BB23" i="29"/>
  <c r="AD24" i="29"/>
  <c r="AV24" i="29"/>
  <c r="AH25" i="29"/>
  <c r="AS26" i="29"/>
  <c r="AR26" i="29" s="1"/>
  <c r="AQ26" i="29" s="1"/>
  <c r="AA26" i="29" s="1"/>
  <c r="BA26" i="29"/>
  <c r="BI26" i="29"/>
  <c r="AV27" i="29"/>
  <c r="AX39" i="29"/>
  <c r="BG39" i="29"/>
  <c r="AV40" i="29"/>
  <c r="BC41" i="29"/>
  <c r="AX42" i="29"/>
  <c r="AK43" i="29"/>
  <c r="AW43" i="29"/>
  <c r="BH43" i="29"/>
  <c r="AF44" i="29"/>
  <c r="AS44" i="29"/>
  <c r="AR44" i="29" s="1"/>
  <c r="AQ44" i="29" s="1"/>
  <c r="Z44" i="29" s="1"/>
  <c r="BD44" i="29"/>
  <c r="AM45" i="29"/>
  <c r="AZ45" i="29"/>
  <c r="BK45" i="29"/>
  <c r="AK46" i="29"/>
  <c r="AL47" i="29"/>
  <c r="BB47" i="29"/>
  <c r="AK48" i="29"/>
  <c r="AV48" i="29"/>
  <c r="BE48" i="29"/>
  <c r="BB60" i="29"/>
  <c r="AY61" i="29"/>
  <c r="BG61" i="29"/>
  <c r="AV62" i="29"/>
  <c r="AW63" i="29"/>
  <c r="BF63" i="29"/>
  <c r="BD65" i="29"/>
  <c r="AV67" i="29"/>
  <c r="AW68" i="29"/>
  <c r="BE68" i="29"/>
  <c r="AP69" i="29"/>
  <c r="BH82" i="29"/>
  <c r="BD84" i="29"/>
  <c r="AP85" i="29"/>
  <c r="BD86" i="29"/>
  <c r="AV88" i="29"/>
  <c r="BC89" i="29"/>
  <c r="BB90" i="29"/>
  <c r="AX19" i="29"/>
  <c r="AV21" i="29"/>
  <c r="AZ22" i="29"/>
  <c r="BF23" i="29"/>
  <c r="AF24" i="29"/>
  <c r="AJ25" i="29"/>
  <c r="AT26" i="29"/>
  <c r="BB26" i="29"/>
  <c r="BJ26" i="29"/>
  <c r="AD27" i="29"/>
  <c r="AZ27" i="29"/>
  <c r="AD40" i="29"/>
  <c r="AZ40" i="29"/>
  <c r="AE41" i="29"/>
  <c r="AY43" i="29"/>
  <c r="BI43" i="29"/>
  <c r="BD47" i="29"/>
  <c r="AC48" i="29"/>
  <c r="AL48" i="29"/>
  <c r="AZ61" i="29"/>
  <c r="BH61" i="29"/>
  <c r="AB62" i="29"/>
  <c r="AX62" i="29"/>
  <c r="AX63" i="29"/>
  <c r="BG63" i="29"/>
  <c r="AS84" i="29"/>
  <c r="AR84" i="29" s="1"/>
  <c r="AQ84" i="29" s="1"/>
  <c r="BE84" i="29"/>
  <c r="AB85" i="29"/>
  <c r="AV85" i="29"/>
  <c r="AB88" i="29"/>
  <c r="AX88" i="29"/>
  <c r="BD90" i="29"/>
  <c r="AC105" i="29"/>
  <c r="AB105" i="29"/>
  <c r="AP105" i="29"/>
  <c r="AV132" i="29"/>
  <c r="AB19" i="29"/>
  <c r="BB19" i="29"/>
  <c r="AP20" i="29"/>
  <c r="AB21" i="29"/>
  <c r="BD21" i="29"/>
  <c r="AD22" i="29"/>
  <c r="BD22" i="29"/>
  <c r="BJ23" i="29"/>
  <c r="AH24" i="29"/>
  <c r="AU26" i="29"/>
  <c r="BC26" i="29"/>
  <c r="AH27" i="29"/>
  <c r="BD27" i="29"/>
  <c r="AF40" i="29"/>
  <c r="BH40" i="29"/>
  <c r="AF41" i="29"/>
  <c r="AB42" i="29"/>
  <c r="AZ43" i="29"/>
  <c r="BK43" i="29"/>
  <c r="AE45" i="29"/>
  <c r="BC45" i="29"/>
  <c r="BF47" i="29"/>
  <c r="AD48" i="29"/>
  <c r="AM48" i="29"/>
  <c r="AS61" i="29"/>
  <c r="AR61" i="29" s="1"/>
  <c r="AQ61" i="29" s="1"/>
  <c r="AA61" i="29" s="1"/>
  <c r="BA61" i="29"/>
  <c r="BI61" i="29"/>
  <c r="BB62" i="29"/>
  <c r="AY63" i="29"/>
  <c r="BI63" i="29"/>
  <c r="AV64" i="29"/>
  <c r="AB67" i="29"/>
  <c r="AB69" i="29"/>
  <c r="AU84" i="29"/>
  <c r="BG84" i="29"/>
  <c r="BD85" i="29"/>
  <c r="BB88" i="29"/>
  <c r="AS90" i="29"/>
  <c r="AR90" i="29" s="1"/>
  <c r="AQ90" i="29" s="1"/>
  <c r="AA90" i="29" s="1"/>
  <c r="BF90" i="29"/>
  <c r="AB144" i="29"/>
  <c r="AB155" i="29" s="1"/>
  <c r="AC144" i="29"/>
  <c r="AC155" i="29" s="1"/>
  <c r="AP144" i="29"/>
  <c r="AP155" i="29" s="1"/>
  <c r="AO155" i="29"/>
  <c r="AV61" i="29"/>
  <c r="AY84" i="29"/>
  <c r="AF19" i="29"/>
  <c r="BD19" i="29"/>
  <c r="BH21" i="29"/>
  <c r="AH22" i="29"/>
  <c r="BH22" i="29"/>
  <c r="AJ24" i="29"/>
  <c r="AJ27" i="29"/>
  <c r="AH40" i="29"/>
  <c r="AG41" i="29"/>
  <c r="BH47" i="29"/>
  <c r="AT61" i="29"/>
  <c r="BB61" i="29"/>
  <c r="BJ61" i="29"/>
  <c r="BF62" i="29"/>
  <c r="BA63" i="29"/>
  <c r="BJ63" i="29"/>
  <c r="AV84" i="29"/>
  <c r="BI84" i="29"/>
  <c r="BF88" i="29"/>
  <c r="AT90" i="29"/>
  <c r="BK132" i="29"/>
  <c r="BC132" i="29"/>
  <c r="AU132" i="29"/>
  <c r="BJ132" i="29"/>
  <c r="BB132" i="29"/>
  <c r="AT132" i="29"/>
  <c r="BI132" i="29"/>
  <c r="BA132" i="29"/>
  <c r="AS132" i="29"/>
  <c r="AR132" i="29" s="1"/>
  <c r="AQ132" i="29" s="1"/>
  <c r="BH132" i="29"/>
  <c r="AZ132" i="29"/>
  <c r="BG132" i="29"/>
  <c r="AY132" i="29"/>
  <c r="BF132" i="29"/>
  <c r="AX132" i="29"/>
  <c r="BE132" i="29"/>
  <c r="AW132" i="29"/>
  <c r="BH18" i="29"/>
  <c r="BF19" i="29"/>
  <c r="AL22" i="29"/>
  <c r="AL27" i="29"/>
  <c r="AL40" i="29"/>
  <c r="AI41" i="29"/>
  <c r="AT47" i="29"/>
  <c r="BJ47" i="29"/>
  <c r="AU61" i="29"/>
  <c r="BC61" i="29"/>
  <c r="BJ62" i="29"/>
  <c r="AS63" i="29"/>
  <c r="AR63" i="29" s="1"/>
  <c r="AQ63" i="29" s="1"/>
  <c r="Z63" i="29" s="1"/>
  <c r="BB63" i="29"/>
  <c r="BK63" i="29"/>
  <c r="AW84" i="29"/>
  <c r="BK84" i="29"/>
  <c r="BJ88" i="29"/>
  <c r="BK90" i="29"/>
  <c r="AZ90" i="29"/>
  <c r="BI90" i="29"/>
  <c r="BE90" i="29"/>
  <c r="BC90" i="29"/>
  <c r="BI128" i="29"/>
  <c r="BJ128" i="29"/>
  <c r="BG128" i="29"/>
  <c r="BD128" i="29"/>
  <c r="BA128" i="29"/>
  <c r="AY128" i="29"/>
  <c r="AW128" i="29"/>
  <c r="AT128" i="29"/>
  <c r="AS102" i="29"/>
  <c r="AR102" i="29" s="1"/>
  <c r="AR113" i="29" s="1"/>
  <c r="BG102" i="29"/>
  <c r="BJ106" i="29"/>
  <c r="AZ108" i="29"/>
  <c r="BH108" i="29"/>
  <c r="AX109" i="29"/>
  <c r="BG109" i="29"/>
  <c r="BB123" i="29"/>
  <c r="AW124" i="29"/>
  <c r="BH124" i="29"/>
  <c r="AW126" i="29"/>
  <c r="BK126" i="29"/>
  <c r="AS130" i="29"/>
  <c r="AR130" i="29" s="1"/>
  <c r="AQ130" i="29" s="1"/>
  <c r="AA130" i="29" s="1"/>
  <c r="BD130" i="29"/>
  <c r="BI144" i="29"/>
  <c r="AU146" i="29"/>
  <c r="BK146" i="29"/>
  <c r="BC147" i="29"/>
  <c r="BD152" i="29"/>
  <c r="AX153" i="29"/>
  <c r="BF153" i="29"/>
  <c r="AB123" i="29"/>
  <c r="AB134" i="29" s="1"/>
  <c r="AY153" i="29"/>
  <c r="BG153" i="29"/>
  <c r="BI104" i="29"/>
  <c r="AV105" i="29"/>
  <c r="AT106" i="29"/>
  <c r="AV107" i="29"/>
  <c r="BE107" i="29"/>
  <c r="AT108" i="29"/>
  <c r="BB108" i="29"/>
  <c r="BJ108" i="29"/>
  <c r="BA109" i="29"/>
  <c r="BJ109" i="29"/>
  <c r="AC123" i="29"/>
  <c r="AC134" i="29" s="1"/>
  <c r="AC124" i="29"/>
  <c r="AZ124" i="29"/>
  <c r="BK124" i="29"/>
  <c r="BA126" i="29"/>
  <c r="BF130" i="29"/>
  <c r="AX144" i="29"/>
  <c r="AZ146" i="29"/>
  <c r="AC151" i="29"/>
  <c r="BK152" i="29"/>
  <c r="AZ153" i="29"/>
  <c r="BH153" i="29"/>
  <c r="AV106" i="29"/>
  <c r="BC126" i="29"/>
  <c r="AS153" i="29"/>
  <c r="AR153" i="29" s="1"/>
  <c r="AQ153" i="29" s="1"/>
  <c r="AA153" i="29" s="1"/>
  <c r="BA153" i="29"/>
  <c r="BI153" i="29"/>
  <c r="AX106" i="29"/>
  <c r="AP123" i="29"/>
  <c r="AP134" i="29" s="1"/>
  <c r="BC124" i="29"/>
  <c r="BD126" i="29"/>
  <c r="AX130" i="29"/>
  <c r="BI130" i="29"/>
  <c r="BA144" i="29"/>
  <c r="BC146" i="29"/>
  <c r="AP147" i="29"/>
  <c r="AY148" i="29"/>
  <c r="AV149" i="29"/>
  <c r="BD150" i="29"/>
  <c r="AS151" i="29"/>
  <c r="AR151" i="29" s="1"/>
  <c r="AQ151" i="29" s="1"/>
  <c r="AA151" i="29" s="1"/>
  <c r="BF151" i="29"/>
  <c r="AU152" i="29"/>
  <c r="AT153" i="29"/>
  <c r="BB153" i="29"/>
  <c r="BJ153" i="29"/>
  <c r="AB102" i="29"/>
  <c r="AB113" i="29" s="1"/>
  <c r="BC102" i="29"/>
  <c r="BJ105" i="29"/>
  <c r="BA106" i="29"/>
  <c r="AY107" i="29"/>
  <c r="BI107" i="29"/>
  <c r="AW108" i="29"/>
  <c r="BE108" i="29"/>
  <c r="AU109" i="29"/>
  <c r="BD109" i="29"/>
  <c r="AU123" i="29"/>
  <c r="AS124" i="29"/>
  <c r="AR124" i="29" s="1"/>
  <c r="AQ124" i="29" s="1"/>
  <c r="Z124" i="29" s="1"/>
  <c r="BD124" i="29"/>
  <c r="AS126" i="29"/>
  <c r="AR126" i="29" s="1"/>
  <c r="AQ126" i="29" s="1"/>
  <c r="Z126" i="29" s="1"/>
  <c r="BE126" i="29"/>
  <c r="AB127" i="29"/>
  <c r="AZ130" i="29"/>
  <c r="BK130" i="29"/>
  <c r="AU131" i="29"/>
  <c r="BH131" i="29"/>
  <c r="AB132" i="29"/>
  <c r="BD144" i="29"/>
  <c r="AS145" i="29"/>
  <c r="AR145" i="29" s="1"/>
  <c r="AQ145" i="29" s="1"/>
  <c r="Z145" i="29" s="1"/>
  <c r="BA145" i="29"/>
  <c r="AC146" i="29"/>
  <c r="BD146" i="29"/>
  <c r="AC147" i="29"/>
  <c r="AU147" i="29"/>
  <c r="BG148" i="29"/>
  <c r="BG150" i="29"/>
  <c r="AU151" i="29"/>
  <c r="BH151" i="29"/>
  <c r="AV152" i="29"/>
  <c r="AU153" i="29"/>
  <c r="BC153" i="29"/>
  <c r="BJ107" i="29"/>
  <c r="AX108" i="29"/>
  <c r="AV109" i="29"/>
  <c r="BE109" i="29"/>
  <c r="BE124" i="29"/>
  <c r="AU126" i="29"/>
  <c r="BG126" i="29"/>
  <c r="BF144" i="29"/>
  <c r="BH146" i="29"/>
  <c r="B72" i="39"/>
  <c r="S50" i="39"/>
  <c r="S27" i="39"/>
  <c r="B72" i="38"/>
  <c r="S50" i="38"/>
  <c r="S27" i="38"/>
  <c r="B72" i="37"/>
  <c r="S50" i="37"/>
  <c r="B72" i="36"/>
  <c r="S50" i="36"/>
  <c r="S27" i="35"/>
  <c r="B49" i="35"/>
  <c r="B72" i="34"/>
  <c r="S50" i="34"/>
  <c r="S27" i="34"/>
  <c r="S50" i="33"/>
  <c r="B72" i="33"/>
  <c r="S27" i="33"/>
  <c r="B72" i="32"/>
  <c r="S50" i="32"/>
  <c r="S27" i="31"/>
  <c r="B49" i="31"/>
  <c r="B49" i="30"/>
  <c r="CL6" i="29"/>
  <c r="BN13" i="29"/>
  <c r="A13" i="29" s="1"/>
  <c r="BN39" i="29"/>
  <c r="A39" i="29" s="1"/>
  <c r="DE2" i="29"/>
  <c r="DM2" i="29"/>
  <c r="DI3" i="29"/>
  <c r="DI5" i="29"/>
  <c r="BB18" i="29"/>
  <c r="AT20" i="29"/>
  <c r="AX21" i="29"/>
  <c r="AX22" i="29"/>
  <c r="AD23" i="29"/>
  <c r="AK24" i="29"/>
  <c r="AI24" i="29"/>
  <c r="AG24" i="29"/>
  <c r="AM24" i="29"/>
  <c r="AE24" i="29"/>
  <c r="BB24" i="29"/>
  <c r="AG25" i="29"/>
  <c r="AM25" i="29"/>
  <c r="AE25" i="29"/>
  <c r="AK25" i="29"/>
  <c r="AI25" i="29"/>
  <c r="BB25" i="29"/>
  <c r="AT27" i="29"/>
  <c r="BF40" i="29"/>
  <c r="DE4" i="29"/>
  <c r="DM4" i="29"/>
  <c r="DK6" i="29"/>
  <c r="DM7" i="29"/>
  <c r="BD18" i="29"/>
  <c r="AG19" i="29"/>
  <c r="AM19" i="29"/>
  <c r="AE19" i="29"/>
  <c r="AK19" i="29"/>
  <c r="AI19" i="29"/>
  <c r="BK20" i="29"/>
  <c r="BC20" i="29"/>
  <c r="AU20" i="29"/>
  <c r="BI20" i="29"/>
  <c r="BA20" i="29"/>
  <c r="AS20" i="29"/>
  <c r="AR20" i="29" s="1"/>
  <c r="AQ20" i="29" s="1"/>
  <c r="BG20" i="29"/>
  <c r="AY20" i="29"/>
  <c r="BE20" i="29"/>
  <c r="AW20" i="29"/>
  <c r="AZ21" i="29"/>
  <c r="AF23" i="29"/>
  <c r="BD24" i="29"/>
  <c r="BD25" i="29"/>
  <c r="BG27" i="29"/>
  <c r="AY27" i="29"/>
  <c r="BE27" i="29"/>
  <c r="AW27" i="29"/>
  <c r="BK27" i="29"/>
  <c r="BC27" i="29"/>
  <c r="AU27" i="29"/>
  <c r="BI27" i="29"/>
  <c r="BA27" i="29"/>
  <c r="AS27" i="29"/>
  <c r="AR27" i="29" s="1"/>
  <c r="AQ27" i="29" s="1"/>
  <c r="AM42" i="29"/>
  <c r="AE42" i="29"/>
  <c r="AK42" i="29"/>
  <c r="AI42" i="29"/>
  <c r="AG42" i="29"/>
  <c r="DG2" i="29"/>
  <c r="DC3" i="29"/>
  <c r="DK3" i="29"/>
  <c r="O5" i="29"/>
  <c r="DK5" i="29"/>
  <c r="BF18" i="29"/>
  <c r="AX20" i="29"/>
  <c r="AM21" i="29"/>
  <c r="AE21" i="29"/>
  <c r="AK21" i="29"/>
  <c r="AI21" i="29"/>
  <c r="AG21" i="29"/>
  <c r="BB21" i="29"/>
  <c r="AK22" i="29"/>
  <c r="AI22" i="29"/>
  <c r="AG22" i="29"/>
  <c r="AM22" i="29"/>
  <c r="AE22" i="29"/>
  <c r="BB22" i="29"/>
  <c r="AH23" i="29"/>
  <c r="BI23" i="29"/>
  <c r="BA23" i="29"/>
  <c r="AS23" i="29"/>
  <c r="AR23" i="29" s="1"/>
  <c r="AQ23" i="29" s="1"/>
  <c r="BG23" i="29"/>
  <c r="AY23" i="29"/>
  <c r="BE23" i="29"/>
  <c r="AW23" i="29"/>
  <c r="BK23" i="29"/>
  <c r="BC23" i="29"/>
  <c r="AU23" i="29"/>
  <c r="BF24" i="29"/>
  <c r="BF25" i="29"/>
  <c r="AX27" i="29"/>
  <c r="AO50" i="29"/>
  <c r="AP39" i="29"/>
  <c r="AB39" i="29"/>
  <c r="AB50" i="29" s="1"/>
  <c r="AT40" i="29"/>
  <c r="AB41" i="29"/>
  <c r="AP41" i="29"/>
  <c r="AB43" i="29"/>
  <c r="AP43" i="29"/>
  <c r="DG4" i="29"/>
  <c r="DM6" i="29"/>
  <c r="CG10" i="29"/>
  <c r="CG11" i="29" s="1"/>
  <c r="CG12" i="29" s="1"/>
  <c r="CG13" i="29" s="1"/>
  <c r="CG14" i="29" s="1"/>
  <c r="CG15" i="29" s="1"/>
  <c r="CG16" i="29" s="1"/>
  <c r="CG17" i="29" s="1"/>
  <c r="CG18" i="29" s="1"/>
  <c r="CG19" i="29" s="1"/>
  <c r="CG20" i="29" s="1"/>
  <c r="CG21" i="29" s="1"/>
  <c r="CG22" i="29" s="1"/>
  <c r="CG23" i="29" s="1"/>
  <c r="CG24" i="29" s="1"/>
  <c r="CG25" i="29" s="1"/>
  <c r="CG26" i="29" s="1"/>
  <c r="CG27" i="29" s="1"/>
  <c r="CG28" i="29" s="1"/>
  <c r="CG29" i="29" s="1"/>
  <c r="CG30" i="29" s="1"/>
  <c r="BG40" i="29"/>
  <c r="AY40" i="29"/>
  <c r="BE40" i="29"/>
  <c r="AW40" i="29"/>
  <c r="BK40" i="29"/>
  <c r="BC40" i="29"/>
  <c r="AU40" i="29"/>
  <c r="BI40" i="29"/>
  <c r="BA40" i="29"/>
  <c r="AS40" i="29"/>
  <c r="AR40" i="29" s="1"/>
  <c r="AQ40" i="29" s="1"/>
  <c r="DA2" i="29"/>
  <c r="DI2" i="29"/>
  <c r="DE3" i="29"/>
  <c r="E33" i="29" s="1"/>
  <c r="DM3" i="29"/>
  <c r="DM5" i="29"/>
  <c r="AD19" i="29"/>
  <c r="AM20" i="29"/>
  <c r="AE20" i="29"/>
  <c r="AK20" i="29"/>
  <c r="AI20" i="29"/>
  <c r="AG20" i="29"/>
  <c r="BB20" i="29"/>
  <c r="BF21" i="29"/>
  <c r="BF22" i="29"/>
  <c r="AZ23" i="29"/>
  <c r="AT24" i="29"/>
  <c r="AT25" i="29"/>
  <c r="AI27" i="29"/>
  <c r="AG27" i="29"/>
  <c r="AM27" i="29"/>
  <c r="AE27" i="29"/>
  <c r="AK27" i="29"/>
  <c r="BB27" i="29"/>
  <c r="AC39" i="29"/>
  <c r="AC50" i="29" s="1"/>
  <c r="AX40" i="29"/>
  <c r="AD42" i="29"/>
  <c r="G138" i="29"/>
  <c r="E118" i="29"/>
  <c r="E139" i="29"/>
  <c r="G117" i="29"/>
  <c r="E97" i="29"/>
  <c r="G75" i="29"/>
  <c r="G96" i="29"/>
  <c r="E55" i="29"/>
  <c r="G33" i="29"/>
  <c r="G54" i="29"/>
  <c r="E76" i="29"/>
  <c r="DI4" i="29"/>
  <c r="DM8" i="29"/>
  <c r="BG18" i="29"/>
  <c r="AY18" i="29"/>
  <c r="BE18" i="29"/>
  <c r="AW18" i="29"/>
  <c r="BC18" i="29"/>
  <c r="AU18" i="29"/>
  <c r="BI18" i="29"/>
  <c r="BA18" i="29"/>
  <c r="AS18" i="29"/>
  <c r="AR18" i="29" s="1"/>
  <c r="AK23" i="29"/>
  <c r="AI23" i="29"/>
  <c r="AG23" i="29"/>
  <c r="AM23" i="29"/>
  <c r="AE23" i="29"/>
  <c r="BI24" i="29"/>
  <c r="BA24" i="29"/>
  <c r="AS24" i="29"/>
  <c r="AR24" i="29" s="1"/>
  <c r="AQ24" i="29" s="1"/>
  <c r="BG24" i="29"/>
  <c r="AY24" i="29"/>
  <c r="BE24" i="29"/>
  <c r="AW24" i="29"/>
  <c r="BK24" i="29"/>
  <c r="BC24" i="29"/>
  <c r="AU24" i="29"/>
  <c r="BE25" i="29"/>
  <c r="AW25" i="29"/>
  <c r="BK25" i="29"/>
  <c r="BC25" i="29"/>
  <c r="AU25" i="29"/>
  <c r="BI25" i="29"/>
  <c r="BA25" i="29"/>
  <c r="AS25" i="29"/>
  <c r="AR25" i="29" s="1"/>
  <c r="AQ25" i="29" s="1"/>
  <c r="BG25" i="29"/>
  <c r="AY25" i="29"/>
  <c r="AF42" i="29"/>
  <c r="DC2" i="29"/>
  <c r="DK2" i="29"/>
  <c r="DG3" i="29"/>
  <c r="DG5" i="29"/>
  <c r="G12" i="29"/>
  <c r="AX18" i="29"/>
  <c r="AH19" i="29"/>
  <c r="BE19" i="29"/>
  <c r="AW19" i="29"/>
  <c r="BK19" i="29"/>
  <c r="BC19" i="29"/>
  <c r="AU19" i="29"/>
  <c r="BI19" i="29"/>
  <c r="BA19" i="29"/>
  <c r="AS19" i="29"/>
  <c r="AR19" i="29" s="1"/>
  <c r="AQ19" i="29" s="1"/>
  <c r="BG19" i="29"/>
  <c r="AY19" i="29"/>
  <c r="BF20" i="29"/>
  <c r="AF21" i="29"/>
  <c r="AT21" i="29"/>
  <c r="AF22" i="29"/>
  <c r="AT22" i="29"/>
  <c r="BD23" i="29"/>
  <c r="AX24" i="29"/>
  <c r="AX25" i="29"/>
  <c r="BF27" i="29"/>
  <c r="CG31" i="29"/>
  <c r="CG32" i="29" s="1"/>
  <c r="CG33" i="29" s="1"/>
  <c r="CG34" i="29" s="1"/>
  <c r="CG35" i="29" s="1"/>
  <c r="CG36" i="29" s="1"/>
  <c r="CG37" i="29" s="1"/>
  <c r="CG38" i="29" s="1"/>
  <c r="CG39" i="29" s="1"/>
  <c r="CG40" i="29" s="1"/>
  <c r="CG41" i="29" s="1"/>
  <c r="CG42" i="29" s="1"/>
  <c r="CG43" i="29" s="1"/>
  <c r="CG44" i="29" s="1"/>
  <c r="CG45" i="29" s="1"/>
  <c r="CG46" i="29" s="1"/>
  <c r="CG47" i="29" s="1"/>
  <c r="CG48" i="29" s="1"/>
  <c r="CG49" i="29" s="1"/>
  <c r="CG50" i="29" s="1"/>
  <c r="CG51" i="29" s="1"/>
  <c r="BM52" i="29"/>
  <c r="E34" i="29"/>
  <c r="AI40" i="29"/>
  <c r="AG40" i="29"/>
  <c r="AM40" i="29"/>
  <c r="AE40" i="29"/>
  <c r="AK40" i="29"/>
  <c r="BB40" i="29"/>
  <c r="AH42" i="29"/>
  <c r="BK42" i="29"/>
  <c r="BC42" i="29"/>
  <c r="AU42" i="29"/>
  <c r="BI42" i="29"/>
  <c r="BA42" i="29"/>
  <c r="AS42" i="29"/>
  <c r="AR42" i="29" s="1"/>
  <c r="AQ42" i="29" s="1"/>
  <c r="BG42" i="29"/>
  <c r="AY42" i="29"/>
  <c r="BE42" i="29"/>
  <c r="AW42" i="29"/>
  <c r="DK4" i="29"/>
  <c r="DI6" i="29"/>
  <c r="DK7" i="29"/>
  <c r="AZ18" i="29"/>
  <c r="AJ19" i="29"/>
  <c r="BH20" i="29"/>
  <c r="BK21" i="29"/>
  <c r="BC21" i="29"/>
  <c r="AU21" i="29"/>
  <c r="BI21" i="29"/>
  <c r="BA21" i="29"/>
  <c r="AS21" i="29"/>
  <c r="AR21" i="29" s="1"/>
  <c r="AQ21" i="29" s="1"/>
  <c r="BG21" i="29"/>
  <c r="AY21" i="29"/>
  <c r="BE21" i="29"/>
  <c r="AW21" i="29"/>
  <c r="BI22" i="29"/>
  <c r="BA22" i="29"/>
  <c r="AS22" i="29"/>
  <c r="AR22" i="29" s="1"/>
  <c r="AQ22" i="29" s="1"/>
  <c r="BG22" i="29"/>
  <c r="AY22" i="29"/>
  <c r="BE22" i="29"/>
  <c r="AW22" i="29"/>
  <c r="BK22" i="29"/>
  <c r="BC22" i="29"/>
  <c r="AU22" i="29"/>
  <c r="AZ24" i="29"/>
  <c r="AZ25" i="29"/>
  <c r="AB26" i="29"/>
  <c r="AP26" i="29"/>
  <c r="BH27" i="29"/>
  <c r="BD40" i="29"/>
  <c r="AJ42" i="29"/>
  <c r="AZ39" i="29"/>
  <c r="AD41" i="29"/>
  <c r="AL41" i="29"/>
  <c r="AT41" i="29"/>
  <c r="BB41" i="29"/>
  <c r="BJ41" i="29"/>
  <c r="AH43" i="29"/>
  <c r="AX43" i="29"/>
  <c r="BF43" i="29"/>
  <c r="AH44" i="29"/>
  <c r="AP44" i="29"/>
  <c r="AX44" i="29"/>
  <c r="BF44" i="29"/>
  <c r="AH45" i="29"/>
  <c r="AP45" i="29"/>
  <c r="AX45" i="29"/>
  <c r="BF45" i="29"/>
  <c r="AD46" i="29"/>
  <c r="AL46" i="29"/>
  <c r="AT46" i="29"/>
  <c r="BB46" i="29"/>
  <c r="BJ46" i="29"/>
  <c r="AG47" i="29"/>
  <c r="AW47" i="29"/>
  <c r="BE47" i="29"/>
  <c r="AZ60" i="29"/>
  <c r="AZ62" i="29"/>
  <c r="BB64" i="29"/>
  <c r="AX65" i="29"/>
  <c r="AT66" i="29"/>
  <c r="BF82" i="29"/>
  <c r="AS83" i="29"/>
  <c r="AR83" i="29" s="1"/>
  <c r="AQ83" i="29" s="1"/>
  <c r="BD64" i="29"/>
  <c r="BG66" i="29"/>
  <c r="AY66" i="29"/>
  <c r="BE66" i="29"/>
  <c r="AW66" i="29"/>
  <c r="BK66" i="29"/>
  <c r="BC66" i="29"/>
  <c r="AU66" i="29"/>
  <c r="BI66" i="29"/>
  <c r="BA66" i="29"/>
  <c r="AS66" i="29"/>
  <c r="AR66" i="29" s="1"/>
  <c r="AQ66" i="29" s="1"/>
  <c r="AI47" i="29"/>
  <c r="AY47" i="29"/>
  <c r="BG47" i="29"/>
  <c r="AP48" i="29"/>
  <c r="AO71" i="29"/>
  <c r="AC60" i="29"/>
  <c r="AC71" i="29" s="1"/>
  <c r="BD60" i="29"/>
  <c r="BD62" i="29"/>
  <c r="BF64" i="29"/>
  <c r="BB65" i="29"/>
  <c r="AX66" i="29"/>
  <c r="BK67" i="29"/>
  <c r="BC67" i="29"/>
  <c r="AU67" i="29"/>
  <c r="BI67" i="29"/>
  <c r="BA67" i="29"/>
  <c r="AS67" i="29"/>
  <c r="AR67" i="29" s="1"/>
  <c r="AQ67" i="29" s="1"/>
  <c r="BG67" i="29"/>
  <c r="AY67" i="29"/>
  <c r="BE67" i="29"/>
  <c r="AW67" i="29"/>
  <c r="AT82" i="29"/>
  <c r="AP63" i="29"/>
  <c r="AB63" i="29"/>
  <c r="BH64" i="29"/>
  <c r="AZ66" i="29"/>
  <c r="AP68" i="29"/>
  <c r="AB68" i="29"/>
  <c r="BE82" i="29"/>
  <c r="AW82" i="29"/>
  <c r="BK82" i="29"/>
  <c r="BC82" i="29"/>
  <c r="AU82" i="29"/>
  <c r="BI82" i="29"/>
  <c r="BA82" i="29"/>
  <c r="AS82" i="29"/>
  <c r="AR82" i="29" s="1"/>
  <c r="AQ82" i="29" s="1"/>
  <c r="BG82" i="29"/>
  <c r="AY82" i="29"/>
  <c r="BG87" i="29"/>
  <c r="AY87" i="29"/>
  <c r="BE87" i="29"/>
  <c r="AW87" i="29"/>
  <c r="BK87" i="29"/>
  <c r="BC87" i="29"/>
  <c r="AU87" i="29"/>
  <c r="BI87" i="29"/>
  <c r="BA87" i="29"/>
  <c r="AS87" i="29"/>
  <c r="AR87" i="29" s="1"/>
  <c r="AQ87" i="29" s="1"/>
  <c r="BH87" i="29"/>
  <c r="BF87" i="29"/>
  <c r="BD87" i="29"/>
  <c r="BB87" i="29"/>
  <c r="AZ87" i="29"/>
  <c r="AX87" i="29"/>
  <c r="BJ87" i="29"/>
  <c r="AT87" i="29"/>
  <c r="AH41" i="29"/>
  <c r="AX41" i="29"/>
  <c r="BF41" i="29"/>
  <c r="AD43" i="29"/>
  <c r="AT43" i="29"/>
  <c r="BB43" i="29"/>
  <c r="AD44" i="29"/>
  <c r="AT44" i="29"/>
  <c r="BB44" i="29"/>
  <c r="AD45" i="29"/>
  <c r="AT45" i="29"/>
  <c r="BB45" i="29"/>
  <c r="AH46" i="29"/>
  <c r="AP46" i="29"/>
  <c r="AX46" i="29"/>
  <c r="BF46" i="29"/>
  <c r="AK47" i="29"/>
  <c r="AS47" i="29"/>
  <c r="AR47" i="29" s="1"/>
  <c r="AQ47" i="29" s="1"/>
  <c r="BA47" i="29"/>
  <c r="BI47" i="29"/>
  <c r="AZ48" i="29"/>
  <c r="AT64" i="29"/>
  <c r="BF65" i="29"/>
  <c r="BB66" i="29"/>
  <c r="AZ67" i="29"/>
  <c r="BE69" i="29"/>
  <c r="AW69" i="29"/>
  <c r="BK69" i="29"/>
  <c r="BC69" i="29"/>
  <c r="AU69" i="29"/>
  <c r="BI69" i="29"/>
  <c r="BA69" i="29"/>
  <c r="AS69" i="29"/>
  <c r="AR69" i="29" s="1"/>
  <c r="AQ69" i="29" s="1"/>
  <c r="BG69" i="29"/>
  <c r="AY69" i="29"/>
  <c r="AO92" i="29"/>
  <c r="AB81" i="29"/>
  <c r="AB92" i="29" s="1"/>
  <c r="AP81" i="29"/>
  <c r="AX82" i="29"/>
  <c r="BG85" i="29"/>
  <c r="AY85" i="29"/>
  <c r="BE85" i="29"/>
  <c r="AW85" i="29"/>
  <c r="BK85" i="29"/>
  <c r="BC85" i="29"/>
  <c r="AU85" i="29"/>
  <c r="BI85" i="29"/>
  <c r="BA85" i="29"/>
  <c r="AS85" i="29"/>
  <c r="AR85" i="29" s="1"/>
  <c r="AQ85" i="29" s="1"/>
  <c r="AZ85" i="29"/>
  <c r="AX85" i="29"/>
  <c r="BJ85" i="29"/>
  <c r="AT85" i="29"/>
  <c r="BF85" i="29"/>
  <c r="BB85" i="29"/>
  <c r="AB61" i="29"/>
  <c r="AP61" i="29"/>
  <c r="BG64" i="29"/>
  <c r="AY64" i="29"/>
  <c r="BE64" i="29"/>
  <c r="AW64" i="29"/>
  <c r="BK64" i="29"/>
  <c r="BC64" i="29"/>
  <c r="AU64" i="29"/>
  <c r="BI64" i="29"/>
  <c r="BA64" i="29"/>
  <c r="AS64" i="29"/>
  <c r="AR64" i="29" s="1"/>
  <c r="AQ64" i="29" s="1"/>
  <c r="AZ41" i="29"/>
  <c r="AB46" i="29"/>
  <c r="AZ46" i="29"/>
  <c r="AE47" i="29"/>
  <c r="AU47" i="29"/>
  <c r="BC47" i="29"/>
  <c r="BI60" i="29"/>
  <c r="BA60" i="29"/>
  <c r="AS60" i="29"/>
  <c r="AR60" i="29" s="1"/>
  <c r="BG60" i="29"/>
  <c r="AY60" i="29"/>
  <c r="BE60" i="29"/>
  <c r="AW60" i="29"/>
  <c r="BC60" i="29"/>
  <c r="AU60" i="29"/>
  <c r="BK62" i="29"/>
  <c r="BC62" i="29"/>
  <c r="AU62" i="29"/>
  <c r="BI62" i="29"/>
  <c r="BA62" i="29"/>
  <c r="AS62" i="29"/>
  <c r="AR62" i="29" s="1"/>
  <c r="AQ62" i="29" s="1"/>
  <c r="BG62" i="29"/>
  <c r="AY62" i="29"/>
  <c r="BE62" i="29"/>
  <c r="AW62" i="29"/>
  <c r="AX64" i="29"/>
  <c r="AT65" i="29"/>
  <c r="BF66" i="29"/>
  <c r="BB82" i="29"/>
  <c r="BK83" i="29"/>
  <c r="BC83" i="29"/>
  <c r="AU83" i="29"/>
  <c r="BG83" i="29"/>
  <c r="AY83" i="29"/>
  <c r="BE83" i="29"/>
  <c r="AW83" i="29"/>
  <c r="BA83" i="29"/>
  <c r="BJ83" i="29"/>
  <c r="AX83" i="29"/>
  <c r="BH83" i="29"/>
  <c r="AT83" i="29"/>
  <c r="BD83" i="29"/>
  <c r="AZ64" i="29"/>
  <c r="BG65" i="29"/>
  <c r="AY65" i="29"/>
  <c r="BE65" i="29"/>
  <c r="AW65" i="29"/>
  <c r="BK65" i="29"/>
  <c r="BC65" i="29"/>
  <c r="AU65" i="29"/>
  <c r="BI65" i="29"/>
  <c r="BA65" i="29"/>
  <c r="AS65" i="29"/>
  <c r="AR65" i="29" s="1"/>
  <c r="AQ65" i="29" s="1"/>
  <c r="BH66" i="29"/>
  <c r="BD82" i="29"/>
  <c r="AZ63" i="29"/>
  <c r="AX81" i="29"/>
  <c r="BF81" i="29"/>
  <c r="AP84" i="29"/>
  <c r="AB84" i="29"/>
  <c r="AX86" i="29"/>
  <c r="AP89" i="29"/>
  <c r="AB89" i="29"/>
  <c r="BB86" i="29"/>
  <c r="BK88" i="29"/>
  <c r="BC88" i="29"/>
  <c r="AU88" i="29"/>
  <c r="BI88" i="29"/>
  <c r="BA88" i="29"/>
  <c r="AS88" i="29"/>
  <c r="AR88" i="29" s="1"/>
  <c r="AQ88" i="29" s="1"/>
  <c r="BG88" i="29"/>
  <c r="AY88" i="29"/>
  <c r="BE88" i="29"/>
  <c r="AW88" i="29"/>
  <c r="BI125" i="29"/>
  <c r="BA125" i="29"/>
  <c r="AS125" i="29"/>
  <c r="AR125" i="29" s="1"/>
  <c r="AQ125" i="29" s="1"/>
  <c r="BG125" i="29"/>
  <c r="AY125" i="29"/>
  <c r="BE125" i="29"/>
  <c r="AW125" i="29"/>
  <c r="BK125" i="29"/>
  <c r="BC125" i="29"/>
  <c r="AU125" i="29"/>
  <c r="BJ125" i="29"/>
  <c r="AT125" i="29"/>
  <c r="BF125" i="29"/>
  <c r="BB125" i="29"/>
  <c r="AX125" i="29"/>
  <c r="BH125" i="29"/>
  <c r="BD125" i="29"/>
  <c r="AZ125" i="29"/>
  <c r="AC130" i="29"/>
  <c r="AB130" i="29"/>
  <c r="AP130" i="29"/>
  <c r="AT81" i="29"/>
  <c r="BF86" i="29"/>
  <c r="AZ88" i="29"/>
  <c r="BE103" i="29"/>
  <c r="AW103" i="29"/>
  <c r="BK103" i="29"/>
  <c r="BC103" i="29"/>
  <c r="AU103" i="29"/>
  <c r="BG103" i="29"/>
  <c r="AY103" i="29"/>
  <c r="BJ103" i="29"/>
  <c r="AX103" i="29"/>
  <c r="BH103" i="29"/>
  <c r="AT103" i="29"/>
  <c r="BD103" i="29"/>
  <c r="BA103" i="29"/>
  <c r="AT86" i="29"/>
  <c r="BD88" i="29"/>
  <c r="BH127" i="29"/>
  <c r="BF127" i="29"/>
  <c r="AX127" i="29"/>
  <c r="BK127" i="29"/>
  <c r="BC127" i="29"/>
  <c r="AU127" i="29"/>
  <c r="BJ127" i="29"/>
  <c r="AY127" i="29"/>
  <c r="BG127" i="29"/>
  <c r="AV127" i="29"/>
  <c r="BD127" i="29"/>
  <c r="AS127" i="29"/>
  <c r="AR127" i="29" s="1"/>
  <c r="AQ127" i="29" s="1"/>
  <c r="BA127" i="29"/>
  <c r="AW127" i="29"/>
  <c r="BI127" i="29"/>
  <c r="BB127" i="29"/>
  <c r="AZ127" i="29"/>
  <c r="AT127" i="29"/>
  <c r="BE127" i="29"/>
  <c r="BG86" i="29"/>
  <c r="AY86" i="29"/>
  <c r="BE86" i="29"/>
  <c r="AW86" i="29"/>
  <c r="BK86" i="29"/>
  <c r="BC86" i="29"/>
  <c r="AU86" i="29"/>
  <c r="BI86" i="29"/>
  <c r="BA86" i="29"/>
  <c r="AS86" i="29"/>
  <c r="AR86" i="29" s="1"/>
  <c r="AQ86" i="29" s="1"/>
  <c r="AP102" i="29"/>
  <c r="AC102" i="29"/>
  <c r="AC113" i="29" s="1"/>
  <c r="AB109" i="29"/>
  <c r="AC109" i="29"/>
  <c r="AP109" i="29"/>
  <c r="AZ84" i="29"/>
  <c r="BH84" i="29"/>
  <c r="AZ89" i="29"/>
  <c r="BH89" i="29"/>
  <c r="BG90" i="29"/>
  <c r="AY90" i="29"/>
  <c r="BB102" i="29"/>
  <c r="AT102" i="29"/>
  <c r="BF102" i="29"/>
  <c r="AX102" i="29"/>
  <c r="BC105" i="29"/>
  <c r="BH106" i="29"/>
  <c r="AZ106" i="29"/>
  <c r="BK106" i="29"/>
  <c r="BB106" i="29"/>
  <c r="AS106" i="29"/>
  <c r="AR106" i="29" s="1"/>
  <c r="AQ106" i="29" s="1"/>
  <c r="BI106" i="29"/>
  <c r="AY106" i="29"/>
  <c r="BF106" i="29"/>
  <c r="AW106" i="29"/>
  <c r="BD106" i="29"/>
  <c r="AU106" i="29"/>
  <c r="AB107" i="29"/>
  <c r="AP107" i="29"/>
  <c r="AC107" i="29"/>
  <c r="BG110" i="29"/>
  <c r="AY110" i="29"/>
  <c r="BK110" i="29"/>
  <c r="BC110" i="29"/>
  <c r="AU110" i="29"/>
  <c r="BB110" i="29"/>
  <c r="BJ110" i="29"/>
  <c r="AZ110" i="29"/>
  <c r="BH110" i="29"/>
  <c r="AW110" i="29"/>
  <c r="BE110" i="29"/>
  <c r="AT110" i="29"/>
  <c r="AP111" i="29"/>
  <c r="AC111" i="29"/>
  <c r="AT84" i="29"/>
  <c r="BB84" i="29"/>
  <c r="BJ84" i="29"/>
  <c r="AT89" i="29"/>
  <c r="BB89" i="29"/>
  <c r="BJ89" i="29"/>
  <c r="AB126" i="29"/>
  <c r="AP126" i="29"/>
  <c r="AP104" i="29"/>
  <c r="AB104" i="29"/>
  <c r="BG105" i="29"/>
  <c r="AY105" i="29"/>
  <c r="BK105" i="29"/>
  <c r="BB105" i="29"/>
  <c r="AS105" i="29"/>
  <c r="AR105" i="29" s="1"/>
  <c r="AQ105" i="29" s="1"/>
  <c r="BI105" i="29"/>
  <c r="AZ105" i="29"/>
  <c r="BF105" i="29"/>
  <c r="AW105" i="29"/>
  <c r="BD105" i="29"/>
  <c r="AU105" i="29"/>
  <c r="AX84" i="29"/>
  <c r="AX89" i="29"/>
  <c r="BA90" i="29"/>
  <c r="BJ90" i="29"/>
  <c r="AY102" i="29"/>
  <c r="BI102" i="29"/>
  <c r="AX105" i="29"/>
  <c r="AB106" i="29"/>
  <c r="AP106" i="29"/>
  <c r="AC106" i="29"/>
  <c r="BG106" i="29"/>
  <c r="BF110" i="29"/>
  <c r="BH129" i="29"/>
  <c r="AZ129" i="29"/>
  <c r="BF129" i="29"/>
  <c r="AX129" i="29"/>
  <c r="BE129" i="29"/>
  <c r="AW129" i="29"/>
  <c r="BK129" i="29"/>
  <c r="BC129" i="29"/>
  <c r="AU129" i="29"/>
  <c r="BG129" i="29"/>
  <c r="BB129" i="29"/>
  <c r="AY129" i="29"/>
  <c r="BJ129" i="29"/>
  <c r="AT129" i="29"/>
  <c r="BA129" i="29"/>
  <c r="AS129" i="29"/>
  <c r="AR129" i="29" s="1"/>
  <c r="AQ129" i="29" s="1"/>
  <c r="BI129" i="29"/>
  <c r="AZ104" i="29"/>
  <c r="AY111" i="29"/>
  <c r="AB124" i="29"/>
  <c r="BF111" i="29"/>
  <c r="AX111" i="29"/>
  <c r="BJ111" i="29"/>
  <c r="BB111" i="29"/>
  <c r="AT111" i="29"/>
  <c r="BE123" i="29"/>
  <c r="AW123" i="29"/>
  <c r="BI123" i="29"/>
  <c r="BA123" i="29"/>
  <c r="AS123" i="29"/>
  <c r="AR123" i="29" s="1"/>
  <c r="AT123" i="29"/>
  <c r="BD123" i="29"/>
  <c r="BE149" i="29"/>
  <c r="AW149" i="29"/>
  <c r="BK149" i="29"/>
  <c r="BC149" i="29"/>
  <c r="AU149" i="29"/>
  <c r="BJ149" i="29"/>
  <c r="BB149" i="29"/>
  <c r="AT149" i="29"/>
  <c r="BI149" i="29"/>
  <c r="BA149" i="29"/>
  <c r="AS149" i="29"/>
  <c r="AR149" i="29" s="1"/>
  <c r="AQ149" i="29" s="1"/>
  <c r="BH149" i="29"/>
  <c r="AZ149" i="29"/>
  <c r="BF149" i="29"/>
  <c r="AX149" i="29"/>
  <c r="BG149" i="29"/>
  <c r="AY149" i="29"/>
  <c r="BG123" i="29"/>
  <c r="AC153" i="29"/>
  <c r="AB153" i="29"/>
  <c r="AP153" i="29"/>
  <c r="AZ109" i="29"/>
  <c r="AT124" i="29"/>
  <c r="BB124" i="29"/>
  <c r="BJ124" i="29"/>
  <c r="AX126" i="29"/>
  <c r="BF126" i="29"/>
  <c r="AB128" i="29"/>
  <c r="AP128" i="29"/>
  <c r="BB128" i="29"/>
  <c r="AZ126" i="29"/>
  <c r="BH126" i="29"/>
  <c r="AS128" i="29"/>
  <c r="AR128" i="29" s="1"/>
  <c r="AQ128" i="29" s="1"/>
  <c r="BE128" i="29"/>
  <c r="AZ107" i="29"/>
  <c r="AX124" i="29"/>
  <c r="AT126" i="29"/>
  <c r="BB126" i="29"/>
  <c r="AV128" i="29"/>
  <c r="BE150" i="29"/>
  <c r="AW150" i="29"/>
  <c r="BK150" i="29"/>
  <c r="BC150" i="29"/>
  <c r="AU150" i="29"/>
  <c r="BJ150" i="29"/>
  <c r="BB150" i="29"/>
  <c r="AT150" i="29"/>
  <c r="BI150" i="29"/>
  <c r="BA150" i="29"/>
  <c r="AS150" i="29"/>
  <c r="AR150" i="29" s="1"/>
  <c r="AQ150" i="29" s="1"/>
  <c r="BH150" i="29"/>
  <c r="AZ150" i="29"/>
  <c r="BF150" i="29"/>
  <c r="AX150" i="29"/>
  <c r="BH128" i="29"/>
  <c r="AZ128" i="29"/>
  <c r="BF128" i="29"/>
  <c r="AX128" i="29"/>
  <c r="BK128" i="29"/>
  <c r="BC128" i="29"/>
  <c r="AU128" i="29"/>
  <c r="BE148" i="29"/>
  <c r="AW148" i="29"/>
  <c r="BK148" i="29"/>
  <c r="BC148" i="29"/>
  <c r="AU148" i="29"/>
  <c r="BJ148" i="29"/>
  <c r="BB148" i="29"/>
  <c r="AT148" i="29"/>
  <c r="BI148" i="29"/>
  <c r="BA148" i="29"/>
  <c r="AS148" i="29"/>
  <c r="AR148" i="29" s="1"/>
  <c r="AQ148" i="29" s="1"/>
  <c r="BH148" i="29"/>
  <c r="AZ148" i="29"/>
  <c r="BF148" i="29"/>
  <c r="AX148" i="29"/>
  <c r="AY130" i="29"/>
  <c r="BG130" i="29"/>
  <c r="AT131" i="29"/>
  <c r="BB131" i="29"/>
  <c r="BJ131" i="29"/>
  <c r="AC132" i="29"/>
  <c r="AZ144" i="29"/>
  <c r="BH144" i="29"/>
  <c r="AC145" i="29"/>
  <c r="AT146" i="29"/>
  <c r="BB146" i="29"/>
  <c r="BJ146" i="29"/>
  <c r="AW147" i="29"/>
  <c r="BE147" i="29"/>
  <c r="AP148" i="29"/>
  <c r="AP149" i="29"/>
  <c r="AP150" i="29"/>
  <c r="AT151" i="29"/>
  <c r="BB151" i="29"/>
  <c r="BJ151" i="29"/>
  <c r="AW152" i="29"/>
  <c r="BE152" i="29"/>
  <c r="AT144" i="29"/>
  <c r="BB144" i="29"/>
  <c r="AY147" i="29"/>
  <c r="BG147" i="29"/>
  <c r="AB148" i="29"/>
  <c r="AB149" i="29"/>
  <c r="AB150" i="29"/>
  <c r="AY152" i="29"/>
  <c r="BG152" i="29"/>
  <c r="AP129" i="29"/>
  <c r="AT130" i="29"/>
  <c r="BB130" i="29"/>
  <c r="AW131" i="29"/>
  <c r="BE131" i="29"/>
  <c r="AU144" i="29"/>
  <c r="BC144" i="29"/>
  <c r="AW146" i="29"/>
  <c r="BE146" i="29"/>
  <c r="AZ147" i="29"/>
  <c r="BH147" i="29"/>
  <c r="AW151" i="29"/>
  <c r="BE151" i="29"/>
  <c r="AZ152" i="29"/>
  <c r="BH152" i="29"/>
  <c r="AX146" i="29"/>
  <c r="BF146" i="29"/>
  <c r="AS147" i="29"/>
  <c r="AR147" i="29" s="1"/>
  <c r="AQ147" i="29" s="1"/>
  <c r="BA147" i="29"/>
  <c r="BI147" i="29"/>
  <c r="AS152" i="29"/>
  <c r="AR152" i="29" s="1"/>
  <c r="AQ152" i="29" s="1"/>
  <c r="BA152" i="29"/>
  <c r="BI152" i="29"/>
  <c r="AY131" i="29"/>
  <c r="AW144" i="29"/>
  <c r="AY146" i="29"/>
  <c r="AT147" i="29"/>
  <c r="BB147" i="29"/>
  <c r="AY151" i="29"/>
  <c r="AT152" i="29"/>
  <c r="BB152" i="29"/>
  <c r="BN14" i="28"/>
  <c r="A14" i="28" s="1"/>
  <c r="CL6" i="28"/>
  <c r="BN35" i="28"/>
  <c r="A35" i="28" s="1"/>
  <c r="G138" i="28"/>
  <c r="E139" i="28"/>
  <c r="G117" i="28"/>
  <c r="E118" i="28"/>
  <c r="G96" i="28"/>
  <c r="E76" i="28"/>
  <c r="G54" i="28"/>
  <c r="E97" i="28"/>
  <c r="G75" i="28"/>
  <c r="E34" i="28"/>
  <c r="E13" i="28"/>
  <c r="G12" i="28"/>
  <c r="DK7" i="28"/>
  <c r="DI6" i="28"/>
  <c r="DK4" i="28"/>
  <c r="DG5" i="28"/>
  <c r="DG3" i="28"/>
  <c r="DK2" i="28"/>
  <c r="DC2" i="28"/>
  <c r="DM8" i="28"/>
  <c r="DM5" i="28"/>
  <c r="DM3" i="28"/>
  <c r="DE3" i="28"/>
  <c r="E33" i="28" s="1"/>
  <c r="DI2" i="28"/>
  <c r="DA2" i="28"/>
  <c r="DM6" i="28"/>
  <c r="DG4" i="28"/>
  <c r="E55" i="28"/>
  <c r="G33" i="28"/>
  <c r="DK5" i="28"/>
  <c r="O5" i="28"/>
  <c r="DK3" i="28"/>
  <c r="DM7" i="28"/>
  <c r="DK6" i="28"/>
  <c r="DM4" i="28"/>
  <c r="DE4" i="28"/>
  <c r="E54" i="28" s="1"/>
  <c r="DI5" i="28"/>
  <c r="DI3" i="28"/>
  <c r="DM2" i="28"/>
  <c r="DE2" i="28"/>
  <c r="AU18" i="28"/>
  <c r="BC18" i="28"/>
  <c r="AC19" i="28"/>
  <c r="AK19" i="28"/>
  <c r="AS19" i="28"/>
  <c r="AR19" i="28" s="1"/>
  <c r="AQ19" i="28" s="1"/>
  <c r="BA19" i="28"/>
  <c r="BI19" i="28"/>
  <c r="AI20" i="28"/>
  <c r="AY20" i="28"/>
  <c r="BG20" i="28"/>
  <c r="AI21" i="28"/>
  <c r="AY21" i="28"/>
  <c r="BG21" i="28"/>
  <c r="AW22" i="28"/>
  <c r="AW23" i="28"/>
  <c r="AW24" i="28"/>
  <c r="AC25" i="28"/>
  <c r="AK25" i="28"/>
  <c r="AS25" i="28"/>
  <c r="AR25" i="28" s="1"/>
  <c r="AQ25" i="28" s="1"/>
  <c r="BA25" i="28"/>
  <c r="BI25" i="28"/>
  <c r="AE27" i="28"/>
  <c r="AM27" i="28"/>
  <c r="AU27" i="28"/>
  <c r="BC27" i="28"/>
  <c r="BK27" i="28"/>
  <c r="AB40" i="28"/>
  <c r="AW40" i="28"/>
  <c r="AW41" i="28"/>
  <c r="BD42" i="28"/>
  <c r="AF43" i="28"/>
  <c r="BJ43" i="28"/>
  <c r="BB43" i="28"/>
  <c r="AT43" i="28"/>
  <c r="BG43" i="28"/>
  <c r="AY43" i="28"/>
  <c r="BF43" i="28"/>
  <c r="AX43" i="28"/>
  <c r="BK43" i="28"/>
  <c r="BC43" i="28"/>
  <c r="AU43" i="28"/>
  <c r="AB44" i="28"/>
  <c r="AL45" i="28"/>
  <c r="AD45" i="28"/>
  <c r="AI45" i="28"/>
  <c r="AH45" i="28"/>
  <c r="AM45" i="28"/>
  <c r="AE45" i="28"/>
  <c r="BD45" i="28"/>
  <c r="AB46" i="28"/>
  <c r="AC60" i="28"/>
  <c r="AC71" i="28" s="1"/>
  <c r="BI62" i="28"/>
  <c r="BA62" i="28"/>
  <c r="AS62" i="28"/>
  <c r="AR62" i="28" s="1"/>
  <c r="AQ62" i="28" s="1"/>
  <c r="BF62" i="28"/>
  <c r="AX62" i="28"/>
  <c r="BE62" i="28"/>
  <c r="AW62" i="28"/>
  <c r="BJ62" i="28"/>
  <c r="BB62" i="28"/>
  <c r="AT62" i="28"/>
  <c r="AT65" i="28"/>
  <c r="AP69" i="28"/>
  <c r="AC69" i="28"/>
  <c r="AB69" i="28"/>
  <c r="AJ20" i="28"/>
  <c r="AZ20" i="28"/>
  <c r="BH20" i="28"/>
  <c r="AJ21" i="28"/>
  <c r="AZ21" i="28"/>
  <c r="BH21" i="28"/>
  <c r="BI39" i="28"/>
  <c r="BA39" i="28"/>
  <c r="AS39" i="28"/>
  <c r="AR39" i="28" s="1"/>
  <c r="BE39" i="28"/>
  <c r="AW39" i="28"/>
  <c r="AL40" i="28"/>
  <c r="AD40" i="28"/>
  <c r="AH40" i="28"/>
  <c r="AV69" i="28"/>
  <c r="AP84" i="28"/>
  <c r="AC84" i="28"/>
  <c r="AK20" i="28"/>
  <c r="AS20" i="28"/>
  <c r="AR20" i="28" s="1"/>
  <c r="AQ20" i="28" s="1"/>
  <c r="BA20" i="28"/>
  <c r="BI20" i="28"/>
  <c r="AK21" i="28"/>
  <c r="AS21" i="28"/>
  <c r="AR21" i="28" s="1"/>
  <c r="AQ21" i="28" s="1"/>
  <c r="BA21" i="28"/>
  <c r="BI21" i="28"/>
  <c r="AO29" i="28"/>
  <c r="BC39" i="28"/>
  <c r="AE40" i="28"/>
  <c r="BE40" i="28"/>
  <c r="BJ40" i="28"/>
  <c r="BB40" i="28"/>
  <c r="AT40" i="28"/>
  <c r="BF40" i="28"/>
  <c r="AX40" i="28"/>
  <c r="BJ44" i="28"/>
  <c r="BB44" i="28"/>
  <c r="AT44" i="28"/>
  <c r="BG44" i="28"/>
  <c r="AY44" i="28"/>
  <c r="BF44" i="28"/>
  <c r="AX44" i="28"/>
  <c r="BK44" i="28"/>
  <c r="BC44" i="28"/>
  <c r="AU44" i="28"/>
  <c r="AB45" i="28"/>
  <c r="BF46" i="28"/>
  <c r="AX46" i="28"/>
  <c r="BK46" i="28"/>
  <c r="BC46" i="28"/>
  <c r="AU46" i="28"/>
  <c r="BJ46" i="28"/>
  <c r="BB46" i="28"/>
  <c r="AT46" i="28"/>
  <c r="BG46" i="28"/>
  <c r="AY46" i="28"/>
  <c r="AY65" i="28"/>
  <c r="AW69" i="28"/>
  <c r="AO71" i="28"/>
  <c r="CG10" i="28"/>
  <c r="CG11" i="28" s="1"/>
  <c r="CG12" i="28" s="1"/>
  <c r="CG13" i="28" s="1"/>
  <c r="CG14" i="28" s="1"/>
  <c r="CG15" i="28" s="1"/>
  <c r="CG16" i="28" s="1"/>
  <c r="CG17" i="28" s="1"/>
  <c r="CG18" i="28" s="1"/>
  <c r="CG19" i="28" s="1"/>
  <c r="CG20" i="28" s="1"/>
  <c r="CG21" i="28" s="1"/>
  <c r="CG22" i="28" s="1"/>
  <c r="CG23" i="28" s="1"/>
  <c r="CG24" i="28" s="1"/>
  <c r="CG25" i="28" s="1"/>
  <c r="CG26" i="28" s="1"/>
  <c r="CG27" i="28" s="1"/>
  <c r="CG28" i="28" s="1"/>
  <c r="CG29" i="28" s="1"/>
  <c r="CG30" i="28" s="1"/>
  <c r="AP18" i="28"/>
  <c r="AX18" i="28"/>
  <c r="BF18" i="28"/>
  <c r="AD20" i="28"/>
  <c r="AL20" i="28"/>
  <c r="AT20" i="28"/>
  <c r="BB20" i="28"/>
  <c r="BJ20" i="28"/>
  <c r="AD21" i="28"/>
  <c r="AL21" i="28"/>
  <c r="AT21" i="28"/>
  <c r="BB21" i="28"/>
  <c r="BJ21" i="28"/>
  <c r="AH27" i="28"/>
  <c r="AP27" i="28"/>
  <c r="AX27" i="28"/>
  <c r="BF27" i="28"/>
  <c r="AT39" i="28"/>
  <c r="BD39" i="28"/>
  <c r="AF40" i="28"/>
  <c r="BA40" i="28"/>
  <c r="AH41" i="28"/>
  <c r="AM41" i="28"/>
  <c r="AE41" i="28"/>
  <c r="AL41" i="28"/>
  <c r="AI41" i="28"/>
  <c r="BD41" i="28"/>
  <c r="AF42" i="28"/>
  <c r="AU42" i="28"/>
  <c r="AG44" i="28"/>
  <c r="AW44" i="28"/>
  <c r="AC45" i="28"/>
  <c r="AS45" i="28"/>
  <c r="AR45" i="28" s="1"/>
  <c r="AQ45" i="28" s="1"/>
  <c r="AG46" i="28"/>
  <c r="AW46" i="28"/>
  <c r="AI47" i="28"/>
  <c r="BI47" i="28"/>
  <c r="BA47" i="28"/>
  <c r="AS47" i="28"/>
  <c r="AR47" i="28" s="1"/>
  <c r="AQ47" i="28" s="1"/>
  <c r="BF47" i="28"/>
  <c r="AX47" i="28"/>
  <c r="BE47" i="28"/>
  <c r="AW47" i="28"/>
  <c r="BJ47" i="28"/>
  <c r="BB47" i="28"/>
  <c r="AT47" i="28"/>
  <c r="BM52" i="28"/>
  <c r="BC62" i="28"/>
  <c r="BB65" i="28"/>
  <c r="BD69" i="28"/>
  <c r="BF82" i="28"/>
  <c r="AX82" i="28"/>
  <c r="BK82" i="28"/>
  <c r="BC82" i="28"/>
  <c r="AU82" i="28"/>
  <c r="BJ82" i="28"/>
  <c r="BB82" i="28"/>
  <c r="AT82" i="28"/>
  <c r="BG82" i="28"/>
  <c r="AY82" i="28"/>
  <c r="AW82" i="28"/>
  <c r="BH82" i="28"/>
  <c r="BE82" i="28"/>
  <c r="AZ82" i="28"/>
  <c r="AY18" i="28"/>
  <c r="BG18" i="28"/>
  <c r="AE20" i="28"/>
  <c r="AM20" i="28"/>
  <c r="AU20" i="28"/>
  <c r="BC20" i="28"/>
  <c r="BK20" i="28"/>
  <c r="AE21" i="28"/>
  <c r="AM21" i="28"/>
  <c r="AU21" i="28"/>
  <c r="BC21" i="28"/>
  <c r="BK21" i="28"/>
  <c r="AI27" i="28"/>
  <c r="AY27" i="28"/>
  <c r="BG27" i="28"/>
  <c r="CG31" i="28"/>
  <c r="CG32" i="28" s="1"/>
  <c r="CG33" i="28" s="1"/>
  <c r="CG34" i="28" s="1"/>
  <c r="CG35" i="28" s="1"/>
  <c r="CG36" i="28" s="1"/>
  <c r="CG37" i="28" s="1"/>
  <c r="CG38" i="28" s="1"/>
  <c r="CG39" i="28" s="1"/>
  <c r="CG40" i="28" s="1"/>
  <c r="CG41" i="28" s="1"/>
  <c r="CG42" i="28" s="1"/>
  <c r="CG43" i="28" s="1"/>
  <c r="CG44" i="28" s="1"/>
  <c r="CG45" i="28" s="1"/>
  <c r="CG46" i="28" s="1"/>
  <c r="CG47" i="28" s="1"/>
  <c r="CG48" i="28" s="1"/>
  <c r="CG49" i="28" s="1"/>
  <c r="CG50" i="28" s="1"/>
  <c r="CG51" i="28" s="1"/>
  <c r="AU39" i="28"/>
  <c r="BF39" i="28"/>
  <c r="AG40" i="28"/>
  <c r="BC40" i="28"/>
  <c r="BI42" i="28"/>
  <c r="BA42" i="28"/>
  <c r="AS42" i="28"/>
  <c r="AR42" i="28" s="1"/>
  <c r="AQ42" i="28" s="1"/>
  <c r="BF42" i="28"/>
  <c r="AX42" i="28"/>
  <c r="BE42" i="28"/>
  <c r="AW42" i="28"/>
  <c r="BJ42" i="28"/>
  <c r="BB42" i="28"/>
  <c r="AT42" i="28"/>
  <c r="AL43" i="28"/>
  <c r="AD43" i="28"/>
  <c r="AI43" i="28"/>
  <c r="AH43" i="28"/>
  <c r="AM43" i="28"/>
  <c r="AE43" i="28"/>
  <c r="AZ44" i="28"/>
  <c r="BJ45" i="28"/>
  <c r="BB45" i="28"/>
  <c r="AT45" i="28"/>
  <c r="BG45" i="28"/>
  <c r="AY45" i="28"/>
  <c r="BF45" i="28"/>
  <c r="AX45" i="28"/>
  <c r="BK45" i="28"/>
  <c r="BC45" i="28"/>
  <c r="AU45" i="28"/>
  <c r="AZ46" i="28"/>
  <c r="AB84" i="28"/>
  <c r="BG39" i="28"/>
  <c r="BF69" i="28"/>
  <c r="AX69" i="28"/>
  <c r="BK69" i="28"/>
  <c r="BC69" i="28"/>
  <c r="AU69" i="28"/>
  <c r="BJ69" i="28"/>
  <c r="BB69" i="28"/>
  <c r="AT69" i="28"/>
  <c r="BG69" i="28"/>
  <c r="AY69" i="28"/>
  <c r="AZ69" i="28"/>
  <c r="BI69" i="28"/>
  <c r="AS69" i="28"/>
  <c r="AR69" i="28" s="1"/>
  <c r="AQ69" i="28" s="1"/>
  <c r="BH69" i="28"/>
  <c r="BA69" i="28"/>
  <c r="AS18" i="28"/>
  <c r="AR18" i="28" s="1"/>
  <c r="BA18" i="28"/>
  <c r="BI18" i="28"/>
  <c r="AG20" i="28"/>
  <c r="AW20" i="28"/>
  <c r="BE20" i="28"/>
  <c r="AG21" i="28"/>
  <c r="AW21" i="28"/>
  <c r="BE21" i="28"/>
  <c r="AK27" i="28"/>
  <c r="AS27" i="28"/>
  <c r="AR27" i="28" s="1"/>
  <c r="AQ27" i="28" s="1"/>
  <c r="BA27" i="28"/>
  <c r="BI27" i="28"/>
  <c r="AX39" i="28"/>
  <c r="BH39" i="28"/>
  <c r="AJ40" i="28"/>
  <c r="AU40" i="28"/>
  <c r="BG40" i="28"/>
  <c r="AB43" i="28"/>
  <c r="AL44" i="28"/>
  <c r="AD44" i="28"/>
  <c r="AI44" i="28"/>
  <c r="AH44" i="28"/>
  <c r="AM44" i="28"/>
  <c r="AE44" i="28"/>
  <c r="BD44" i="28"/>
  <c r="AH46" i="28"/>
  <c r="AM46" i="28"/>
  <c r="AE46" i="28"/>
  <c r="AL46" i="28"/>
  <c r="AD46" i="28"/>
  <c r="AI46" i="28"/>
  <c r="BD46" i="28"/>
  <c r="AK47" i="28"/>
  <c r="AH47" i="28"/>
  <c r="AG47" i="28"/>
  <c r="AL47" i="28"/>
  <c r="AD47" i="28"/>
  <c r="BH65" i="28"/>
  <c r="AZ65" i="28"/>
  <c r="BE65" i="28"/>
  <c r="AW65" i="28"/>
  <c r="BI65" i="28"/>
  <c r="BA65" i="28"/>
  <c r="AS65" i="28"/>
  <c r="AR65" i="28" s="1"/>
  <c r="AQ65" i="28" s="1"/>
  <c r="BC65" i="28"/>
  <c r="BK65" i="28"/>
  <c r="AX65" i="28"/>
  <c r="BJ65" i="28"/>
  <c r="AV65" i="28"/>
  <c r="BD65" i="28"/>
  <c r="AT18" i="28"/>
  <c r="AZ19" i="28"/>
  <c r="AX20" i="28"/>
  <c r="AX21" i="28"/>
  <c r="AZ25" i="28"/>
  <c r="AD27" i="28"/>
  <c r="AT27" i="28"/>
  <c r="BB27" i="28"/>
  <c r="AY39" i="28"/>
  <c r="AK40" i="28"/>
  <c r="AV40" i="28"/>
  <c r="BH40" i="28"/>
  <c r="BF41" i="28"/>
  <c r="AX41" i="28"/>
  <c r="BK41" i="28"/>
  <c r="BC41" i="28"/>
  <c r="AU41" i="28"/>
  <c r="BJ41" i="28"/>
  <c r="BB41" i="28"/>
  <c r="AT41" i="28"/>
  <c r="BG41" i="28"/>
  <c r="AY41" i="28"/>
  <c r="AK42" i="28"/>
  <c r="AH42" i="28"/>
  <c r="AG42" i="28"/>
  <c r="AL42" i="28"/>
  <c r="AD42" i="28"/>
  <c r="AC43" i="28"/>
  <c r="BE44" i="28"/>
  <c r="BE46" i="28"/>
  <c r="AP60" i="28"/>
  <c r="AU62" i="28"/>
  <c r="BK62" i="28"/>
  <c r="BE81" i="28"/>
  <c r="AW81" i="28"/>
  <c r="BB81" i="28"/>
  <c r="AT81" i="28"/>
  <c r="BI81" i="28"/>
  <c r="BA81" i="28"/>
  <c r="AS81" i="28"/>
  <c r="AR81" i="28" s="1"/>
  <c r="BF81" i="28"/>
  <c r="AX81" i="28"/>
  <c r="BH81" i="28"/>
  <c r="BC81" i="28"/>
  <c r="AZ81" i="28"/>
  <c r="AU81" i="28"/>
  <c r="AV82" i="28"/>
  <c r="AK48" i="28"/>
  <c r="AS48" i="28"/>
  <c r="AR48" i="28" s="1"/>
  <c r="AQ48" i="28" s="1"/>
  <c r="BA48" i="28"/>
  <c r="BI48" i="28"/>
  <c r="AZ60" i="28"/>
  <c r="AS61" i="28"/>
  <c r="AR61" i="28" s="1"/>
  <c r="AQ61" i="28" s="1"/>
  <c r="BA61" i="28"/>
  <c r="BI61" i="28"/>
  <c r="AP63" i="28"/>
  <c r="AT64" i="28"/>
  <c r="AP83" i="28"/>
  <c r="AX85" i="28"/>
  <c r="BE88" i="28"/>
  <c r="AW88" i="28"/>
  <c r="BJ88" i="28"/>
  <c r="BB88" i="28"/>
  <c r="AT88" i="28"/>
  <c r="BI88" i="28"/>
  <c r="BA88" i="28"/>
  <c r="AS88" i="28"/>
  <c r="AR88" i="28" s="1"/>
  <c r="AQ88" i="28" s="1"/>
  <c r="BF88" i="28"/>
  <c r="AX88" i="28"/>
  <c r="BG88" i="28"/>
  <c r="AZ88" i="28"/>
  <c r="AY88" i="28"/>
  <c r="BH88" i="28"/>
  <c r="BF85" i="28"/>
  <c r="BI86" i="28"/>
  <c r="BA86" i="28"/>
  <c r="AS86" i="28"/>
  <c r="AR86" i="28" s="1"/>
  <c r="AQ86" i="28" s="1"/>
  <c r="BE86" i="28"/>
  <c r="AW86" i="28"/>
  <c r="BJ86" i="28"/>
  <c r="BB86" i="28"/>
  <c r="AT86" i="28"/>
  <c r="AZ86" i="28"/>
  <c r="BH86" i="28"/>
  <c r="AV86" i="28"/>
  <c r="BG86" i="28"/>
  <c r="AU86" i="28"/>
  <c r="BC86" i="28"/>
  <c r="BI87" i="28"/>
  <c r="BA87" i="28"/>
  <c r="AS87" i="28"/>
  <c r="AR87" i="28" s="1"/>
  <c r="AQ87" i="28" s="1"/>
  <c r="BF87" i="28"/>
  <c r="AX87" i="28"/>
  <c r="BE87" i="28"/>
  <c r="AW87" i="28"/>
  <c r="BJ87" i="28"/>
  <c r="BB87" i="28"/>
  <c r="AT87" i="28"/>
  <c r="BG87" i="28"/>
  <c r="AZ87" i="28"/>
  <c r="AY87" i="28"/>
  <c r="BH87" i="28"/>
  <c r="AP42" i="28"/>
  <c r="AP47" i="28"/>
  <c r="AG48" i="28"/>
  <c r="AW48" i="28"/>
  <c r="BE48" i="28"/>
  <c r="AW61" i="28"/>
  <c r="BE61" i="28"/>
  <c r="AP62" i="28"/>
  <c r="BH64" i="28"/>
  <c r="AZ64" i="28"/>
  <c r="BE64" i="28"/>
  <c r="AW64" i="28"/>
  <c r="BI64" i="28"/>
  <c r="BA64" i="28"/>
  <c r="AS64" i="28"/>
  <c r="AR64" i="28" s="1"/>
  <c r="AQ64" i="28" s="1"/>
  <c r="AB82" i="28"/>
  <c r="BJ84" i="28"/>
  <c r="BB84" i="28"/>
  <c r="AT84" i="28"/>
  <c r="BG84" i="28"/>
  <c r="AY84" i="28"/>
  <c r="BF84" i="28"/>
  <c r="AX84" i="28"/>
  <c r="BK84" i="28"/>
  <c r="BC84" i="28"/>
  <c r="AU84" i="28"/>
  <c r="AP85" i="28"/>
  <c r="AC85" i="28"/>
  <c r="AB85" i="28"/>
  <c r="AU88" i="28"/>
  <c r="BJ85" i="28"/>
  <c r="BB85" i="28"/>
  <c r="AT85" i="28"/>
  <c r="BH85" i="28"/>
  <c r="AY85" i="28"/>
  <c r="BE85" i="28"/>
  <c r="AV85" i="28"/>
  <c r="BD85" i="28"/>
  <c r="AU85" i="28"/>
  <c r="BI85" i="28"/>
  <c r="AZ85" i="28"/>
  <c r="BC88" i="28"/>
  <c r="AZ48" i="28"/>
  <c r="AZ61" i="28"/>
  <c r="AW85" i="28"/>
  <c r="AY86" i="28"/>
  <c r="BD88" i="28"/>
  <c r="AB90" i="28"/>
  <c r="AP90" i="28"/>
  <c r="AZ63" i="28"/>
  <c r="AS66" i="28"/>
  <c r="AR66" i="28" s="1"/>
  <c r="AQ66" i="28" s="1"/>
  <c r="BA66" i="28"/>
  <c r="BI66" i="28"/>
  <c r="AW67" i="28"/>
  <c r="BE67" i="28"/>
  <c r="AZ68" i="28"/>
  <c r="AP81" i="28"/>
  <c r="AZ83" i="28"/>
  <c r="BH83" i="28"/>
  <c r="AW66" i="28"/>
  <c r="BE66" i="28"/>
  <c r="AS67" i="28"/>
  <c r="AR67" i="28" s="1"/>
  <c r="AQ67" i="28" s="1"/>
  <c r="BA67" i="28"/>
  <c r="AO113" i="28"/>
  <c r="AP102" i="28"/>
  <c r="AP105" i="28"/>
  <c r="AC108" i="28"/>
  <c r="AP108" i="28"/>
  <c r="AZ66" i="28"/>
  <c r="AY83" i="28"/>
  <c r="BF102" i="28"/>
  <c r="AX102" i="28"/>
  <c r="BC102" i="28"/>
  <c r="AU102" i="28"/>
  <c r="BB102" i="28"/>
  <c r="AT102" i="28"/>
  <c r="BG102" i="28"/>
  <c r="AY102" i="28"/>
  <c r="AC105" i="28"/>
  <c r="AP88" i="28"/>
  <c r="AC89" i="28"/>
  <c r="AS89" i="28"/>
  <c r="AR89" i="28" s="1"/>
  <c r="AQ89" i="28" s="1"/>
  <c r="BA89" i="28"/>
  <c r="AZ90" i="28"/>
  <c r="BH90" i="28"/>
  <c r="AZ103" i="28"/>
  <c r="BH103" i="28"/>
  <c r="AS104" i="28"/>
  <c r="AR104" i="28" s="1"/>
  <c r="AQ104" i="28" s="1"/>
  <c r="BA104" i="28"/>
  <c r="AW106" i="28"/>
  <c r="BE106" i="28"/>
  <c r="AT109" i="28"/>
  <c r="AP123" i="28"/>
  <c r="AC126" i="28"/>
  <c r="AB126" i="28"/>
  <c r="AP126" i="28"/>
  <c r="AT129" i="28"/>
  <c r="AU90" i="28"/>
  <c r="BC90" i="28"/>
  <c r="AZ106" i="28"/>
  <c r="BH106" i="28"/>
  <c r="BK109" i="28"/>
  <c r="BC109" i="28"/>
  <c r="AU109" i="28"/>
  <c r="BI109" i="28"/>
  <c r="BA109" i="28"/>
  <c r="AS109" i="28"/>
  <c r="AR109" i="28" s="1"/>
  <c r="AQ109" i="28" s="1"/>
  <c r="BH109" i="28"/>
  <c r="AZ109" i="28"/>
  <c r="AC110" i="28"/>
  <c r="BE127" i="28"/>
  <c r="AW127" i="28"/>
  <c r="BJ127" i="28"/>
  <c r="BB127" i="28"/>
  <c r="AT127" i="28"/>
  <c r="BI127" i="28"/>
  <c r="BA127" i="28"/>
  <c r="AS127" i="28"/>
  <c r="AR127" i="28" s="1"/>
  <c r="AQ127" i="28" s="1"/>
  <c r="BH127" i="28"/>
  <c r="AZ127" i="28"/>
  <c r="BG127" i="28"/>
  <c r="AY127" i="28"/>
  <c r="BB129" i="28"/>
  <c r="AS106" i="28"/>
  <c r="AR106" i="28" s="1"/>
  <c r="AQ106" i="28" s="1"/>
  <c r="BA106" i="28"/>
  <c r="AC109" i="28"/>
  <c r="AB109" i="28"/>
  <c r="BI129" i="28"/>
  <c r="BA129" i="28"/>
  <c r="AS129" i="28"/>
  <c r="AR129" i="28" s="1"/>
  <c r="AQ129" i="28" s="1"/>
  <c r="BH129" i="28"/>
  <c r="AZ129" i="28"/>
  <c r="BC129" i="28"/>
  <c r="BJ129" i="28"/>
  <c r="AX129" i="28"/>
  <c r="BG129" i="28"/>
  <c r="AW129" i="28"/>
  <c r="BF129" i="28"/>
  <c r="AV129" i="28"/>
  <c r="BE129" i="28"/>
  <c r="AU129" i="28"/>
  <c r="AO134" i="28"/>
  <c r="AC123" i="28"/>
  <c r="AC134" i="28" s="1"/>
  <c r="BC127" i="28"/>
  <c r="AC129" i="28"/>
  <c r="AB129" i="28"/>
  <c r="BG132" i="28"/>
  <c r="AY132" i="28"/>
  <c r="BF132" i="28"/>
  <c r="AX132" i="28"/>
  <c r="BE132" i="28"/>
  <c r="AW132" i="28"/>
  <c r="BJ132" i="28"/>
  <c r="BB132" i="28"/>
  <c r="AT132" i="28"/>
  <c r="BK132" i="28"/>
  <c r="AU132" i="28"/>
  <c r="BH132" i="28"/>
  <c r="BD132" i="28"/>
  <c r="BC132" i="28"/>
  <c r="BA132" i="28"/>
  <c r="AZ132" i="28"/>
  <c r="AU110" i="28"/>
  <c r="BC110" i="28"/>
  <c r="BK110" i="28"/>
  <c r="AT111" i="28"/>
  <c r="BB111" i="28"/>
  <c r="BJ111" i="28"/>
  <c r="AS123" i="28"/>
  <c r="AR123" i="28" s="1"/>
  <c r="BA123" i="28"/>
  <c r="AT124" i="28"/>
  <c r="BB124" i="28"/>
  <c r="BJ124" i="28"/>
  <c r="AU125" i="28"/>
  <c r="BC125" i="28"/>
  <c r="BK125" i="28"/>
  <c r="AX126" i="28"/>
  <c r="BF126" i="28"/>
  <c r="AC128" i="28"/>
  <c r="AB128" i="28"/>
  <c r="AY128" i="28"/>
  <c r="BD131" i="28"/>
  <c r="BG145" i="28"/>
  <c r="AY145" i="28"/>
  <c r="BF145" i="28"/>
  <c r="AX145" i="28"/>
  <c r="BE145" i="28"/>
  <c r="AW145" i="28"/>
  <c r="BJ145" i="28"/>
  <c r="BB145" i="28"/>
  <c r="AT145" i="28"/>
  <c r="AV146" i="28"/>
  <c r="AU111" i="28"/>
  <c r="BC111" i="28"/>
  <c r="BK111" i="28"/>
  <c r="AU124" i="28"/>
  <c r="BC124" i="28"/>
  <c r="BK124" i="28"/>
  <c r="AY126" i="28"/>
  <c r="BG126" i="28"/>
  <c r="AB127" i="28"/>
  <c r="BI128" i="28"/>
  <c r="BA128" i="28"/>
  <c r="AS128" i="28"/>
  <c r="AR128" i="28" s="1"/>
  <c r="AQ128" i="28" s="1"/>
  <c r="BH128" i="28"/>
  <c r="AZ128" i="28"/>
  <c r="AB131" i="28"/>
  <c r="AP131" i="28"/>
  <c r="BE131" i="28"/>
  <c r="BA146" i="28"/>
  <c r="AC147" i="28"/>
  <c r="AB147" i="28"/>
  <c r="AP147" i="28"/>
  <c r="AC152" i="28"/>
  <c r="AB152" i="28"/>
  <c r="AP152" i="28"/>
  <c r="AZ126" i="28"/>
  <c r="BH126" i="28"/>
  <c r="AS131" i="28"/>
  <c r="AR131" i="28" s="1"/>
  <c r="AQ131" i="28" s="1"/>
  <c r="BI131" i="28"/>
  <c r="AV153" i="28"/>
  <c r="AY107" i="28"/>
  <c r="AX110" i="28"/>
  <c r="AW111" i="28"/>
  <c r="AW124" i="28"/>
  <c r="AX125" i="28"/>
  <c r="AS126" i="28"/>
  <c r="AR126" i="28" s="1"/>
  <c r="AQ126" i="28" s="1"/>
  <c r="BA126" i="28"/>
  <c r="AT128" i="28"/>
  <c r="BD128" i="28"/>
  <c r="AT131" i="28"/>
  <c r="BC145" i="28"/>
  <c r="BH131" i="28"/>
  <c r="AZ131" i="28"/>
  <c r="BG131" i="28"/>
  <c r="AY131" i="28"/>
  <c r="BF131" i="28"/>
  <c r="AX131" i="28"/>
  <c r="BK131" i="28"/>
  <c r="BC131" i="28"/>
  <c r="AU131" i="28"/>
  <c r="BK153" i="28"/>
  <c r="BC153" i="28"/>
  <c r="AU153" i="28"/>
  <c r="BJ153" i="28"/>
  <c r="BB153" i="28"/>
  <c r="AT153" i="28"/>
  <c r="BI153" i="28"/>
  <c r="BA153" i="28"/>
  <c r="AS153" i="28"/>
  <c r="AR153" i="28" s="1"/>
  <c r="AQ153" i="28" s="1"/>
  <c r="BH153" i="28"/>
  <c r="AZ153" i="28"/>
  <c r="BG153" i="28"/>
  <c r="AY153" i="28"/>
  <c r="BF153" i="28"/>
  <c r="AX153" i="28"/>
  <c r="BE153" i="28"/>
  <c r="AW153" i="28"/>
  <c r="AA145" i="28"/>
  <c r="Z145" i="28"/>
  <c r="BA131" i="28"/>
  <c r="BH146" i="28"/>
  <c r="AZ146" i="28"/>
  <c r="BG146" i="28"/>
  <c r="AY146" i="28"/>
  <c r="BF146" i="28"/>
  <c r="AX146" i="28"/>
  <c r="BE146" i="28"/>
  <c r="AW146" i="28"/>
  <c r="BK146" i="28"/>
  <c r="BC146" i="28"/>
  <c r="AU146" i="28"/>
  <c r="AX147" i="28"/>
  <c r="BF147" i="28"/>
  <c r="AU151" i="28"/>
  <c r="BC151" i="28"/>
  <c r="BK151" i="28"/>
  <c r="AX152" i="28"/>
  <c r="BF152" i="28"/>
  <c r="AO155" i="28"/>
  <c r="AZ147" i="28"/>
  <c r="BH147" i="28"/>
  <c r="AW151" i="28"/>
  <c r="BE151" i="28"/>
  <c r="AZ152" i="28"/>
  <c r="BH152" i="28"/>
  <c r="AP146" i="28"/>
  <c r="AS147" i="28"/>
  <c r="AR147" i="28" s="1"/>
  <c r="AQ147" i="28" s="1"/>
  <c r="BA147" i="28"/>
  <c r="BI147" i="28"/>
  <c r="AP151" i="28"/>
  <c r="AX151" i="28"/>
  <c r="BF151" i="28"/>
  <c r="AS152" i="28"/>
  <c r="AR152" i="28" s="1"/>
  <c r="AQ152" i="28" s="1"/>
  <c r="BA152" i="28"/>
  <c r="BI152" i="28"/>
  <c r="AW144" i="28"/>
  <c r="BE144" i="28"/>
  <c r="AT147" i="28"/>
  <c r="BB147" i="28"/>
  <c r="BJ147" i="28"/>
  <c r="AY151" i="28"/>
  <c r="BG151" i="28"/>
  <c r="AT152" i="28"/>
  <c r="BB152" i="28"/>
  <c r="BJ152" i="28"/>
  <c r="AW130" i="28"/>
  <c r="AX144" i="28"/>
  <c r="AU147" i="28"/>
  <c r="BC147" i="28"/>
  <c r="AZ151" i="28"/>
  <c r="BH151" i="28"/>
  <c r="AU152" i="28"/>
  <c r="BC152" i="28"/>
  <c r="AS151" i="28"/>
  <c r="AR151" i="28" s="1"/>
  <c r="AQ151" i="28" s="1"/>
  <c r="BA151" i="28"/>
  <c r="DG3" i="27"/>
  <c r="DE4" i="27"/>
  <c r="DM4" i="27"/>
  <c r="BB18" i="27"/>
  <c r="BN36" i="27"/>
  <c r="BN37" i="27" s="1"/>
  <c r="BN38" i="27" s="1"/>
  <c r="BN39" i="27" s="1"/>
  <c r="BN40" i="27" s="1"/>
  <c r="BN41" i="27" s="1"/>
  <c r="BN42" i="27" s="1"/>
  <c r="BN43" i="27" s="1"/>
  <c r="BN44" i="27" s="1"/>
  <c r="BN45" i="27" s="1"/>
  <c r="BN46" i="27" s="1"/>
  <c r="BN47" i="27" s="1"/>
  <c r="BN48" i="27" s="1"/>
  <c r="BN49" i="27" s="1"/>
  <c r="BN50" i="27" s="1"/>
  <c r="A50" i="27" s="1"/>
  <c r="O5" i="27"/>
  <c r="DI6" i="27"/>
  <c r="DK7" i="27"/>
  <c r="AM22" i="27"/>
  <c r="AE22" i="27"/>
  <c r="AL22" i="27"/>
  <c r="AD22" i="27"/>
  <c r="AK22" i="27"/>
  <c r="AJ22" i="27"/>
  <c r="AI22" i="27"/>
  <c r="AH22" i="27"/>
  <c r="AG22" i="27"/>
  <c r="DK2" i="27"/>
  <c r="DG4" i="27"/>
  <c r="DK3" i="27"/>
  <c r="DG5" i="27"/>
  <c r="DK6" i="27"/>
  <c r="DM7" i="27"/>
  <c r="BG19" i="27"/>
  <c r="AY19" i="27"/>
  <c r="BF19" i="27"/>
  <c r="BE19" i="27"/>
  <c r="AW19" i="27"/>
  <c r="BJ19" i="27"/>
  <c r="BB19" i="27"/>
  <c r="AT19" i="27"/>
  <c r="BI19" i="27"/>
  <c r="BA19" i="27"/>
  <c r="AS19" i="27"/>
  <c r="AR19" i="27" s="1"/>
  <c r="AQ19" i="27" s="1"/>
  <c r="DC2" i="27"/>
  <c r="DI4" i="27"/>
  <c r="CL5" i="27"/>
  <c r="AB18" i="27"/>
  <c r="AB29" i="27" s="1"/>
  <c r="AW18" i="27"/>
  <c r="AV19" i="27"/>
  <c r="AM23" i="27"/>
  <c r="AE23" i="27"/>
  <c r="AL23" i="27"/>
  <c r="AD23" i="27"/>
  <c r="AK23" i="27"/>
  <c r="AJ23" i="27"/>
  <c r="AI23" i="27"/>
  <c r="AH23" i="27"/>
  <c r="AG23" i="27"/>
  <c r="G138" i="27"/>
  <c r="E118" i="27"/>
  <c r="E97" i="27"/>
  <c r="E139" i="27"/>
  <c r="G117" i="27"/>
  <c r="E76" i="27"/>
  <c r="E55" i="27"/>
  <c r="G96" i="27"/>
  <c r="G75" i="27"/>
  <c r="G33" i="27"/>
  <c r="DM5" i="27"/>
  <c r="DM3" i="27"/>
  <c r="DE3" i="27"/>
  <c r="E33" i="27" s="1"/>
  <c r="DI2" i="27"/>
  <c r="DA2" i="27"/>
  <c r="E34" i="27"/>
  <c r="G54" i="27"/>
  <c r="DI5" i="27"/>
  <c r="DI3" i="27"/>
  <c r="DM2" i="27"/>
  <c r="DE2" i="27"/>
  <c r="DM6" i="27"/>
  <c r="G12" i="27"/>
  <c r="AG131" i="16" s="1"/>
  <c r="DK4" i="27"/>
  <c r="DK5" i="27"/>
  <c r="DM8" i="27"/>
  <c r="BK22" i="27"/>
  <c r="BC22" i="27"/>
  <c r="AU22" i="27"/>
  <c r="BJ22" i="27"/>
  <c r="BB22" i="27"/>
  <c r="AT22" i="27"/>
  <c r="BI22" i="27"/>
  <c r="BA22" i="27"/>
  <c r="AS22" i="27"/>
  <c r="AR22" i="27" s="1"/>
  <c r="AQ22" i="27" s="1"/>
  <c r="BH22" i="27"/>
  <c r="AZ22" i="27"/>
  <c r="BG22" i="27"/>
  <c r="AY22" i="27"/>
  <c r="BF22" i="27"/>
  <c r="AX22" i="27"/>
  <c r="BE22" i="27"/>
  <c r="AW22" i="27"/>
  <c r="DG2" i="27"/>
  <c r="AP18" i="27"/>
  <c r="BG18" i="27"/>
  <c r="AY18" i="27"/>
  <c r="BC18" i="27"/>
  <c r="AU18" i="27"/>
  <c r="AI19" i="27"/>
  <c r="AG19" i="27"/>
  <c r="AL19" i="27"/>
  <c r="AD19" i="27"/>
  <c r="AK19" i="27"/>
  <c r="BC19" i="27"/>
  <c r="AA64" i="27"/>
  <c r="Z64" i="27"/>
  <c r="AI20" i="27"/>
  <c r="AY20" i="27"/>
  <c r="BG20" i="27"/>
  <c r="AI21" i="27"/>
  <c r="AY21" i="27"/>
  <c r="BG21" i="27"/>
  <c r="AX23" i="27"/>
  <c r="BG23" i="27"/>
  <c r="AL24" i="27"/>
  <c r="BE24" i="27"/>
  <c r="AW24" i="27"/>
  <c r="AD25" i="27"/>
  <c r="AM25" i="27"/>
  <c r="AV25" i="27"/>
  <c r="BE25" i="27"/>
  <c r="AS27" i="27"/>
  <c r="AR27" i="27" s="1"/>
  <c r="AQ27" i="27" s="1"/>
  <c r="BD27" i="27"/>
  <c r="AB39" i="27"/>
  <c r="AB50" i="27" s="1"/>
  <c r="AW39" i="27"/>
  <c r="BH39" i="27"/>
  <c r="AJ40" i="27"/>
  <c r="AT40" i="27"/>
  <c r="BE40" i="27"/>
  <c r="AJ42" i="27"/>
  <c r="AT42" i="27"/>
  <c r="BE42" i="27"/>
  <c r="AC46" i="27"/>
  <c r="AC47" i="27"/>
  <c r="AM47" i="27"/>
  <c r="AE47" i="27"/>
  <c r="AI47" i="27"/>
  <c r="AX47" i="27"/>
  <c r="AG48" i="27"/>
  <c r="BC48" i="27"/>
  <c r="BC60" i="27"/>
  <c r="AZ61" i="27"/>
  <c r="AZ62" i="27"/>
  <c r="AZ63" i="27"/>
  <c r="AB64" i="27"/>
  <c r="AW64" i="27"/>
  <c r="AP65" i="27"/>
  <c r="BG65" i="27"/>
  <c r="AY65" i="27"/>
  <c r="BK65" i="27"/>
  <c r="BC65" i="27"/>
  <c r="AU65" i="27"/>
  <c r="BJ66" i="27"/>
  <c r="BB66" i="27"/>
  <c r="AT66" i="27"/>
  <c r="BG66" i="27"/>
  <c r="AY66" i="27"/>
  <c r="BK66" i="27"/>
  <c r="BC66" i="27"/>
  <c r="AU66" i="27"/>
  <c r="AT67" i="27"/>
  <c r="AW68" i="27"/>
  <c r="AJ20" i="27"/>
  <c r="BH20" i="27"/>
  <c r="AD24" i="27"/>
  <c r="AM24" i="27"/>
  <c r="AC39" i="27"/>
  <c r="AC50" i="27" s="1"/>
  <c r="AY39" i="27"/>
  <c r="BI39" i="27"/>
  <c r="AK40" i="27"/>
  <c r="AK42" i="27"/>
  <c r="AS48" i="27"/>
  <c r="AR48" i="27" s="1"/>
  <c r="AQ48" i="27" s="1"/>
  <c r="BD48" i="27"/>
  <c r="AT60" i="27"/>
  <c r="BD60" i="27"/>
  <c r="BJ61" i="27"/>
  <c r="BB61" i="27"/>
  <c r="AT61" i="27"/>
  <c r="BF61" i="27"/>
  <c r="AX61" i="27"/>
  <c r="BK62" i="27"/>
  <c r="BC62" i="27"/>
  <c r="AU62" i="27"/>
  <c r="BG62" i="27"/>
  <c r="AY62" i="27"/>
  <c r="BF63" i="27"/>
  <c r="AX63" i="27"/>
  <c r="BJ63" i="27"/>
  <c r="BB63" i="27"/>
  <c r="AT63" i="27"/>
  <c r="AC64" i="27"/>
  <c r="BF67" i="27"/>
  <c r="AX67" i="27"/>
  <c r="BE67" i="27"/>
  <c r="AW67" i="27"/>
  <c r="BK67" i="27"/>
  <c r="BC67" i="27"/>
  <c r="AU67" i="27"/>
  <c r="BG67" i="27"/>
  <c r="AY67" i="27"/>
  <c r="AY68" i="27"/>
  <c r="CG31" i="27"/>
  <c r="CG32" i="27" s="1"/>
  <c r="CG33" i="27" s="1"/>
  <c r="CG34" i="27" s="1"/>
  <c r="CG35" i="27" s="1"/>
  <c r="CG36" i="27" s="1"/>
  <c r="CG37" i="27" s="1"/>
  <c r="CG38" i="27" s="1"/>
  <c r="CG39" i="27" s="1"/>
  <c r="CG40" i="27" s="1"/>
  <c r="CG41" i="27" s="1"/>
  <c r="CG42" i="27" s="1"/>
  <c r="CG43" i="27" s="1"/>
  <c r="CG44" i="27" s="1"/>
  <c r="CG45" i="27" s="1"/>
  <c r="CG46" i="27" s="1"/>
  <c r="CG47" i="27" s="1"/>
  <c r="CG48" i="27" s="1"/>
  <c r="CG49" i="27" s="1"/>
  <c r="CG50" i="27" s="1"/>
  <c r="CG51" i="27" s="1"/>
  <c r="BM52" i="27"/>
  <c r="AC41" i="27"/>
  <c r="AP44" i="27"/>
  <c r="BK47" i="27"/>
  <c r="BC47" i="27"/>
  <c r="AU47" i="27"/>
  <c r="BG47" i="27"/>
  <c r="AY47" i="27"/>
  <c r="AU48" i="27"/>
  <c r="BE48" i="27"/>
  <c r="AU60" i="27"/>
  <c r="BF60" i="27"/>
  <c r="AZ67" i="27"/>
  <c r="BC68" i="27"/>
  <c r="BF39" i="27"/>
  <c r="AX39" i="27"/>
  <c r="BB39" i="27"/>
  <c r="AT39" i="27"/>
  <c r="AI40" i="27"/>
  <c r="AM40" i="27"/>
  <c r="AE40" i="27"/>
  <c r="AM42" i="27"/>
  <c r="AE42" i="27"/>
  <c r="AI42" i="27"/>
  <c r="AP45" i="27"/>
  <c r="BB47" i="27"/>
  <c r="AV48" i="27"/>
  <c r="BG48" i="27"/>
  <c r="BG60" i="27"/>
  <c r="BG64" i="27"/>
  <c r="AY64" i="27"/>
  <c r="BK64" i="27"/>
  <c r="BC64" i="27"/>
  <c r="AU64" i="27"/>
  <c r="BA67" i="27"/>
  <c r="BD68" i="27"/>
  <c r="AE20" i="27"/>
  <c r="AM20" i="27"/>
  <c r="AU20" i="27"/>
  <c r="BC20" i="27"/>
  <c r="BK20" i="27"/>
  <c r="AE21" i="27"/>
  <c r="AU21" i="27"/>
  <c r="BC21" i="27"/>
  <c r="AS23" i="27"/>
  <c r="AR23" i="27" s="1"/>
  <c r="AQ23" i="27" s="1"/>
  <c r="BB23" i="27"/>
  <c r="AH24" i="27"/>
  <c r="AY24" i="27"/>
  <c r="BH24" i="27"/>
  <c r="AH25" i="27"/>
  <c r="AZ25" i="27"/>
  <c r="BJ25" i="27"/>
  <c r="AP26" i="27"/>
  <c r="AI27" i="27"/>
  <c r="AM27" i="27"/>
  <c r="AE27" i="27"/>
  <c r="AX27" i="27"/>
  <c r="BI27" i="27"/>
  <c r="BC39" i="27"/>
  <c r="AD40" i="27"/>
  <c r="AZ40" i="27"/>
  <c r="AD42" i="27"/>
  <c r="AZ42" i="27"/>
  <c r="AP46" i="27"/>
  <c r="AH47" i="27"/>
  <c r="AS47" i="27"/>
  <c r="AR47" i="27" s="1"/>
  <c r="AQ47" i="27" s="1"/>
  <c r="BD47" i="27"/>
  <c r="AB48" i="27"/>
  <c r="AW48" i="27"/>
  <c r="BH48" i="27"/>
  <c r="AO50" i="27"/>
  <c r="AX60" i="27"/>
  <c r="BH60" i="27"/>
  <c r="AU61" i="27"/>
  <c r="BE61" i="27"/>
  <c r="AT62" i="27"/>
  <c r="BE62" i="27"/>
  <c r="AU63" i="27"/>
  <c r="BE63" i="27"/>
  <c r="BB64" i="27"/>
  <c r="BB67" i="27"/>
  <c r="AC68" i="27"/>
  <c r="AB68" i="27"/>
  <c r="AP68" i="27"/>
  <c r="BE68" i="27"/>
  <c r="BE23" i="27"/>
  <c r="AW23" i="27"/>
  <c r="AI24" i="27"/>
  <c r="AI25" i="27"/>
  <c r="BB25" i="27"/>
  <c r="AZ27" i="27"/>
  <c r="AS39" i="27"/>
  <c r="AR39" i="27" s="1"/>
  <c r="BD39" i="27"/>
  <c r="AF40" i="27"/>
  <c r="BG40" i="27"/>
  <c r="AY40" i="27"/>
  <c r="BK40" i="27"/>
  <c r="BC40" i="27"/>
  <c r="AU40" i="27"/>
  <c r="AF42" i="27"/>
  <c r="BK42" i="27"/>
  <c r="BC42" i="27"/>
  <c r="AU42" i="27"/>
  <c r="BG42" i="27"/>
  <c r="AY42" i="27"/>
  <c r="AT47" i="27"/>
  <c r="BE47" i="27"/>
  <c r="AC48" i="27"/>
  <c r="AL48" i="27"/>
  <c r="AD48" i="27"/>
  <c r="AH48" i="27"/>
  <c r="AY48" i="27"/>
  <c r="BI48" i="27"/>
  <c r="AY60" i="27"/>
  <c r="AV61" i="27"/>
  <c r="BG61" i="27"/>
  <c r="AB65" i="27"/>
  <c r="BD67" i="27"/>
  <c r="BG68" i="27"/>
  <c r="AW20" i="27"/>
  <c r="AJ24" i="27"/>
  <c r="AJ25" i="27"/>
  <c r="BI25" i="27"/>
  <c r="BA25" i="27"/>
  <c r="AS25" i="27"/>
  <c r="AR25" i="27" s="1"/>
  <c r="AQ25" i="27" s="1"/>
  <c r="BG27" i="27"/>
  <c r="AY27" i="27"/>
  <c r="BK27" i="27"/>
  <c r="BC27" i="27"/>
  <c r="AU27" i="27"/>
  <c r="AU39" i="27"/>
  <c r="BE39" i="27"/>
  <c r="AG40" i="27"/>
  <c r="AG42" i="27"/>
  <c r="AZ48" i="27"/>
  <c r="BE64" i="27"/>
  <c r="BH67" i="27"/>
  <c r="AU68" i="27"/>
  <c r="BJ48" i="27"/>
  <c r="BB48" i="27"/>
  <c r="AT48" i="27"/>
  <c r="BF48" i="27"/>
  <c r="AX48" i="27"/>
  <c r="BI60" i="27"/>
  <c r="BA60" i="27"/>
  <c r="AS60" i="27"/>
  <c r="AR60" i="27" s="1"/>
  <c r="BE60" i="27"/>
  <c r="AW60" i="27"/>
  <c r="BI68" i="27"/>
  <c r="BA68" i="27"/>
  <c r="AS68" i="27"/>
  <c r="AR68" i="27" s="1"/>
  <c r="AQ68" i="27" s="1"/>
  <c r="BH68" i="27"/>
  <c r="AZ68" i="27"/>
  <c r="BF68" i="27"/>
  <c r="AX68" i="27"/>
  <c r="BJ68" i="27"/>
  <c r="BB68" i="27"/>
  <c r="AT68" i="27"/>
  <c r="AZ43" i="27"/>
  <c r="AZ44" i="27"/>
  <c r="AS69" i="27"/>
  <c r="AR69" i="27" s="1"/>
  <c r="AQ69" i="27" s="1"/>
  <c r="BB69" i="27"/>
  <c r="AS82" i="27"/>
  <c r="AR82" i="27" s="1"/>
  <c r="AQ82" i="27" s="1"/>
  <c r="BD82" i="27"/>
  <c r="AP83" i="27"/>
  <c r="AS84" i="27"/>
  <c r="AR84" i="27" s="1"/>
  <c r="AQ84" i="27" s="1"/>
  <c r="BD84" i="27"/>
  <c r="AC87" i="27"/>
  <c r="AC88" i="27"/>
  <c r="AV89" i="27"/>
  <c r="AZ90" i="27"/>
  <c r="BD102" i="27"/>
  <c r="BG105" i="27"/>
  <c r="AY105" i="27"/>
  <c r="BF105" i="27"/>
  <c r="AX105" i="27"/>
  <c r="BK105" i="27"/>
  <c r="BC105" i="27"/>
  <c r="AU105" i="27"/>
  <c r="BJ105" i="27"/>
  <c r="BB105" i="27"/>
  <c r="AT105" i="27"/>
  <c r="AB107" i="27"/>
  <c r="AP107" i="27"/>
  <c r="AP109" i="27"/>
  <c r="AB109" i="27"/>
  <c r="BJ90" i="27"/>
  <c r="BB90" i="27"/>
  <c r="AT90" i="27"/>
  <c r="BF90" i="27"/>
  <c r="AX90" i="27"/>
  <c r="AP85" i="27"/>
  <c r="BC90" i="27"/>
  <c r="AU102" i="27"/>
  <c r="BG102" i="27"/>
  <c r="AB103" i="27"/>
  <c r="AY109" i="27"/>
  <c r="AB82" i="27"/>
  <c r="AW82" i="27"/>
  <c r="BH82" i="27"/>
  <c r="AB84" i="27"/>
  <c r="AW84" i="27"/>
  <c r="BH84" i="27"/>
  <c r="AP86" i="27"/>
  <c r="AS90" i="27"/>
  <c r="AR90" i="27" s="1"/>
  <c r="AQ90" i="27" s="1"/>
  <c r="BD90" i="27"/>
  <c r="BH102" i="27"/>
  <c r="AC103" i="27"/>
  <c r="BC109" i="27"/>
  <c r="AW69" i="27"/>
  <c r="BF81" i="27"/>
  <c r="AX81" i="27"/>
  <c r="BB81" i="27"/>
  <c r="AT81" i="27"/>
  <c r="AC82" i="27"/>
  <c r="AX82" i="27"/>
  <c r="AC84" i="27"/>
  <c r="AX84" i="27"/>
  <c r="AP87" i="27"/>
  <c r="BK89" i="27"/>
  <c r="BC89" i="27"/>
  <c r="AU89" i="27"/>
  <c r="BG89" i="27"/>
  <c r="AY89" i="27"/>
  <c r="AU90" i="27"/>
  <c r="BE90" i="27"/>
  <c r="BK103" i="27"/>
  <c r="BC103" i="27"/>
  <c r="AU103" i="27"/>
  <c r="BJ103" i="27"/>
  <c r="BB103" i="27"/>
  <c r="AT103" i="27"/>
  <c r="BG103" i="27"/>
  <c r="AY103" i="27"/>
  <c r="BF103" i="27"/>
  <c r="AX103" i="27"/>
  <c r="BD105" i="27"/>
  <c r="BE110" i="27"/>
  <c r="AW110" i="27"/>
  <c r="BI110" i="27"/>
  <c r="BA110" i="27"/>
  <c r="AS110" i="27"/>
  <c r="AR110" i="27" s="1"/>
  <c r="AQ110" i="27" s="1"/>
  <c r="BC110" i="27"/>
  <c r="BK110" i="27"/>
  <c r="AZ110" i="27"/>
  <c r="BJ110" i="27"/>
  <c r="AY110" i="27"/>
  <c r="BH110" i="27"/>
  <c r="AX110" i="27"/>
  <c r="BF110" i="27"/>
  <c r="AU110" i="27"/>
  <c r="BD110" i="27"/>
  <c r="AT110" i="27"/>
  <c r="BB102" i="27"/>
  <c r="AT102" i="27"/>
  <c r="BI102" i="27"/>
  <c r="BA102" i="27"/>
  <c r="AS102" i="27"/>
  <c r="AR102" i="27" s="1"/>
  <c r="BE102" i="27"/>
  <c r="AW102" i="27"/>
  <c r="AB108" i="27"/>
  <c r="AP108" i="27"/>
  <c r="BF109" i="27"/>
  <c r="AX109" i="27"/>
  <c r="BI109" i="27"/>
  <c r="AZ109" i="27"/>
  <c r="BG109" i="27"/>
  <c r="AW109" i="27"/>
  <c r="BE109" i="27"/>
  <c r="AV109" i="27"/>
  <c r="BD109" i="27"/>
  <c r="AU109" i="27"/>
  <c r="BK109" i="27"/>
  <c r="BB109" i="27"/>
  <c r="AS109" i="27"/>
  <c r="AR109" i="27" s="1"/>
  <c r="AQ109" i="27" s="1"/>
  <c r="BJ109" i="27"/>
  <c r="BA109" i="27"/>
  <c r="BG82" i="27"/>
  <c r="AY82" i="27"/>
  <c r="BK82" i="27"/>
  <c r="BC82" i="27"/>
  <c r="AU82" i="27"/>
  <c r="BK84" i="27"/>
  <c r="BC84" i="27"/>
  <c r="AU84" i="27"/>
  <c r="BG84" i="27"/>
  <c r="AY84" i="27"/>
  <c r="AC85" i="27"/>
  <c r="AW90" i="27"/>
  <c r="BH90" i="27"/>
  <c r="AO92" i="27"/>
  <c r="AZ102" i="27"/>
  <c r="AB105" i="27"/>
  <c r="AA105" i="27"/>
  <c r="Z105" i="27"/>
  <c r="BG69" i="27"/>
  <c r="AY69" i="27"/>
  <c r="BK69" i="27"/>
  <c r="BC69" i="27"/>
  <c r="BB82" i="27"/>
  <c r="BB84" i="27"/>
  <c r="AC86" i="27"/>
  <c r="AY90" i="27"/>
  <c r="BI90" i="27"/>
  <c r="BC102" i="27"/>
  <c r="AC105" i="27"/>
  <c r="AZ85" i="27"/>
  <c r="AZ86" i="27"/>
  <c r="AY104" i="27"/>
  <c r="BG104" i="27"/>
  <c r="AU106" i="27"/>
  <c r="BC106" i="27"/>
  <c r="BK106" i="27"/>
  <c r="AU107" i="27"/>
  <c r="BC107" i="27"/>
  <c r="BK107" i="27"/>
  <c r="AU108" i="27"/>
  <c r="BC108" i="27"/>
  <c r="BK108" i="27"/>
  <c r="AT123" i="27"/>
  <c r="BE123" i="27"/>
  <c r="AT125" i="27"/>
  <c r="BD125" i="27"/>
  <c r="AP126" i="27"/>
  <c r="AY127" i="27"/>
  <c r="BJ127" i="27"/>
  <c r="BD128" i="27"/>
  <c r="BK130" i="27"/>
  <c r="BC130" i="27"/>
  <c r="AU130" i="27"/>
  <c r="BG130" i="27"/>
  <c r="AY130" i="27"/>
  <c r="BE130" i="27"/>
  <c r="AT130" i="27"/>
  <c r="BJ130" i="27"/>
  <c r="AZ130" i="27"/>
  <c r="AU131" i="27"/>
  <c r="BI131" i="27"/>
  <c r="AT145" i="27"/>
  <c r="AU125" i="27"/>
  <c r="BF125" i="27"/>
  <c r="AZ127" i="27"/>
  <c r="AV131" i="27"/>
  <c r="AV145" i="27"/>
  <c r="AB148" i="27"/>
  <c r="AP148" i="27"/>
  <c r="AB150" i="27"/>
  <c r="AP150" i="27"/>
  <c r="AV152" i="27"/>
  <c r="AV125" i="27"/>
  <c r="BG125" i="27"/>
  <c r="BI127" i="27"/>
  <c r="BA127" i="27"/>
  <c r="AS127" i="27"/>
  <c r="AR127" i="27" s="1"/>
  <c r="AQ127" i="27" s="1"/>
  <c r="BE127" i="27"/>
  <c r="AW127" i="27"/>
  <c r="BF131" i="27"/>
  <c r="AX131" i="27"/>
  <c r="BJ131" i="27"/>
  <c r="BB131" i="27"/>
  <c r="AT131" i="27"/>
  <c r="BC131" i="27"/>
  <c r="BH131" i="27"/>
  <c r="AW131" i="27"/>
  <c r="AX152" i="27"/>
  <c r="AX125" i="27"/>
  <c r="BH125" i="27"/>
  <c r="BC127" i="27"/>
  <c r="AZ131" i="27"/>
  <c r="BB145" i="27"/>
  <c r="BB152" i="27"/>
  <c r="AU104" i="27"/>
  <c r="BC104" i="27"/>
  <c r="AY106" i="27"/>
  <c r="BG106" i="27"/>
  <c r="AY107" i="27"/>
  <c r="BG107" i="27"/>
  <c r="AY108" i="27"/>
  <c r="AY125" i="27"/>
  <c r="BJ125" i="27"/>
  <c r="AC126" i="27"/>
  <c r="AT127" i="27"/>
  <c r="BD127" i="27"/>
  <c r="AW128" i="27"/>
  <c r="BD130" i="27"/>
  <c r="BA131" i="27"/>
  <c r="AP144" i="27"/>
  <c r="AB144" i="27"/>
  <c r="AB155" i="27" s="1"/>
  <c r="AO155" i="27"/>
  <c r="BD145" i="27"/>
  <c r="AB146" i="27"/>
  <c r="AP146" i="27"/>
  <c r="AB149" i="27"/>
  <c r="AP149" i="27"/>
  <c r="BD152" i="27"/>
  <c r="AZ106" i="27"/>
  <c r="BC123" i="27"/>
  <c r="AU123" i="27"/>
  <c r="BG123" i="27"/>
  <c r="AY123" i="27"/>
  <c r="AZ125" i="27"/>
  <c r="AU127" i="27"/>
  <c r="BF127" i="27"/>
  <c r="BG128" i="27"/>
  <c r="BK128" i="27"/>
  <c r="BC128" i="27"/>
  <c r="AU128" i="27"/>
  <c r="BB128" i="27"/>
  <c r="AS128" i="27"/>
  <c r="AR128" i="27" s="1"/>
  <c r="AQ128" i="27" s="1"/>
  <c r="BH128" i="27"/>
  <c r="AX128" i="27"/>
  <c r="AP131" i="27"/>
  <c r="AB131" i="27"/>
  <c r="BD131" i="27"/>
  <c r="BE125" i="27"/>
  <c r="AW125" i="27"/>
  <c r="BI125" i="27"/>
  <c r="BA125" i="27"/>
  <c r="AS125" i="27"/>
  <c r="AR125" i="27" s="1"/>
  <c r="AQ125" i="27" s="1"/>
  <c r="BK152" i="27"/>
  <c r="BC152" i="27"/>
  <c r="AU152" i="27"/>
  <c r="BI152" i="27"/>
  <c r="BA152" i="27"/>
  <c r="AS152" i="27"/>
  <c r="AR152" i="27" s="1"/>
  <c r="AQ152" i="27" s="1"/>
  <c r="BG152" i="27"/>
  <c r="AY152" i="27"/>
  <c r="BE152" i="27"/>
  <c r="AW152" i="27"/>
  <c r="AZ152" i="27"/>
  <c r="BJ152" i="27"/>
  <c r="AT152" i="27"/>
  <c r="BH152" i="27"/>
  <c r="BC125" i="27"/>
  <c r="AX127" i="27"/>
  <c r="BH127" i="27"/>
  <c r="AS131" i="27"/>
  <c r="AR131" i="27" s="1"/>
  <c r="AQ131" i="27" s="1"/>
  <c r="BG131" i="27"/>
  <c r="BG145" i="27"/>
  <c r="AY145" i="27"/>
  <c r="BE145" i="27"/>
  <c r="AW145" i="27"/>
  <c r="BK145" i="27"/>
  <c r="BC145" i="27"/>
  <c r="AU145" i="27"/>
  <c r="BI145" i="27"/>
  <c r="BA145" i="27"/>
  <c r="AS145" i="27"/>
  <c r="AR145" i="27" s="1"/>
  <c r="AQ145" i="27" s="1"/>
  <c r="BH145" i="27"/>
  <c r="AZ145" i="27"/>
  <c r="AB153" i="27"/>
  <c r="AP153" i="27"/>
  <c r="AZ111" i="27"/>
  <c r="AZ124" i="27"/>
  <c r="BG129" i="27"/>
  <c r="AY129" i="27"/>
  <c r="BK129" i="27"/>
  <c r="BC129" i="27"/>
  <c r="AU129" i="27"/>
  <c r="AV132" i="27"/>
  <c r="AB151" i="27"/>
  <c r="AP151" i="27"/>
  <c r="BE132" i="27"/>
  <c r="AW132" i="27"/>
  <c r="BI132" i="27"/>
  <c r="BA132" i="27"/>
  <c r="AS132" i="27"/>
  <c r="AR132" i="27" s="1"/>
  <c r="AQ132" i="27" s="1"/>
  <c r="BK147" i="27"/>
  <c r="BC147" i="27"/>
  <c r="AU147" i="27"/>
  <c r="BI147" i="27"/>
  <c r="BA147" i="27"/>
  <c r="AS147" i="27"/>
  <c r="AR147" i="27" s="1"/>
  <c r="AQ147" i="27" s="1"/>
  <c r="BG147" i="27"/>
  <c r="AY147" i="27"/>
  <c r="BE147" i="27"/>
  <c r="AW147" i="27"/>
  <c r="AZ144" i="27"/>
  <c r="AT146" i="27"/>
  <c r="BB146" i="27"/>
  <c r="BJ146" i="27"/>
  <c r="AX148" i="27"/>
  <c r="BF148" i="27"/>
  <c r="AX149" i="27"/>
  <c r="BF149" i="27"/>
  <c r="AX150" i="27"/>
  <c r="BF150" i="27"/>
  <c r="AT151" i="27"/>
  <c r="BB151" i="27"/>
  <c r="BJ151" i="27"/>
  <c r="AZ148" i="27"/>
  <c r="BH148" i="27"/>
  <c r="AZ149" i="27"/>
  <c r="BH149" i="27"/>
  <c r="AZ150" i="27"/>
  <c r="BH150" i="27"/>
  <c r="AX146" i="27"/>
  <c r="AT148" i="27"/>
  <c r="BB148" i="27"/>
  <c r="AT149" i="27"/>
  <c r="BB149" i="27"/>
  <c r="AT150" i="27"/>
  <c r="BB150" i="27"/>
  <c r="AX151" i="27"/>
  <c r="BN40" i="26"/>
  <c r="BN41" i="26" s="1"/>
  <c r="BN42" i="26" s="1"/>
  <c r="A42" i="26" s="1"/>
  <c r="DE4" i="26"/>
  <c r="DM4" i="26"/>
  <c r="DK6" i="26"/>
  <c r="DM7" i="26"/>
  <c r="AD19" i="26"/>
  <c r="AL19" i="26"/>
  <c r="AT19" i="26"/>
  <c r="BB19" i="26"/>
  <c r="BJ19" i="26"/>
  <c r="AB20" i="26"/>
  <c r="AJ20" i="26"/>
  <c r="AZ20" i="26"/>
  <c r="BH20" i="26"/>
  <c r="AB21" i="26"/>
  <c r="AJ21" i="26"/>
  <c r="AP23" i="26"/>
  <c r="AP24" i="26"/>
  <c r="AX24" i="26"/>
  <c r="BH24" i="26"/>
  <c r="AV25" i="26"/>
  <c r="BF25" i="26"/>
  <c r="E34" i="26"/>
  <c r="AC20" i="26"/>
  <c r="AC21" i="26"/>
  <c r="DM6" i="26"/>
  <c r="AP18" i="26"/>
  <c r="AL25" i="26"/>
  <c r="AD25" i="26"/>
  <c r="AK25" i="26"/>
  <c r="DA2" i="26"/>
  <c r="DI2" i="26"/>
  <c r="DE3" i="26"/>
  <c r="E33" i="26" s="1"/>
  <c r="DM3" i="26"/>
  <c r="AG19" i="26"/>
  <c r="AW19" i="26"/>
  <c r="BE19" i="26"/>
  <c r="AE20" i="26"/>
  <c r="AM20" i="26"/>
  <c r="AU20" i="26"/>
  <c r="BC20" i="26"/>
  <c r="BK20" i="26"/>
  <c r="AE21" i="26"/>
  <c r="AM21" i="26"/>
  <c r="AU21" i="26"/>
  <c r="BC21" i="26"/>
  <c r="BK21" i="26"/>
  <c r="AS24" i="26"/>
  <c r="AR24" i="26" s="1"/>
  <c r="AQ24" i="26" s="1"/>
  <c r="BA24" i="26"/>
  <c r="AE25" i="26"/>
  <c r="AY25" i="26"/>
  <c r="BM52" i="26"/>
  <c r="CG31" i="26"/>
  <c r="CG32" i="26" s="1"/>
  <c r="CG33" i="26" s="1"/>
  <c r="CG34" i="26" s="1"/>
  <c r="CG35" i="26" s="1"/>
  <c r="CG36" i="26" s="1"/>
  <c r="CG37" i="26" s="1"/>
  <c r="CG38" i="26" s="1"/>
  <c r="CG39" i="26" s="1"/>
  <c r="CG40" i="26" s="1"/>
  <c r="CG41" i="26" s="1"/>
  <c r="CG42" i="26" s="1"/>
  <c r="CG43" i="26" s="1"/>
  <c r="CG44" i="26" s="1"/>
  <c r="CG45" i="26" s="1"/>
  <c r="CG46" i="26" s="1"/>
  <c r="CG47" i="26" s="1"/>
  <c r="CG48" i="26" s="1"/>
  <c r="CG49" i="26" s="1"/>
  <c r="CG50" i="26" s="1"/>
  <c r="CG51" i="26" s="1"/>
  <c r="G138" i="26"/>
  <c r="E118" i="26"/>
  <c r="G117" i="26"/>
  <c r="E139" i="26"/>
  <c r="E97" i="26"/>
  <c r="G96" i="26"/>
  <c r="G75" i="26"/>
  <c r="E76" i="26"/>
  <c r="G54" i="26"/>
  <c r="G33" i="26"/>
  <c r="E55" i="26"/>
  <c r="DI4" i="26"/>
  <c r="DM8" i="26"/>
  <c r="AB18" i="26"/>
  <c r="AB29" i="26" s="1"/>
  <c r="AH19" i="26"/>
  <c r="AX19" i="26"/>
  <c r="BF19" i="26"/>
  <c r="BF24" i="26"/>
  <c r="BE24" i="26"/>
  <c r="AF25" i="26"/>
  <c r="BJ25" i="26"/>
  <c r="BB25" i="26"/>
  <c r="AT25" i="26"/>
  <c r="BI25" i="26"/>
  <c r="BA25" i="26"/>
  <c r="AS25" i="26"/>
  <c r="AR25" i="26" s="1"/>
  <c r="AQ25" i="26" s="1"/>
  <c r="AB48" i="26"/>
  <c r="AP48" i="26"/>
  <c r="CL6" i="26"/>
  <c r="DK4" i="26"/>
  <c r="DI6" i="26"/>
  <c r="DK7" i="26"/>
  <c r="G12" i="26"/>
  <c r="AG139" i="16" s="1"/>
  <c r="E13" i="26"/>
  <c r="AT18" i="26"/>
  <c r="BB18" i="26"/>
  <c r="AB19" i="26"/>
  <c r="AJ19" i="26"/>
  <c r="AZ19" i="26"/>
  <c r="BH19" i="26"/>
  <c r="AH20" i="26"/>
  <c r="AX20" i="26"/>
  <c r="BF20" i="26"/>
  <c r="AH21" i="26"/>
  <c r="AX21" i="26"/>
  <c r="BF21" i="26"/>
  <c r="AV24" i="26"/>
  <c r="BD24" i="26"/>
  <c r="AH25" i="26"/>
  <c r="BD25" i="26"/>
  <c r="DE2" i="26"/>
  <c r="DM2" i="26"/>
  <c r="DI3" i="26"/>
  <c r="DI5" i="26"/>
  <c r="AU18" i="26"/>
  <c r="AS19" i="26"/>
  <c r="AR19" i="26" s="1"/>
  <c r="AQ19" i="26" s="1"/>
  <c r="BA19" i="26"/>
  <c r="AY20" i="26"/>
  <c r="AY21" i="26"/>
  <c r="AI25" i="26"/>
  <c r="AP39" i="26"/>
  <c r="AO50" i="26"/>
  <c r="AB39" i="26"/>
  <c r="AB50" i="26" s="1"/>
  <c r="AZ39" i="26"/>
  <c r="BH39" i="26"/>
  <c r="AC40" i="26"/>
  <c r="AD41" i="26"/>
  <c r="AL41" i="26"/>
  <c r="BB41" i="26"/>
  <c r="BJ41" i="26"/>
  <c r="AG42" i="26"/>
  <c r="AW42" i="26"/>
  <c r="BE42" i="26"/>
  <c r="AH43" i="26"/>
  <c r="AP43" i="26"/>
  <c r="AX43" i="26"/>
  <c r="BF43" i="26"/>
  <c r="AH44" i="26"/>
  <c r="AP44" i="26"/>
  <c r="AX44" i="26"/>
  <c r="BF44" i="26"/>
  <c r="AH45" i="26"/>
  <c r="AP45" i="26"/>
  <c r="AX45" i="26"/>
  <c r="BF45" i="26"/>
  <c r="AD46" i="26"/>
  <c r="AL46" i="26"/>
  <c r="AT46" i="26"/>
  <c r="BB46" i="26"/>
  <c r="BJ46" i="26"/>
  <c r="AG47" i="26"/>
  <c r="AW47" i="26"/>
  <c r="AZ63" i="26"/>
  <c r="AP62" i="26"/>
  <c r="AB62" i="26"/>
  <c r="AB66" i="26"/>
  <c r="AP66" i="26"/>
  <c r="BJ68" i="26"/>
  <c r="BB68" i="26"/>
  <c r="AT68" i="26"/>
  <c r="BI68" i="26"/>
  <c r="BA68" i="26"/>
  <c r="AS68" i="26"/>
  <c r="AR68" i="26" s="1"/>
  <c r="AQ68" i="26" s="1"/>
  <c r="BG68" i="26"/>
  <c r="AY68" i="26"/>
  <c r="BF68" i="26"/>
  <c r="AX68" i="26"/>
  <c r="BE68" i="26"/>
  <c r="AW68" i="26"/>
  <c r="BK68" i="26"/>
  <c r="BC68" i="26"/>
  <c r="AU68" i="26"/>
  <c r="AT39" i="26"/>
  <c r="BB39" i="26"/>
  <c r="AI42" i="26"/>
  <c r="AY42" i="26"/>
  <c r="BG42" i="26"/>
  <c r="AJ43" i="26"/>
  <c r="AZ43" i="26"/>
  <c r="BH43" i="26"/>
  <c r="AJ44" i="26"/>
  <c r="AZ44" i="26"/>
  <c r="BH44" i="26"/>
  <c r="AJ45" i="26"/>
  <c r="AZ45" i="26"/>
  <c r="BH45" i="26"/>
  <c r="AV61" i="26"/>
  <c r="AP67" i="26"/>
  <c r="AB67" i="26"/>
  <c r="AU39" i="26"/>
  <c r="BC39" i="26"/>
  <c r="AW41" i="26"/>
  <c r="AZ42" i="26"/>
  <c r="AK43" i="26"/>
  <c r="AS43" i="26"/>
  <c r="AR43" i="26" s="1"/>
  <c r="AQ43" i="26" s="1"/>
  <c r="BA43" i="26"/>
  <c r="BI43" i="26"/>
  <c r="AK44" i="26"/>
  <c r="AS44" i="26"/>
  <c r="AR44" i="26" s="1"/>
  <c r="AQ44" i="26" s="1"/>
  <c r="BA44" i="26"/>
  <c r="BI44" i="26"/>
  <c r="AK45" i="26"/>
  <c r="AS45" i="26"/>
  <c r="AR45" i="26" s="1"/>
  <c r="AQ45" i="26" s="1"/>
  <c r="BA45" i="26"/>
  <c r="BI45" i="26"/>
  <c r="AG46" i="26"/>
  <c r="AW46" i="26"/>
  <c r="BE46" i="26"/>
  <c r="AZ61" i="26"/>
  <c r="BJ63" i="26"/>
  <c r="BB63" i="26"/>
  <c r="AT63" i="26"/>
  <c r="BI63" i="26"/>
  <c r="BA63" i="26"/>
  <c r="AS63" i="26"/>
  <c r="AR63" i="26" s="1"/>
  <c r="AQ63" i="26" s="1"/>
  <c r="BG63" i="26"/>
  <c r="AY63" i="26"/>
  <c r="BF63" i="26"/>
  <c r="AX63" i="26"/>
  <c r="BE63" i="26"/>
  <c r="AW63" i="26"/>
  <c r="BK63" i="26"/>
  <c r="BC63" i="26"/>
  <c r="AU63" i="26"/>
  <c r="AB83" i="26"/>
  <c r="AP83" i="26"/>
  <c r="AD43" i="26"/>
  <c r="AL43" i="26"/>
  <c r="AT43" i="26"/>
  <c r="BB43" i="26"/>
  <c r="BJ43" i="26"/>
  <c r="AD44" i="26"/>
  <c r="AL44" i="26"/>
  <c r="AT44" i="26"/>
  <c r="BB44" i="26"/>
  <c r="BJ44" i="26"/>
  <c r="AD45" i="26"/>
  <c r="AL45" i="26"/>
  <c r="BJ45" i="26"/>
  <c r="AB65" i="26"/>
  <c r="AP65" i="26"/>
  <c r="AV68" i="26"/>
  <c r="BF61" i="26"/>
  <c r="AX61" i="26"/>
  <c r="BE61" i="26"/>
  <c r="AW61" i="26"/>
  <c r="BK61" i="26"/>
  <c r="BC61" i="26"/>
  <c r="AU61" i="26"/>
  <c r="BJ61" i="26"/>
  <c r="BB61" i="26"/>
  <c r="AT61" i="26"/>
  <c r="BI61" i="26"/>
  <c r="BA61" i="26"/>
  <c r="AS61" i="26"/>
  <c r="AR61" i="26" s="1"/>
  <c r="AQ61" i="26" s="1"/>
  <c r="BG61" i="26"/>
  <c r="AY61" i="26"/>
  <c r="AB64" i="26"/>
  <c r="AP64" i="26"/>
  <c r="AC66" i="26"/>
  <c r="AZ68" i="26"/>
  <c r="AY39" i="26"/>
  <c r="AW43" i="26"/>
  <c r="AW44" i="26"/>
  <c r="AW45" i="26"/>
  <c r="BA46" i="26"/>
  <c r="AC62" i="26"/>
  <c r="AV63" i="26"/>
  <c r="BD68" i="26"/>
  <c r="AC83" i="26"/>
  <c r="AP60" i="26"/>
  <c r="AX60" i="26"/>
  <c r="BF60" i="26"/>
  <c r="AZ62" i="26"/>
  <c r="BH62" i="26"/>
  <c r="AZ67" i="26"/>
  <c r="BH67" i="26"/>
  <c r="AT69" i="26"/>
  <c r="BB69" i="26"/>
  <c r="BJ69" i="26"/>
  <c r="AC81" i="26"/>
  <c r="AC92" i="26" s="1"/>
  <c r="AS81" i="26"/>
  <c r="AR81" i="26" s="1"/>
  <c r="BA81" i="26"/>
  <c r="BI81" i="26"/>
  <c r="AT82" i="26"/>
  <c r="BB82" i="26"/>
  <c r="BJ82" i="26"/>
  <c r="AB110" i="26"/>
  <c r="AC110" i="26"/>
  <c r="AP110" i="26"/>
  <c r="AU81" i="26"/>
  <c r="BC81" i="26"/>
  <c r="BH105" i="26"/>
  <c r="AZ105" i="26"/>
  <c r="BJ105" i="26"/>
  <c r="BA105" i="26"/>
  <c r="BI105" i="26"/>
  <c r="AY105" i="26"/>
  <c r="BF105" i="26"/>
  <c r="AW105" i="26"/>
  <c r="BE105" i="26"/>
  <c r="AV105" i="26"/>
  <c r="BD105" i="26"/>
  <c r="AU105" i="26"/>
  <c r="BK105" i="26"/>
  <c r="BB105" i="26"/>
  <c r="AS105" i="26"/>
  <c r="AR105" i="26" s="1"/>
  <c r="AQ105" i="26" s="1"/>
  <c r="AT60" i="26"/>
  <c r="AP69" i="26"/>
  <c r="AW81" i="26"/>
  <c r="BE81" i="26"/>
  <c r="AP82" i="26"/>
  <c r="AB90" i="26"/>
  <c r="AP90" i="26"/>
  <c r="AB103" i="26"/>
  <c r="AP103" i="26"/>
  <c r="AP105" i="26"/>
  <c r="AB105" i="26"/>
  <c r="AX62" i="26"/>
  <c r="AX67" i="26"/>
  <c r="AB69" i="26"/>
  <c r="AZ69" i="26"/>
  <c r="AY81" i="26"/>
  <c r="BG81" i="26"/>
  <c r="AZ82" i="26"/>
  <c r="BB102" i="26"/>
  <c r="AT102" i="26"/>
  <c r="BI102" i="26"/>
  <c r="BA102" i="26"/>
  <c r="AS102" i="26"/>
  <c r="AR102" i="26" s="1"/>
  <c r="BG102" i="26"/>
  <c r="AY102" i="26"/>
  <c r="BF102" i="26"/>
  <c r="AX102" i="26"/>
  <c r="BE102" i="26"/>
  <c r="AW102" i="26"/>
  <c r="BC102" i="26"/>
  <c r="AU102" i="26"/>
  <c r="AC103" i="26"/>
  <c r="AT105" i="26"/>
  <c r="AZ81" i="26"/>
  <c r="AC90" i="26"/>
  <c r="AX105" i="26"/>
  <c r="BJ124" i="26"/>
  <c r="BB124" i="26"/>
  <c r="AT124" i="26"/>
  <c r="BI124" i="26"/>
  <c r="BA124" i="26"/>
  <c r="AS124" i="26"/>
  <c r="AR124" i="26" s="1"/>
  <c r="AQ124" i="26" s="1"/>
  <c r="BG124" i="26"/>
  <c r="AY124" i="26"/>
  <c r="BF124" i="26"/>
  <c r="AX124" i="26"/>
  <c r="BE124" i="26"/>
  <c r="AW124" i="26"/>
  <c r="BK124" i="26"/>
  <c r="BC124" i="26"/>
  <c r="AU124" i="26"/>
  <c r="BI129" i="26"/>
  <c r="BA129" i="26"/>
  <c r="AS129" i="26"/>
  <c r="AR129" i="26" s="1"/>
  <c r="AQ129" i="26" s="1"/>
  <c r="BE129" i="26"/>
  <c r="AW129" i="26"/>
  <c r="BJ129" i="26"/>
  <c r="AY129" i="26"/>
  <c r="BH129" i="26"/>
  <c r="AX129" i="26"/>
  <c r="BF129" i="26"/>
  <c r="AU129" i="26"/>
  <c r="BD129" i="26"/>
  <c r="AT129" i="26"/>
  <c r="BC129" i="26"/>
  <c r="BK129" i="26"/>
  <c r="AZ129" i="26"/>
  <c r="BE130" i="26"/>
  <c r="AW130" i="26"/>
  <c r="BI130" i="26"/>
  <c r="BA130" i="26"/>
  <c r="AS130" i="26"/>
  <c r="AR130" i="26" s="1"/>
  <c r="AQ130" i="26" s="1"/>
  <c r="BD130" i="26"/>
  <c r="AT130" i="26"/>
  <c r="BC130" i="26"/>
  <c r="BK130" i="26"/>
  <c r="AZ130" i="26"/>
  <c r="BJ130" i="26"/>
  <c r="AY130" i="26"/>
  <c r="BH130" i="26"/>
  <c r="AX130" i="26"/>
  <c r="BF130" i="26"/>
  <c r="AU130" i="26"/>
  <c r="AY84" i="26"/>
  <c r="BG84" i="26"/>
  <c r="AZ85" i="26"/>
  <c r="AZ86" i="26"/>
  <c r="AZ87" i="26"/>
  <c r="AY89" i="26"/>
  <c r="BG89" i="26"/>
  <c r="AX90" i="26"/>
  <c r="BF90" i="26"/>
  <c r="AX103" i="26"/>
  <c r="BF103" i="26"/>
  <c r="AY104" i="26"/>
  <c r="BG104" i="26"/>
  <c r="AB89" i="26"/>
  <c r="BG90" i="26"/>
  <c r="AP127" i="26"/>
  <c r="AB127" i="26"/>
  <c r="AS84" i="26"/>
  <c r="AR84" i="26" s="1"/>
  <c r="AQ84" i="26" s="1"/>
  <c r="BA84" i="26"/>
  <c r="BI84" i="26"/>
  <c r="AP88" i="26"/>
  <c r="AS89" i="26"/>
  <c r="AR89" i="26" s="1"/>
  <c r="AQ89" i="26" s="1"/>
  <c r="BA89" i="26"/>
  <c r="BI89" i="26"/>
  <c r="AZ90" i="26"/>
  <c r="BH90" i="26"/>
  <c r="AZ103" i="26"/>
  <c r="BH103" i="26"/>
  <c r="AS104" i="26"/>
  <c r="AR104" i="26" s="1"/>
  <c r="AQ104" i="26" s="1"/>
  <c r="BA104" i="26"/>
  <c r="BI104" i="26"/>
  <c r="AC111" i="26"/>
  <c r="AP111" i="26"/>
  <c r="BJ111" i="26"/>
  <c r="BB111" i="26"/>
  <c r="AT111" i="26"/>
  <c r="BI111" i="26"/>
  <c r="BA111" i="26"/>
  <c r="AS111" i="26"/>
  <c r="AR111" i="26" s="1"/>
  <c r="AQ111" i="26" s="1"/>
  <c r="BG111" i="26"/>
  <c r="AY111" i="26"/>
  <c r="BF111" i="26"/>
  <c r="AX111" i="26"/>
  <c r="BK111" i="26"/>
  <c r="BC111" i="26"/>
  <c r="AU111" i="26"/>
  <c r="AV124" i="26"/>
  <c r="BF126" i="26"/>
  <c r="AX126" i="26"/>
  <c r="BE126" i="26"/>
  <c r="AW126" i="26"/>
  <c r="BK126" i="26"/>
  <c r="BC126" i="26"/>
  <c r="AU126" i="26"/>
  <c r="BJ126" i="26"/>
  <c r="BB126" i="26"/>
  <c r="AT126" i="26"/>
  <c r="BI126" i="26"/>
  <c r="BA126" i="26"/>
  <c r="AS126" i="26"/>
  <c r="AR126" i="26" s="1"/>
  <c r="AQ126" i="26" s="1"/>
  <c r="BG126" i="26"/>
  <c r="AY126" i="26"/>
  <c r="AU84" i="26"/>
  <c r="BC84" i="26"/>
  <c r="AB88" i="26"/>
  <c r="AU89" i="26"/>
  <c r="BC89" i="26"/>
  <c r="AT90" i="26"/>
  <c r="BB90" i="26"/>
  <c r="BJ90" i="26"/>
  <c r="AT103" i="26"/>
  <c r="BB103" i="26"/>
  <c r="BJ103" i="26"/>
  <c r="AU104" i="26"/>
  <c r="BC104" i="26"/>
  <c r="AV111" i="26"/>
  <c r="BD124" i="26"/>
  <c r="BB129" i="26"/>
  <c r="BB130" i="26"/>
  <c r="AU90" i="26"/>
  <c r="BC90" i="26"/>
  <c r="AU103" i="26"/>
  <c r="BC103" i="26"/>
  <c r="AB111" i="26"/>
  <c r="AW111" i="26"/>
  <c r="BH124" i="26"/>
  <c r="AB125" i="26"/>
  <c r="AP125" i="26"/>
  <c r="AP144" i="26"/>
  <c r="AO155" i="26"/>
  <c r="AB144" i="26"/>
  <c r="AB155" i="26" s="1"/>
  <c r="AT123" i="26"/>
  <c r="BB123" i="26"/>
  <c r="AB131" i="26"/>
  <c r="AP131" i="26"/>
  <c r="AB107" i="26"/>
  <c r="AB108" i="26"/>
  <c r="AY110" i="26"/>
  <c r="BG110" i="26"/>
  <c r="AW123" i="26"/>
  <c r="BE123" i="26"/>
  <c r="AP124" i="26"/>
  <c r="AY125" i="26"/>
  <c r="BG125" i="26"/>
  <c r="AU127" i="26"/>
  <c r="BC127" i="26"/>
  <c r="BK127" i="26"/>
  <c r="AZ128" i="26"/>
  <c r="AS106" i="26"/>
  <c r="AR106" i="26" s="1"/>
  <c r="AQ106" i="26" s="1"/>
  <c r="BA106" i="26"/>
  <c r="BI106" i="26"/>
  <c r="AS107" i="26"/>
  <c r="AR107" i="26" s="1"/>
  <c r="AQ107" i="26" s="1"/>
  <c r="BA107" i="26"/>
  <c r="BI107" i="26"/>
  <c r="BI108" i="26"/>
  <c r="BE109" i="26"/>
  <c r="AZ110" i="26"/>
  <c r="BH110" i="26"/>
  <c r="AX123" i="26"/>
  <c r="BF123" i="26"/>
  <c r="AZ125" i="26"/>
  <c r="BH125" i="26"/>
  <c r="BI128" i="26"/>
  <c r="BA128" i="26"/>
  <c r="AS128" i="26"/>
  <c r="AR128" i="26" s="1"/>
  <c r="AQ128" i="26" s="1"/>
  <c r="BE128" i="26"/>
  <c r="AW128" i="26"/>
  <c r="AU106" i="26"/>
  <c r="BC106" i="26"/>
  <c r="AU107" i="26"/>
  <c r="BC107" i="26"/>
  <c r="BC108" i="26"/>
  <c r="AT110" i="26"/>
  <c r="BB110" i="26"/>
  <c r="BJ110" i="26"/>
  <c r="AB123" i="26"/>
  <c r="AB134" i="26" s="1"/>
  <c r="AZ123" i="26"/>
  <c r="BH123" i="26"/>
  <c r="AT125" i="26"/>
  <c r="BB125" i="26"/>
  <c r="BJ125" i="26"/>
  <c r="AX127" i="26"/>
  <c r="BF127" i="26"/>
  <c r="AT128" i="26"/>
  <c r="BD128" i="26"/>
  <c r="AU110" i="26"/>
  <c r="BC110" i="26"/>
  <c r="AS123" i="26"/>
  <c r="AR123" i="26" s="1"/>
  <c r="BA123" i="26"/>
  <c r="AU125" i="26"/>
  <c r="BC125" i="26"/>
  <c r="AY127" i="26"/>
  <c r="AU128" i="26"/>
  <c r="BF128" i="26"/>
  <c r="AU132" i="26"/>
  <c r="BC132" i="26"/>
  <c r="BK132" i="26"/>
  <c r="AT144" i="26"/>
  <c r="BB144" i="26"/>
  <c r="AU145" i="26"/>
  <c r="BC145" i="26"/>
  <c r="BK145" i="26"/>
  <c r="AY147" i="26"/>
  <c r="BG147" i="26"/>
  <c r="AB148" i="26"/>
  <c r="AB149" i="26"/>
  <c r="AB150" i="26"/>
  <c r="AY152" i="26"/>
  <c r="BG152" i="26"/>
  <c r="AP153" i="26"/>
  <c r="AX153" i="26"/>
  <c r="BF153" i="26"/>
  <c r="AB147" i="26"/>
  <c r="AZ147" i="26"/>
  <c r="BH147" i="26"/>
  <c r="AW151" i="26"/>
  <c r="BE151" i="26"/>
  <c r="AB152" i="26"/>
  <c r="AZ152" i="26"/>
  <c r="BH152" i="26"/>
  <c r="AY153" i="26"/>
  <c r="BG153" i="26"/>
  <c r="AW132" i="26"/>
  <c r="BE132" i="26"/>
  <c r="AW145" i="26"/>
  <c r="BE145" i="26"/>
  <c r="AP146" i="26"/>
  <c r="AX146" i="26"/>
  <c r="BF146" i="26"/>
  <c r="AS147" i="26"/>
  <c r="AR147" i="26" s="1"/>
  <c r="AQ147" i="26" s="1"/>
  <c r="BA147" i="26"/>
  <c r="BI147" i="26"/>
  <c r="AT148" i="26"/>
  <c r="BB148" i="26"/>
  <c r="BB149" i="26"/>
  <c r="AP151" i="26"/>
  <c r="AX151" i="26"/>
  <c r="BF151" i="26"/>
  <c r="AS152" i="26"/>
  <c r="AR152" i="26" s="1"/>
  <c r="AQ152" i="26" s="1"/>
  <c r="BA152" i="26"/>
  <c r="BI152" i="26"/>
  <c r="AZ153" i="26"/>
  <c r="BH153" i="26"/>
  <c r="AZ131" i="26"/>
  <c r="AY132" i="26"/>
  <c r="BG132" i="26"/>
  <c r="AX144" i="26"/>
  <c r="AY145" i="26"/>
  <c r="AZ146" i="26"/>
  <c r="AU147" i="26"/>
  <c r="BC147" i="26"/>
  <c r="AZ151" i="26"/>
  <c r="AU152" i="26"/>
  <c r="BC152" i="26"/>
  <c r="AT153" i="26"/>
  <c r="BB153" i="26"/>
  <c r="BJ153" i="26"/>
  <c r="AZ132" i="26"/>
  <c r="AU153" i="26"/>
  <c r="BC153" i="26"/>
  <c r="BN13" i="25"/>
  <c r="A13" i="25" s="1"/>
  <c r="DE2" i="25"/>
  <c r="DM4" i="25"/>
  <c r="AH23" i="25"/>
  <c r="AM23" i="25"/>
  <c r="AD23" i="25"/>
  <c r="AL23" i="25"/>
  <c r="AK23" i="25"/>
  <c r="AJ23" i="25"/>
  <c r="AI23" i="25"/>
  <c r="AF23" i="25"/>
  <c r="AC68" i="25"/>
  <c r="AB68" i="25"/>
  <c r="AP68" i="25"/>
  <c r="DC3" i="25"/>
  <c r="AC27" i="25"/>
  <c r="AB27" i="25"/>
  <c r="AP27" i="25"/>
  <c r="CG31" i="25"/>
  <c r="CG32" i="25" s="1"/>
  <c r="CG33" i="25" s="1"/>
  <c r="CG34" i="25" s="1"/>
  <c r="CG35" i="25" s="1"/>
  <c r="CG36" i="25" s="1"/>
  <c r="CG37" i="25" s="1"/>
  <c r="CG38" i="25" s="1"/>
  <c r="CG39" i="25" s="1"/>
  <c r="CG40" i="25" s="1"/>
  <c r="CG41" i="25" s="1"/>
  <c r="CG42" i="25" s="1"/>
  <c r="CG43" i="25" s="1"/>
  <c r="CG44" i="25" s="1"/>
  <c r="CG45" i="25" s="1"/>
  <c r="CG46" i="25" s="1"/>
  <c r="CG47" i="25" s="1"/>
  <c r="CG48" i="25" s="1"/>
  <c r="CG49" i="25" s="1"/>
  <c r="CG50" i="25" s="1"/>
  <c r="CG51" i="25" s="1"/>
  <c r="CG10" i="25"/>
  <c r="CG11" i="25" s="1"/>
  <c r="CG12" i="25" s="1"/>
  <c r="CG13" i="25" s="1"/>
  <c r="CG14" i="25" s="1"/>
  <c r="CG15" i="25" s="1"/>
  <c r="CG16" i="25" s="1"/>
  <c r="CG17" i="25" s="1"/>
  <c r="CG18" i="25" s="1"/>
  <c r="CG19" i="25" s="1"/>
  <c r="CG20" i="25" s="1"/>
  <c r="CG21" i="25" s="1"/>
  <c r="CG22" i="25" s="1"/>
  <c r="CG23" i="25" s="1"/>
  <c r="CG24" i="25" s="1"/>
  <c r="CG25" i="25" s="1"/>
  <c r="CG26" i="25" s="1"/>
  <c r="CG27" i="25" s="1"/>
  <c r="CG28" i="25" s="1"/>
  <c r="CG29" i="25" s="1"/>
  <c r="CG30" i="25" s="1"/>
  <c r="DE4" i="25"/>
  <c r="O5" i="25"/>
  <c r="DI6" i="25"/>
  <c r="DM7" i="25"/>
  <c r="BH21" i="25"/>
  <c r="AZ21" i="25"/>
  <c r="BJ21" i="25"/>
  <c r="BA21" i="25"/>
  <c r="BI21" i="25"/>
  <c r="AY21" i="25"/>
  <c r="BG21" i="25"/>
  <c r="AX21" i="25"/>
  <c r="BF21" i="25"/>
  <c r="AW21" i="25"/>
  <c r="BD21" i="25"/>
  <c r="AU21" i="25"/>
  <c r="BN34" i="25"/>
  <c r="A34" i="25" s="1"/>
  <c r="DG2" i="25"/>
  <c r="E13" i="25"/>
  <c r="AS21" i="25"/>
  <c r="AR21" i="25" s="1"/>
  <c r="AQ21" i="25" s="1"/>
  <c r="DK7" i="25"/>
  <c r="DI3" i="25"/>
  <c r="DK6" i="25"/>
  <c r="AT21" i="25"/>
  <c r="AP22" i="25"/>
  <c r="AC22" i="25"/>
  <c r="AB22" i="25"/>
  <c r="AE24" i="25"/>
  <c r="G138" i="25"/>
  <c r="E139" i="25"/>
  <c r="E118" i="25"/>
  <c r="G96" i="25"/>
  <c r="E97" i="25"/>
  <c r="E76" i="25"/>
  <c r="G117" i="25"/>
  <c r="G75" i="25"/>
  <c r="E55" i="25"/>
  <c r="DG5" i="25"/>
  <c r="DG3" i="25"/>
  <c r="DK2" i="25"/>
  <c r="DC2" i="25"/>
  <c r="G33" i="25"/>
  <c r="DM5" i="25"/>
  <c r="DM3" i="25"/>
  <c r="DE3" i="25"/>
  <c r="E33" i="25" s="1"/>
  <c r="DI2" i="25"/>
  <c r="DA2" i="25"/>
  <c r="G54" i="25"/>
  <c r="DM6" i="25"/>
  <c r="DG4" i="25"/>
  <c r="E34" i="25"/>
  <c r="CL5" i="25"/>
  <c r="DI4" i="25"/>
  <c r="DI5" i="25"/>
  <c r="AV21" i="25"/>
  <c r="AL25" i="25"/>
  <c r="AD25" i="25"/>
  <c r="AM25" i="25"/>
  <c r="AK25" i="25"/>
  <c r="AJ25" i="25"/>
  <c r="AI25" i="25"/>
  <c r="AH25" i="25"/>
  <c r="AF25" i="25"/>
  <c r="DK3" i="25"/>
  <c r="AO29" i="25"/>
  <c r="AC18" i="25"/>
  <c r="AC29" i="25" s="1"/>
  <c r="AB18" i="25"/>
  <c r="AB29" i="25" s="1"/>
  <c r="AP18" i="25"/>
  <c r="BB21" i="25"/>
  <c r="AH24" i="25"/>
  <c r="AK24" i="25"/>
  <c r="AJ24" i="25"/>
  <c r="AI24" i="25"/>
  <c r="AG24" i="25"/>
  <c r="AF24" i="25"/>
  <c r="AM24" i="25"/>
  <c r="AD24" i="25"/>
  <c r="AC40" i="25"/>
  <c r="AB40" i="25"/>
  <c r="AP40" i="25"/>
  <c r="AC65" i="25"/>
  <c r="AB65" i="25"/>
  <c r="AP65" i="25"/>
  <c r="DM2" i="25"/>
  <c r="DK4" i="25"/>
  <c r="DK5" i="25"/>
  <c r="G12" i="25"/>
  <c r="BC21" i="25"/>
  <c r="AV24" i="25"/>
  <c r="BE24" i="25"/>
  <c r="AV26" i="25"/>
  <c r="BF26" i="25"/>
  <c r="BB44" i="25"/>
  <c r="AY45" i="25"/>
  <c r="BC39" i="25"/>
  <c r="AU39" i="25"/>
  <c r="AK43" i="25"/>
  <c r="AJ43" i="25"/>
  <c r="AH43" i="25"/>
  <c r="AG43" i="25"/>
  <c r="AE43" i="25"/>
  <c r="AK44" i="25"/>
  <c r="AJ44" i="25"/>
  <c r="AH44" i="25"/>
  <c r="AG44" i="25"/>
  <c r="AM44" i="25"/>
  <c r="BF60" i="25"/>
  <c r="AX60" i="25"/>
  <c r="BE60" i="25"/>
  <c r="AW60" i="25"/>
  <c r="BC60" i="25"/>
  <c r="AU60" i="25"/>
  <c r="BB60" i="25"/>
  <c r="AT60" i="25"/>
  <c r="BD60" i="25"/>
  <c r="BJ69" i="25"/>
  <c r="BB69" i="25"/>
  <c r="AT69" i="25"/>
  <c r="BI69" i="25"/>
  <c r="BA69" i="25"/>
  <c r="AS69" i="25"/>
  <c r="AR69" i="25" s="1"/>
  <c r="AQ69" i="25" s="1"/>
  <c r="BH69" i="25"/>
  <c r="AZ69" i="25"/>
  <c r="BG69" i="25"/>
  <c r="AY69" i="25"/>
  <c r="BF69" i="25"/>
  <c r="AX69" i="25"/>
  <c r="AV69" i="25"/>
  <c r="AX18" i="25"/>
  <c r="BF18" i="25"/>
  <c r="AD20" i="25"/>
  <c r="AL20" i="25"/>
  <c r="AT20" i="25"/>
  <c r="BB20" i="25"/>
  <c r="BJ20" i="25"/>
  <c r="BF22" i="25"/>
  <c r="AX22" i="25"/>
  <c r="BA23" i="25"/>
  <c r="BJ23" i="25"/>
  <c r="AY24" i="25"/>
  <c r="BH24" i="25"/>
  <c r="AZ25" i="25"/>
  <c r="BI25" i="25"/>
  <c r="AH26" i="25"/>
  <c r="AY26" i="25"/>
  <c r="BH26" i="25"/>
  <c r="AT39" i="25"/>
  <c r="BD39" i="25"/>
  <c r="BD44" i="25"/>
  <c r="AK45" i="25"/>
  <c r="AJ45" i="25"/>
  <c r="AH45" i="25"/>
  <c r="AG45" i="25"/>
  <c r="AE45" i="25"/>
  <c r="BC45" i="25"/>
  <c r="AP48" i="25"/>
  <c r="AC48" i="25"/>
  <c r="AW68" i="25"/>
  <c r="AC69" i="25"/>
  <c r="AB69" i="25"/>
  <c r="AP69" i="25"/>
  <c r="AY18" i="25"/>
  <c r="BG18" i="25"/>
  <c r="AG19" i="25"/>
  <c r="AW19" i="25"/>
  <c r="BE19" i="25"/>
  <c r="AE20" i="25"/>
  <c r="AM20" i="25"/>
  <c r="AU20" i="25"/>
  <c r="BC20" i="25"/>
  <c r="BK20" i="25"/>
  <c r="AF21" i="25"/>
  <c r="AU22" i="25"/>
  <c r="BD22" i="25"/>
  <c r="AS23" i="25"/>
  <c r="AR23" i="25" s="1"/>
  <c r="AQ23" i="25" s="1"/>
  <c r="BB23" i="25"/>
  <c r="AZ24" i="25"/>
  <c r="BI24" i="25"/>
  <c r="BA25" i="25"/>
  <c r="AI26" i="25"/>
  <c r="AZ26" i="25"/>
  <c r="BI26" i="25"/>
  <c r="BE39" i="25"/>
  <c r="BG44" i="25"/>
  <c r="BD45" i="25"/>
  <c r="AY60" i="25"/>
  <c r="AX68" i="25"/>
  <c r="AU69" i="25"/>
  <c r="AZ18" i="25"/>
  <c r="BH18" i="25"/>
  <c r="AB23" i="25"/>
  <c r="BF23" i="25"/>
  <c r="AX23" i="25"/>
  <c r="BA24" i="25"/>
  <c r="BJ24" i="25"/>
  <c r="BJ25" i="25"/>
  <c r="BB25" i="25"/>
  <c r="AT25" i="25"/>
  <c r="AJ26" i="25"/>
  <c r="BA26" i="25"/>
  <c r="BJ26" i="25"/>
  <c r="AW39" i="25"/>
  <c r="BF39" i="25"/>
  <c r="AD43" i="25"/>
  <c r="AD44" i="25"/>
  <c r="BJ44" i="25"/>
  <c r="BJ45" i="25"/>
  <c r="AZ60" i="25"/>
  <c r="BK63" i="25"/>
  <c r="BC63" i="25"/>
  <c r="AU63" i="25"/>
  <c r="BJ63" i="25"/>
  <c r="BB63" i="25"/>
  <c r="AT63" i="25"/>
  <c r="BI63" i="25"/>
  <c r="BA63" i="25"/>
  <c r="AS63" i="25"/>
  <c r="AR63" i="25" s="1"/>
  <c r="AQ63" i="25" s="1"/>
  <c r="BH63" i="25"/>
  <c r="AZ63" i="25"/>
  <c r="BG63" i="25"/>
  <c r="AY63" i="25"/>
  <c r="BD63" i="25"/>
  <c r="BD68" i="25"/>
  <c r="AW69" i="25"/>
  <c r="AS18" i="25"/>
  <c r="AR18" i="25" s="1"/>
  <c r="BA18" i="25"/>
  <c r="AY19" i="25"/>
  <c r="AW20" i="25"/>
  <c r="AH21" i="25"/>
  <c r="AW22" i="25"/>
  <c r="BG22" i="25"/>
  <c r="AC23" i="25"/>
  <c r="AU23" i="25"/>
  <c r="BD23" i="25"/>
  <c r="AS24" i="25"/>
  <c r="AR24" i="25" s="1"/>
  <c r="AQ24" i="25" s="1"/>
  <c r="BB24" i="25"/>
  <c r="AU25" i="25"/>
  <c r="BD25" i="25"/>
  <c r="AK26" i="25"/>
  <c r="AS26" i="25"/>
  <c r="AR26" i="25" s="1"/>
  <c r="AQ26" i="25" s="1"/>
  <c r="BB26" i="25"/>
  <c r="BM52" i="25"/>
  <c r="AX39" i="25"/>
  <c r="BG39" i="25"/>
  <c r="AF43" i="25"/>
  <c r="BI43" i="25"/>
  <c r="BA43" i="25"/>
  <c r="AS43" i="25"/>
  <c r="AR43" i="25" s="1"/>
  <c r="AQ43" i="25" s="1"/>
  <c r="BH43" i="25"/>
  <c r="AZ43" i="25"/>
  <c r="BF43" i="25"/>
  <c r="AX43" i="25"/>
  <c r="BE43" i="25"/>
  <c r="AW43" i="25"/>
  <c r="BG43" i="25"/>
  <c r="AE44" i="25"/>
  <c r="AT44" i="25"/>
  <c r="AD45" i="25"/>
  <c r="AT45" i="25"/>
  <c r="BA60" i="25"/>
  <c r="AC63" i="25"/>
  <c r="AB63" i="25"/>
  <c r="AC66" i="25"/>
  <c r="AB66" i="25"/>
  <c r="BC69" i="25"/>
  <c r="BF24" i="25"/>
  <c r="AX24" i="25"/>
  <c r="BE26" i="25"/>
  <c r="AW26" i="25"/>
  <c r="AY39" i="25"/>
  <c r="BH39" i="25"/>
  <c r="AI43" i="25"/>
  <c r="AF44" i="25"/>
  <c r="BI44" i="25"/>
  <c r="BA44" i="25"/>
  <c r="AS44" i="25"/>
  <c r="AR44" i="25" s="1"/>
  <c r="AQ44" i="25" s="1"/>
  <c r="BH44" i="25"/>
  <c r="AZ44" i="25"/>
  <c r="BF44" i="25"/>
  <c r="AX44" i="25"/>
  <c r="BE44" i="25"/>
  <c r="AW44" i="25"/>
  <c r="AY44" i="25"/>
  <c r="BI45" i="25"/>
  <c r="BA45" i="25"/>
  <c r="AS45" i="25"/>
  <c r="AR45" i="25" s="1"/>
  <c r="AQ45" i="25" s="1"/>
  <c r="BH45" i="25"/>
  <c r="AZ45" i="25"/>
  <c r="BF45" i="25"/>
  <c r="AX45" i="25"/>
  <c r="BE45" i="25"/>
  <c r="AW45" i="25"/>
  <c r="BG45" i="25"/>
  <c r="BG60" i="25"/>
  <c r="BK68" i="25"/>
  <c r="BC68" i="25"/>
  <c r="AU68" i="25"/>
  <c r="BJ68" i="25"/>
  <c r="BB68" i="25"/>
  <c r="AT68" i="25"/>
  <c r="BI68" i="25"/>
  <c r="BA68" i="25"/>
  <c r="AS68" i="25"/>
  <c r="AR68" i="25" s="1"/>
  <c r="AQ68" i="25" s="1"/>
  <c r="BH68" i="25"/>
  <c r="AZ68" i="25"/>
  <c r="BG68" i="25"/>
  <c r="AY68" i="25"/>
  <c r="BE68" i="25"/>
  <c r="BD69" i="25"/>
  <c r="AG41" i="25"/>
  <c r="AL41" i="25"/>
  <c r="AD41" i="25"/>
  <c r="AK41" i="25"/>
  <c r="BE41" i="25"/>
  <c r="AW41" i="25"/>
  <c r="BJ41" i="25"/>
  <c r="BB41" i="25"/>
  <c r="AT41" i="25"/>
  <c r="BI41" i="25"/>
  <c r="BA41" i="25"/>
  <c r="AS41" i="25"/>
  <c r="AR41" i="25" s="1"/>
  <c r="AQ41" i="25" s="1"/>
  <c r="AC64" i="25"/>
  <c r="AB64" i="25"/>
  <c r="BI105" i="25"/>
  <c r="BK105" i="25"/>
  <c r="BB105" i="25"/>
  <c r="AT105" i="25"/>
  <c r="BJ105" i="25"/>
  <c r="BA105" i="25"/>
  <c r="AS105" i="25"/>
  <c r="AR105" i="25" s="1"/>
  <c r="AQ105" i="25" s="1"/>
  <c r="BH105" i="25"/>
  <c r="AZ105" i="25"/>
  <c r="BG105" i="25"/>
  <c r="AY105" i="25"/>
  <c r="BF105" i="25"/>
  <c r="AX105" i="25"/>
  <c r="BE105" i="25"/>
  <c r="AW105" i="25"/>
  <c r="BD105" i="25"/>
  <c r="AV105" i="25"/>
  <c r="BC105" i="25"/>
  <c r="AU105" i="25"/>
  <c r="AC83" i="25"/>
  <c r="AB83" i="25"/>
  <c r="AK46" i="25"/>
  <c r="AS46" i="25"/>
  <c r="AR46" i="25" s="1"/>
  <c r="AQ46" i="25" s="1"/>
  <c r="BA46" i="25"/>
  <c r="BI46" i="25"/>
  <c r="AE48" i="25"/>
  <c r="AM48" i="25"/>
  <c r="AU48" i="25"/>
  <c r="BC48" i="25"/>
  <c r="BK48" i="25"/>
  <c r="AU61" i="25"/>
  <c r="BC61" i="25"/>
  <c r="BK61" i="25"/>
  <c r="AZ64" i="25"/>
  <c r="AZ65" i="25"/>
  <c r="AZ66" i="25"/>
  <c r="AB82" i="25"/>
  <c r="AV82" i="25"/>
  <c r="AP83" i="25"/>
  <c r="AO134" i="25"/>
  <c r="AC123" i="25"/>
  <c r="AC134" i="25" s="1"/>
  <c r="AB123" i="25"/>
  <c r="AB134" i="25" s="1"/>
  <c r="AP123" i="25"/>
  <c r="AD46" i="25"/>
  <c r="AL46" i="25"/>
  <c r="AT46" i="25"/>
  <c r="BB46" i="25"/>
  <c r="BJ46" i="25"/>
  <c r="BF81" i="25"/>
  <c r="AX81" i="25"/>
  <c r="BE81" i="25"/>
  <c r="AW81" i="25"/>
  <c r="BI82" i="25"/>
  <c r="BH82" i="25"/>
  <c r="BG82" i="25"/>
  <c r="AY82" i="25"/>
  <c r="BF82" i="25"/>
  <c r="AX82" i="25"/>
  <c r="BJ83" i="25"/>
  <c r="BB83" i="25"/>
  <c r="AT83" i="25"/>
  <c r="BI83" i="25"/>
  <c r="BA83" i="25"/>
  <c r="AS83" i="25"/>
  <c r="AR83" i="25" s="1"/>
  <c r="AQ83" i="25" s="1"/>
  <c r="BH83" i="25"/>
  <c r="AZ83" i="25"/>
  <c r="BG83" i="25"/>
  <c r="AY83" i="25"/>
  <c r="AZ42" i="25"/>
  <c r="AW46" i="25"/>
  <c r="AY48" i="25"/>
  <c r="AY61" i="25"/>
  <c r="AT81" i="25"/>
  <c r="BD81" i="25"/>
  <c r="BB82" i="25"/>
  <c r="AX83" i="25"/>
  <c r="AC88" i="25"/>
  <c r="AB88" i="25"/>
  <c r="AP88" i="25"/>
  <c r="AX88" i="25"/>
  <c r="BF88" i="25"/>
  <c r="AB90" i="25"/>
  <c r="AY102" i="25"/>
  <c r="BG102" i="25"/>
  <c r="AB103" i="25"/>
  <c r="AC124" i="25"/>
  <c r="AB124" i="25"/>
  <c r="AT84" i="25"/>
  <c r="BB84" i="25"/>
  <c r="BJ84" i="25"/>
  <c r="AU85" i="25"/>
  <c r="BC85" i="25"/>
  <c r="BC86" i="25"/>
  <c r="AY88" i="25"/>
  <c r="BG88" i="25"/>
  <c r="AT89" i="25"/>
  <c r="BB89" i="25"/>
  <c r="BJ89" i="25"/>
  <c r="AC90" i="25"/>
  <c r="AB102" i="25"/>
  <c r="AB113" i="25" s="1"/>
  <c r="AZ102" i="25"/>
  <c r="BH102" i="25"/>
  <c r="AC103" i="25"/>
  <c r="AT104" i="25"/>
  <c r="BB104" i="25"/>
  <c r="BJ104" i="25"/>
  <c r="AC106" i="25"/>
  <c r="BD109" i="25"/>
  <c r="AP124" i="25"/>
  <c r="BJ127" i="25"/>
  <c r="BI127" i="25"/>
  <c r="BA127" i="25"/>
  <c r="AS127" i="25"/>
  <c r="AR127" i="25" s="1"/>
  <c r="AQ127" i="25" s="1"/>
  <c r="BH127" i="25"/>
  <c r="AZ127" i="25"/>
  <c r="BG127" i="25"/>
  <c r="AY127" i="25"/>
  <c r="BF127" i="25"/>
  <c r="AX127" i="25"/>
  <c r="BE127" i="25"/>
  <c r="AW127" i="25"/>
  <c r="BD127" i="25"/>
  <c r="AV127" i="25"/>
  <c r="BF130" i="25"/>
  <c r="AX130" i="25"/>
  <c r="BE130" i="25"/>
  <c r="AW130" i="25"/>
  <c r="BK130" i="25"/>
  <c r="BC130" i="25"/>
  <c r="AU130" i="25"/>
  <c r="BH130" i="25"/>
  <c r="AZ130" i="25"/>
  <c r="BI130" i="25"/>
  <c r="AS130" i="25"/>
  <c r="AR130" i="25" s="1"/>
  <c r="AQ130" i="25" s="1"/>
  <c r="BG130" i="25"/>
  <c r="BD130" i="25"/>
  <c r="BB130" i="25"/>
  <c r="BA130" i="25"/>
  <c r="AY130" i="25"/>
  <c r="AP81" i="25"/>
  <c r="AU84" i="25"/>
  <c r="BC84" i="25"/>
  <c r="BK84" i="25"/>
  <c r="AZ88" i="25"/>
  <c r="BH88" i="25"/>
  <c r="AU89" i="25"/>
  <c r="BC89" i="25"/>
  <c r="BK89" i="25"/>
  <c r="BB90" i="25"/>
  <c r="AC102" i="25"/>
  <c r="AC113" i="25" s="1"/>
  <c r="AS102" i="25"/>
  <c r="AR102" i="25" s="1"/>
  <c r="BA102" i="25"/>
  <c r="BI102" i="25"/>
  <c r="AU104" i="25"/>
  <c r="BC104" i="25"/>
  <c r="BK104" i="25"/>
  <c r="AC147" i="25"/>
  <c r="AB147" i="25"/>
  <c r="AP147" i="25"/>
  <c r="AS88" i="25"/>
  <c r="AR88" i="25" s="1"/>
  <c r="AQ88" i="25" s="1"/>
  <c r="BA88" i="25"/>
  <c r="BI88" i="25"/>
  <c r="AT102" i="25"/>
  <c r="BB102" i="25"/>
  <c r="BJ109" i="25"/>
  <c r="BB109" i="25"/>
  <c r="AT109" i="25"/>
  <c r="BI109" i="25"/>
  <c r="BA109" i="25"/>
  <c r="AS109" i="25"/>
  <c r="AR109" i="25" s="1"/>
  <c r="AQ109" i="25" s="1"/>
  <c r="BH109" i="25"/>
  <c r="AZ109" i="25"/>
  <c r="BG109" i="25"/>
  <c r="AY109" i="25"/>
  <c r="BF109" i="25"/>
  <c r="AX109" i="25"/>
  <c r="BE109" i="25"/>
  <c r="AW109" i="25"/>
  <c r="AW84" i="25"/>
  <c r="AT88" i="25"/>
  <c r="BB88" i="25"/>
  <c r="AW89" i="25"/>
  <c r="AU102" i="25"/>
  <c r="BC102" i="25"/>
  <c r="AW104" i="25"/>
  <c r="BC123" i="25"/>
  <c r="AU123" i="25"/>
  <c r="BB123" i="25"/>
  <c r="AT123" i="25"/>
  <c r="BI123" i="25"/>
  <c r="BA123" i="25"/>
  <c r="AS123" i="25"/>
  <c r="AR123" i="25" s="1"/>
  <c r="BH123" i="25"/>
  <c r="AZ123" i="25"/>
  <c r="BG123" i="25"/>
  <c r="AY123" i="25"/>
  <c r="BF123" i="25"/>
  <c r="AX123" i="25"/>
  <c r="AT127" i="25"/>
  <c r="AC111" i="25"/>
  <c r="AB111" i="25"/>
  <c r="AW102" i="25"/>
  <c r="AP111" i="25"/>
  <c r="AC128" i="25"/>
  <c r="AB128" i="25"/>
  <c r="BJ128" i="25"/>
  <c r="BB128" i="25"/>
  <c r="AT128" i="25"/>
  <c r="BG128" i="25"/>
  <c r="AY128" i="25"/>
  <c r="BH132" i="25"/>
  <c r="AZ132" i="25"/>
  <c r="BG132" i="25"/>
  <c r="AY132" i="25"/>
  <c r="BE132" i="25"/>
  <c r="AW132" i="25"/>
  <c r="BJ132" i="25"/>
  <c r="BB132" i="25"/>
  <c r="AT132" i="25"/>
  <c r="AP144" i="25"/>
  <c r="AO155" i="25"/>
  <c r="AC144" i="25"/>
  <c r="AC155" i="25" s="1"/>
  <c r="AT106" i="25"/>
  <c r="BB106" i="25"/>
  <c r="AT107" i="25"/>
  <c r="BB107" i="25"/>
  <c r="AT108" i="25"/>
  <c r="BB108" i="25"/>
  <c r="AP109" i="25"/>
  <c r="AS110" i="25"/>
  <c r="AR110" i="25" s="1"/>
  <c r="AQ110" i="25" s="1"/>
  <c r="BA110" i="25"/>
  <c r="BI110" i="25"/>
  <c r="AZ111" i="25"/>
  <c r="BH111" i="25"/>
  <c r="AS125" i="25"/>
  <c r="AR125" i="25" s="1"/>
  <c r="AQ125" i="25" s="1"/>
  <c r="BA125" i="25"/>
  <c r="BI125" i="25"/>
  <c r="BC128" i="25"/>
  <c r="AX132" i="25"/>
  <c r="BD146" i="25"/>
  <c r="AC152" i="25"/>
  <c r="AB152" i="25"/>
  <c r="AP152" i="25"/>
  <c r="AC131" i="25"/>
  <c r="AB131" i="25"/>
  <c r="AP131" i="25"/>
  <c r="BA132" i="25"/>
  <c r="BG146" i="25"/>
  <c r="AV153" i="25"/>
  <c r="AB109" i="25"/>
  <c r="AU110" i="25"/>
  <c r="BC110" i="25"/>
  <c r="BK110" i="25"/>
  <c r="AT111" i="25"/>
  <c r="BB111" i="25"/>
  <c r="AU125" i="25"/>
  <c r="BC125" i="25"/>
  <c r="BK125" i="25"/>
  <c r="AP126" i="25"/>
  <c r="AU128" i="25"/>
  <c r="BE128" i="25"/>
  <c r="AC129" i="25"/>
  <c r="BC132" i="25"/>
  <c r="AB144" i="25"/>
  <c r="AB155" i="25" s="1"/>
  <c r="AV128" i="25"/>
  <c r="BF128" i="25"/>
  <c r="BD132" i="25"/>
  <c r="BI146" i="25"/>
  <c r="BA146" i="25"/>
  <c r="AS146" i="25"/>
  <c r="AR146" i="25" s="1"/>
  <c r="AQ146" i="25" s="1"/>
  <c r="BH146" i="25"/>
  <c r="AZ146" i="25"/>
  <c r="BF146" i="25"/>
  <c r="AX146" i="25"/>
  <c r="BE146" i="25"/>
  <c r="AW146" i="25"/>
  <c r="BK146" i="25"/>
  <c r="BC146" i="25"/>
  <c r="AU146" i="25"/>
  <c r="BK153" i="25"/>
  <c r="BC153" i="25"/>
  <c r="AU153" i="25"/>
  <c r="BJ153" i="25"/>
  <c r="BB153" i="25"/>
  <c r="AT153" i="25"/>
  <c r="BI153" i="25"/>
  <c r="BA153" i="25"/>
  <c r="AS153" i="25"/>
  <c r="AR153" i="25" s="1"/>
  <c r="AQ153" i="25" s="1"/>
  <c r="BH153" i="25"/>
  <c r="AZ153" i="25"/>
  <c r="BG153" i="25"/>
  <c r="AY153" i="25"/>
  <c r="BF153" i="25"/>
  <c r="AX153" i="25"/>
  <c r="BE153" i="25"/>
  <c r="AW153" i="25"/>
  <c r="AW110" i="25"/>
  <c r="AW125" i="25"/>
  <c r="AZ126" i="25"/>
  <c r="AW128" i="25"/>
  <c r="BH128" i="25"/>
  <c r="BI131" i="25"/>
  <c r="BA131" i="25"/>
  <c r="AS131" i="25"/>
  <c r="AR131" i="25" s="1"/>
  <c r="AQ131" i="25" s="1"/>
  <c r="BH131" i="25"/>
  <c r="AZ131" i="25"/>
  <c r="BF131" i="25"/>
  <c r="AX131" i="25"/>
  <c r="BK131" i="25"/>
  <c r="BC131" i="25"/>
  <c r="AU131" i="25"/>
  <c r="BF132" i="25"/>
  <c r="AT146" i="25"/>
  <c r="AB130" i="25"/>
  <c r="AT145" i="25"/>
  <c r="BB145" i="25"/>
  <c r="BJ145" i="25"/>
  <c r="AY148" i="25"/>
  <c r="BG148" i="25"/>
  <c r="AY149" i="25"/>
  <c r="BG149" i="25"/>
  <c r="AY150" i="25"/>
  <c r="BG150" i="25"/>
  <c r="AU151" i="25"/>
  <c r="BC151" i="25"/>
  <c r="BK151" i="25"/>
  <c r="AW151" i="25"/>
  <c r="BE151" i="25"/>
  <c r="AY129" i="25"/>
  <c r="BG129" i="25"/>
  <c r="AW145" i="25"/>
  <c r="BE145" i="25"/>
  <c r="AP146" i="25"/>
  <c r="AS147" i="25"/>
  <c r="AR147" i="25" s="1"/>
  <c r="AQ147" i="25" s="1"/>
  <c r="BA147" i="25"/>
  <c r="AT148" i="25"/>
  <c r="BB148" i="25"/>
  <c r="BJ148" i="25"/>
  <c r="AT149" i="25"/>
  <c r="BB149" i="25"/>
  <c r="BJ149" i="25"/>
  <c r="AT150" i="25"/>
  <c r="BB150" i="25"/>
  <c r="BJ150" i="25"/>
  <c r="AP151" i="25"/>
  <c r="AX151" i="25"/>
  <c r="BF151" i="25"/>
  <c r="AY151" i="25"/>
  <c r="BG151" i="25"/>
  <c r="AY145" i="25"/>
  <c r="BG145" i="25"/>
  <c r="AB146" i="25"/>
  <c r="AB151" i="25"/>
  <c r="AZ151" i="25"/>
  <c r="BH151" i="25"/>
  <c r="AT129" i="25"/>
  <c r="BB129" i="25"/>
  <c r="AY144" i="25"/>
  <c r="AZ145" i="25"/>
  <c r="AW148" i="25"/>
  <c r="AW149" i="25"/>
  <c r="AW150" i="25"/>
  <c r="AS151" i="25"/>
  <c r="AR151" i="25" s="1"/>
  <c r="AQ151" i="25" s="1"/>
  <c r="BA151" i="25"/>
  <c r="BN35" i="24"/>
  <c r="A35" i="24" s="1"/>
  <c r="BC20" i="24"/>
  <c r="CL5" i="24"/>
  <c r="BD20" i="24"/>
  <c r="AL21" i="24"/>
  <c r="AD21" i="24"/>
  <c r="AK21" i="24"/>
  <c r="AI21" i="24"/>
  <c r="AH21" i="24"/>
  <c r="AG21" i="24"/>
  <c r="BH21" i="24"/>
  <c r="BJ41" i="24"/>
  <c r="BB41" i="24"/>
  <c r="BG41" i="24"/>
  <c r="AY41" i="24"/>
  <c r="BK41" i="24"/>
  <c r="AZ41" i="24"/>
  <c r="BI41" i="24"/>
  <c r="AX41" i="24"/>
  <c r="BH41" i="24"/>
  <c r="AW41" i="24"/>
  <c r="BF41" i="24"/>
  <c r="AV41" i="24"/>
  <c r="BE41" i="24"/>
  <c r="AU41" i="24"/>
  <c r="BD41" i="24"/>
  <c r="AT41" i="24"/>
  <c r="AL20" i="24"/>
  <c r="AD20" i="24"/>
  <c r="AK20" i="24"/>
  <c r="AI20" i="24"/>
  <c r="AH20" i="24"/>
  <c r="AG20" i="24"/>
  <c r="BH20" i="24"/>
  <c r="AU62" i="24"/>
  <c r="BJ21" i="24"/>
  <c r="BB21" i="24"/>
  <c r="AT21" i="24"/>
  <c r="BI21" i="24"/>
  <c r="BA21" i="24"/>
  <c r="AS21" i="24"/>
  <c r="AR21" i="24" s="1"/>
  <c r="AQ21" i="24" s="1"/>
  <c r="BG21" i="24"/>
  <c r="AY21" i="24"/>
  <c r="BF21" i="24"/>
  <c r="AX21" i="24"/>
  <c r="BE21" i="24"/>
  <c r="AW21" i="24"/>
  <c r="AC19" i="24"/>
  <c r="AB19" i="24"/>
  <c r="BJ20" i="24"/>
  <c r="BB20" i="24"/>
  <c r="AT20" i="24"/>
  <c r="BI20" i="24"/>
  <c r="BA20" i="24"/>
  <c r="AS20" i="24"/>
  <c r="AR20" i="24" s="1"/>
  <c r="AQ20" i="24" s="1"/>
  <c r="BG20" i="24"/>
  <c r="AY20" i="24"/>
  <c r="BF20" i="24"/>
  <c r="AX20" i="24"/>
  <c r="BE20" i="24"/>
  <c r="AW20" i="24"/>
  <c r="AC25" i="24"/>
  <c r="AB25" i="24"/>
  <c r="BE62" i="24"/>
  <c r="BF62" i="24"/>
  <c r="AW62" i="24"/>
  <c r="BK62" i="24"/>
  <c r="BB62" i="24"/>
  <c r="AT62" i="24"/>
  <c r="BJ62" i="24"/>
  <c r="BA62" i="24"/>
  <c r="AS62" i="24"/>
  <c r="AR62" i="24" s="1"/>
  <c r="AQ62" i="24" s="1"/>
  <c r="BI62" i="24"/>
  <c r="AZ62" i="24"/>
  <c r="BH62" i="24"/>
  <c r="BG62" i="24"/>
  <c r="BD62" i="24"/>
  <c r="BC62" i="24"/>
  <c r="AY62" i="24"/>
  <c r="AX62" i="24"/>
  <c r="AC82" i="24"/>
  <c r="AP82" i="24"/>
  <c r="G138" i="24"/>
  <c r="E139" i="24"/>
  <c r="G117" i="24"/>
  <c r="E118" i="24"/>
  <c r="E97" i="24"/>
  <c r="G96" i="24"/>
  <c r="E76" i="24"/>
  <c r="G75" i="24"/>
  <c r="DM6" i="24"/>
  <c r="DG4" i="24"/>
  <c r="E55" i="24"/>
  <c r="G33" i="24"/>
  <c r="DK5" i="24"/>
  <c r="O5" i="24"/>
  <c r="DK3" i="24"/>
  <c r="DC3" i="24"/>
  <c r="DG2" i="24"/>
  <c r="DI5" i="24"/>
  <c r="DI3" i="24"/>
  <c r="DM2" i="24"/>
  <c r="DE2" i="24"/>
  <c r="G54" i="24"/>
  <c r="E34" i="24"/>
  <c r="E13" i="24"/>
  <c r="G12" i="24"/>
  <c r="DK7" i="24"/>
  <c r="DI6" i="24"/>
  <c r="DK4" i="24"/>
  <c r="DM4" i="24"/>
  <c r="BN14" i="24"/>
  <c r="A14" i="24" s="1"/>
  <c r="AP19" i="24"/>
  <c r="AU20" i="24"/>
  <c r="AE21" i="24"/>
  <c r="AV21" i="24"/>
  <c r="AP25" i="24"/>
  <c r="DE3" i="24"/>
  <c r="E33" i="24" s="1"/>
  <c r="BF18" i="24"/>
  <c r="AX18" i="24"/>
  <c r="BE18" i="24"/>
  <c r="AW18" i="24"/>
  <c r="BC18" i="24"/>
  <c r="AU18" i="24"/>
  <c r="BB18" i="24"/>
  <c r="AT18" i="24"/>
  <c r="BI18" i="24"/>
  <c r="BA18" i="24"/>
  <c r="AS18" i="24"/>
  <c r="AR18" i="24" s="1"/>
  <c r="AE20" i="24"/>
  <c r="AV20" i="24"/>
  <c r="AF21" i="24"/>
  <c r="AZ21" i="24"/>
  <c r="AS41" i="24"/>
  <c r="AR41" i="24" s="1"/>
  <c r="AQ41" i="24" s="1"/>
  <c r="BE42" i="24"/>
  <c r="AW42" i="24"/>
  <c r="BJ42" i="24"/>
  <c r="BB42" i="24"/>
  <c r="AT42" i="24"/>
  <c r="BI42" i="24"/>
  <c r="BH42" i="24"/>
  <c r="AX42" i="24"/>
  <c r="BG42" i="24"/>
  <c r="AV42" i="24"/>
  <c r="BF42" i="24"/>
  <c r="AU42" i="24"/>
  <c r="BD42" i="24"/>
  <c r="AS42" i="24"/>
  <c r="AR42" i="24" s="1"/>
  <c r="AQ42" i="24" s="1"/>
  <c r="BC42" i="24"/>
  <c r="BA42" i="24"/>
  <c r="BF45" i="24"/>
  <c r="AX45" i="24"/>
  <c r="BK45" i="24"/>
  <c r="BC45" i="24"/>
  <c r="AU45" i="24"/>
  <c r="BJ45" i="24"/>
  <c r="BB45" i="24"/>
  <c r="AT45" i="24"/>
  <c r="BI45" i="24"/>
  <c r="BA45" i="24"/>
  <c r="AS45" i="24"/>
  <c r="AR45" i="24" s="1"/>
  <c r="AQ45" i="24" s="1"/>
  <c r="BH45" i="24"/>
  <c r="BG45" i="24"/>
  <c r="BE45" i="24"/>
  <c r="BD45" i="24"/>
  <c r="AZ45" i="24"/>
  <c r="AY45" i="24"/>
  <c r="AK27" i="24"/>
  <c r="AS27" i="24"/>
  <c r="AR27" i="24" s="1"/>
  <c r="AQ27" i="24" s="1"/>
  <c r="BA27" i="24"/>
  <c r="BI27" i="24"/>
  <c r="AK40" i="24"/>
  <c r="AS40" i="24"/>
  <c r="AR40" i="24" s="1"/>
  <c r="AQ40" i="24" s="1"/>
  <c r="BA40" i="24"/>
  <c r="BI40" i="24"/>
  <c r="AI43" i="24"/>
  <c r="AI44" i="24"/>
  <c r="BJ46" i="24"/>
  <c r="BB46" i="24"/>
  <c r="AT46" i="24"/>
  <c r="BG46" i="24"/>
  <c r="AY46" i="24"/>
  <c r="BF46" i="24"/>
  <c r="AX46" i="24"/>
  <c r="BE46" i="24"/>
  <c r="AW46" i="24"/>
  <c r="AB60" i="24"/>
  <c r="AB71" i="24" s="1"/>
  <c r="AO71" i="24"/>
  <c r="AP60" i="24"/>
  <c r="BE68" i="24"/>
  <c r="AW68" i="24"/>
  <c r="BK68" i="24"/>
  <c r="BC68" i="24"/>
  <c r="AU68" i="24"/>
  <c r="BH68" i="24"/>
  <c r="AZ68" i="24"/>
  <c r="BB68" i="24"/>
  <c r="BJ68" i="24"/>
  <c r="AX68" i="24"/>
  <c r="BI68" i="24"/>
  <c r="AV68" i="24"/>
  <c r="BG68" i="24"/>
  <c r="AT68" i="24"/>
  <c r="AJ19" i="24"/>
  <c r="AP20" i="24"/>
  <c r="AP21" i="24"/>
  <c r="AJ25" i="24"/>
  <c r="AZ25" i="24"/>
  <c r="BH25" i="24"/>
  <c r="AD27" i="24"/>
  <c r="AL27" i="24"/>
  <c r="AT27" i="24"/>
  <c r="BB27" i="24"/>
  <c r="BJ27" i="24"/>
  <c r="AS39" i="24"/>
  <c r="AR39" i="24" s="1"/>
  <c r="BA39" i="24"/>
  <c r="BI39" i="24"/>
  <c r="AD40" i="24"/>
  <c r="AL40" i="24"/>
  <c r="AT40" i="24"/>
  <c r="BB40" i="24"/>
  <c r="BJ40" i="24"/>
  <c r="AJ43" i="24"/>
  <c r="AJ44" i="24"/>
  <c r="AZ46" i="24"/>
  <c r="AC60" i="24"/>
  <c r="AC71" i="24" s="1"/>
  <c r="AS60" i="24"/>
  <c r="AR60" i="24" s="1"/>
  <c r="BI60" i="24"/>
  <c r="AC61" i="24"/>
  <c r="AB61" i="24"/>
  <c r="AU84" i="24"/>
  <c r="AS19" i="24"/>
  <c r="AR19" i="24" s="1"/>
  <c r="AQ19" i="24" s="1"/>
  <c r="BA19" i="24"/>
  <c r="AW22" i="24"/>
  <c r="AW23" i="24"/>
  <c r="AW24" i="24"/>
  <c r="AS25" i="24"/>
  <c r="AR25" i="24" s="1"/>
  <c r="AQ25" i="24" s="1"/>
  <c r="BA25" i="24"/>
  <c r="AE27" i="24"/>
  <c r="AM27" i="24"/>
  <c r="AU27" i="24"/>
  <c r="BC27" i="24"/>
  <c r="BK27" i="24"/>
  <c r="AT39" i="24"/>
  <c r="BB39" i="24"/>
  <c r="AE40" i="24"/>
  <c r="AM40" i="24"/>
  <c r="AU40" i="24"/>
  <c r="BC40" i="24"/>
  <c r="BK40" i="24"/>
  <c r="BF43" i="24"/>
  <c r="AX43" i="24"/>
  <c r="BK43" i="24"/>
  <c r="BC43" i="24"/>
  <c r="AU43" i="24"/>
  <c r="BJ43" i="24"/>
  <c r="BB43" i="24"/>
  <c r="AT43" i="24"/>
  <c r="BF44" i="24"/>
  <c r="AX44" i="24"/>
  <c r="BK44" i="24"/>
  <c r="BC44" i="24"/>
  <c r="AU44" i="24"/>
  <c r="BJ44" i="24"/>
  <c r="BB44" i="24"/>
  <c r="AT44" i="24"/>
  <c r="AH45" i="24"/>
  <c r="AM45" i="24"/>
  <c r="AE45" i="24"/>
  <c r="AL45" i="24"/>
  <c r="AD45" i="24"/>
  <c r="AK45" i="24"/>
  <c r="AL46" i="24"/>
  <c r="AD46" i="24"/>
  <c r="AI46" i="24"/>
  <c r="AH46" i="24"/>
  <c r="AG46" i="24"/>
  <c r="BA46" i="24"/>
  <c r="BE47" i="24"/>
  <c r="AW47" i="24"/>
  <c r="BJ47" i="24"/>
  <c r="BB47" i="24"/>
  <c r="AT47" i="24"/>
  <c r="BI47" i="24"/>
  <c r="BA47" i="24"/>
  <c r="AS47" i="24"/>
  <c r="AR47" i="24" s="1"/>
  <c r="AQ47" i="24" s="1"/>
  <c r="BH47" i="24"/>
  <c r="AZ47" i="24"/>
  <c r="AP61" i="24"/>
  <c r="AH43" i="24"/>
  <c r="AM43" i="24"/>
  <c r="AE43" i="24"/>
  <c r="AL43" i="24"/>
  <c r="AD43" i="24"/>
  <c r="AH44" i="24"/>
  <c r="AM44" i="24"/>
  <c r="AE44" i="24"/>
  <c r="AL44" i="24"/>
  <c r="AD44" i="24"/>
  <c r="BC60" i="24"/>
  <c r="AU60" i="24"/>
  <c r="BH60" i="24"/>
  <c r="AZ60" i="24"/>
  <c r="BG60" i="24"/>
  <c r="AY60" i="24"/>
  <c r="BF60" i="24"/>
  <c r="AX60" i="24"/>
  <c r="AS68" i="24"/>
  <c r="AR68" i="24" s="1"/>
  <c r="AQ68" i="24" s="1"/>
  <c r="BJ84" i="24"/>
  <c r="BB84" i="24"/>
  <c r="AT84" i="24"/>
  <c r="BG84" i="24"/>
  <c r="AY84" i="24"/>
  <c r="BK84" i="24"/>
  <c r="AZ84" i="24"/>
  <c r="BI84" i="24"/>
  <c r="AX84" i="24"/>
  <c r="BH84" i="24"/>
  <c r="AW84" i="24"/>
  <c r="BF84" i="24"/>
  <c r="AV84" i="24"/>
  <c r="BD84" i="24"/>
  <c r="AS84" i="24"/>
  <c r="AR84" i="24" s="1"/>
  <c r="AQ84" i="24" s="1"/>
  <c r="BC84" i="24"/>
  <c r="BA84" i="24"/>
  <c r="AG27" i="24"/>
  <c r="AW27" i="24"/>
  <c r="BE27" i="24"/>
  <c r="AO29" i="24"/>
  <c r="AG40" i="24"/>
  <c r="AW40" i="24"/>
  <c r="BE40" i="24"/>
  <c r="AB45" i="24"/>
  <c r="BD46" i="24"/>
  <c r="AW60" i="24"/>
  <c r="AY68" i="24"/>
  <c r="AB85" i="24"/>
  <c r="AP85" i="24"/>
  <c r="BJ89" i="24"/>
  <c r="BB89" i="24"/>
  <c r="AT89" i="24"/>
  <c r="BG89" i="24"/>
  <c r="AY89" i="24"/>
  <c r="BK89" i="24"/>
  <c r="AZ89" i="24"/>
  <c r="BI89" i="24"/>
  <c r="AX89" i="24"/>
  <c r="BH89" i="24"/>
  <c r="AW89" i="24"/>
  <c r="BF89" i="24"/>
  <c r="AV89" i="24"/>
  <c r="BD89" i="24"/>
  <c r="AS89" i="24"/>
  <c r="AR89" i="24" s="1"/>
  <c r="AQ89" i="24" s="1"/>
  <c r="BE89" i="24"/>
  <c r="BC89" i="24"/>
  <c r="BA89" i="24"/>
  <c r="CG10" i="24"/>
  <c r="CG11" i="24" s="1"/>
  <c r="CG12" i="24" s="1"/>
  <c r="CG13" i="24" s="1"/>
  <c r="CG14" i="24" s="1"/>
  <c r="CG15" i="24" s="1"/>
  <c r="CG16" i="24" s="1"/>
  <c r="CG17" i="24" s="1"/>
  <c r="CG18" i="24" s="1"/>
  <c r="CG19" i="24" s="1"/>
  <c r="CG20" i="24" s="1"/>
  <c r="CG21" i="24" s="1"/>
  <c r="CG22" i="24" s="1"/>
  <c r="CG23" i="24" s="1"/>
  <c r="CG24" i="24" s="1"/>
  <c r="CG25" i="24" s="1"/>
  <c r="CG26" i="24" s="1"/>
  <c r="CG27" i="24" s="1"/>
  <c r="CG28" i="24" s="1"/>
  <c r="CG29" i="24" s="1"/>
  <c r="CG30" i="24" s="1"/>
  <c r="AX27" i="24"/>
  <c r="AW39" i="24"/>
  <c r="AX40" i="24"/>
  <c r="AG42" i="24"/>
  <c r="AL42" i="24"/>
  <c r="AD42" i="24"/>
  <c r="AC43" i="24"/>
  <c r="AC44" i="24"/>
  <c r="AC45" i="24"/>
  <c r="BH46" i="24"/>
  <c r="AG47" i="24"/>
  <c r="AL47" i="24"/>
  <c r="AD47" i="24"/>
  <c r="AK47" i="24"/>
  <c r="AJ47" i="24"/>
  <c r="AC48" i="24"/>
  <c r="AB48" i="24"/>
  <c r="BM52" i="24"/>
  <c r="BA60" i="24"/>
  <c r="BA68" i="24"/>
  <c r="AC81" i="24"/>
  <c r="AC92" i="24" s="1"/>
  <c r="AB81" i="24"/>
  <c r="AB92" i="24" s="1"/>
  <c r="AP81" i="24"/>
  <c r="AS63" i="24"/>
  <c r="AR63" i="24" s="1"/>
  <c r="AQ63" i="24" s="1"/>
  <c r="BB63" i="24"/>
  <c r="AB83" i="24"/>
  <c r="AP83" i="24"/>
  <c r="BH63" i="24"/>
  <c r="AZ63" i="24"/>
  <c r="AP65" i="24"/>
  <c r="AC65" i="24"/>
  <c r="AS48" i="24"/>
  <c r="AR48" i="24" s="1"/>
  <c r="AQ48" i="24" s="1"/>
  <c r="BA48" i="24"/>
  <c r="AS61" i="24"/>
  <c r="AR61" i="24" s="1"/>
  <c r="AQ61" i="24" s="1"/>
  <c r="BA61" i="24"/>
  <c r="AC63" i="24"/>
  <c r="AU63" i="24"/>
  <c r="BD63" i="24"/>
  <c r="AB64" i="24"/>
  <c r="AU67" i="24"/>
  <c r="BC81" i="24"/>
  <c r="AU81" i="24"/>
  <c r="BI81" i="24"/>
  <c r="BA81" i="24"/>
  <c r="AS81" i="24"/>
  <c r="AR81" i="24" s="1"/>
  <c r="BH81" i="24"/>
  <c r="AZ81" i="24"/>
  <c r="BF81" i="24"/>
  <c r="AX81" i="24"/>
  <c r="AB87" i="24"/>
  <c r="AP87" i="24"/>
  <c r="AC87" i="24"/>
  <c r="AX63" i="24"/>
  <c r="BG63" i="24"/>
  <c r="AP66" i="24"/>
  <c r="AC66" i="24"/>
  <c r="BJ67" i="24"/>
  <c r="BB67" i="24"/>
  <c r="AT67" i="24"/>
  <c r="BH67" i="24"/>
  <c r="AZ67" i="24"/>
  <c r="BE67" i="24"/>
  <c r="AW67" i="24"/>
  <c r="AC83" i="24"/>
  <c r="AS64" i="24"/>
  <c r="AR64" i="24" s="1"/>
  <c r="AQ64" i="24" s="1"/>
  <c r="BA64" i="24"/>
  <c r="BI64" i="24"/>
  <c r="AS65" i="24"/>
  <c r="AR65" i="24" s="1"/>
  <c r="AQ65" i="24" s="1"/>
  <c r="BA65" i="24"/>
  <c r="BI65" i="24"/>
  <c r="AS66" i="24"/>
  <c r="AR66" i="24" s="1"/>
  <c r="AQ66" i="24" s="1"/>
  <c r="BA66" i="24"/>
  <c r="BI66" i="24"/>
  <c r="AY69" i="24"/>
  <c r="BG69" i="24"/>
  <c r="AY82" i="24"/>
  <c r="BG82" i="24"/>
  <c r="BK85" i="24"/>
  <c r="BC85" i="24"/>
  <c r="AU85" i="24"/>
  <c r="BH85" i="24"/>
  <c r="AZ85" i="24"/>
  <c r="AT86" i="24"/>
  <c r="BE86" i="24"/>
  <c r="AX87" i="24"/>
  <c r="AV90" i="24"/>
  <c r="BG90" i="24"/>
  <c r="BH102" i="24"/>
  <c r="AZ102" i="24"/>
  <c r="BG102" i="24"/>
  <c r="AY102" i="24"/>
  <c r="BF102" i="24"/>
  <c r="AX102" i="24"/>
  <c r="BE102" i="24"/>
  <c r="AW102" i="24"/>
  <c r="BC103" i="24"/>
  <c r="BC104" i="24"/>
  <c r="BJ109" i="24"/>
  <c r="BB109" i="24"/>
  <c r="AT109" i="24"/>
  <c r="BI109" i="24"/>
  <c r="BA109" i="24"/>
  <c r="AS109" i="24"/>
  <c r="AR109" i="24" s="1"/>
  <c r="AQ109" i="24" s="1"/>
  <c r="BH109" i="24"/>
  <c r="AZ109" i="24"/>
  <c r="BG109" i="24"/>
  <c r="AY109" i="24"/>
  <c r="BI125" i="24"/>
  <c r="BA125" i="24"/>
  <c r="AS125" i="24"/>
  <c r="AR125" i="24" s="1"/>
  <c r="AQ125" i="24" s="1"/>
  <c r="BF125" i="24"/>
  <c r="AX125" i="24"/>
  <c r="BD125" i="24"/>
  <c r="AT125" i="24"/>
  <c r="BC125" i="24"/>
  <c r="BK125" i="24"/>
  <c r="AZ125" i="24"/>
  <c r="BJ125" i="24"/>
  <c r="AY125" i="24"/>
  <c r="BH125" i="24"/>
  <c r="AW125" i="24"/>
  <c r="BG125" i="24"/>
  <c r="AV125" i="24"/>
  <c r="BK87" i="24"/>
  <c r="BC87" i="24"/>
  <c r="AU87" i="24"/>
  <c r="BH87" i="24"/>
  <c r="AZ87" i="24"/>
  <c r="AY90" i="24"/>
  <c r="BJ90" i="24"/>
  <c r="AC103" i="24"/>
  <c r="AB103" i="24"/>
  <c r="AP103" i="24"/>
  <c r="AC104" i="24"/>
  <c r="AB104" i="24"/>
  <c r="BB69" i="24"/>
  <c r="AT82" i="24"/>
  <c r="BB82" i="24"/>
  <c r="AC86" i="24"/>
  <c r="AX86" i="24"/>
  <c r="BB87" i="24"/>
  <c r="AC90" i="24"/>
  <c r="AP90" i="24"/>
  <c r="AZ90" i="24"/>
  <c r="AT103" i="24"/>
  <c r="AP104" i="24"/>
  <c r="AP111" i="24"/>
  <c r="BH124" i="24"/>
  <c r="AZ124" i="24"/>
  <c r="BE124" i="24"/>
  <c r="AW124" i="24"/>
  <c r="BD124" i="24"/>
  <c r="AT124" i="24"/>
  <c r="BC124" i="24"/>
  <c r="AS124" i="24"/>
  <c r="AR124" i="24" s="1"/>
  <c r="AQ124" i="24" s="1"/>
  <c r="BK124" i="24"/>
  <c r="BA124" i="24"/>
  <c r="BJ124" i="24"/>
  <c r="AY124" i="24"/>
  <c r="BI124" i="24"/>
  <c r="AX124" i="24"/>
  <c r="BG124" i="24"/>
  <c r="AV124" i="24"/>
  <c r="BI90" i="24"/>
  <c r="BA90" i="24"/>
  <c r="AS90" i="24"/>
  <c r="AR90" i="24" s="1"/>
  <c r="AQ90" i="24" s="1"/>
  <c r="BF90" i="24"/>
  <c r="AX90" i="24"/>
  <c r="BD109" i="24"/>
  <c r="AX64" i="24"/>
  <c r="AX66" i="24"/>
  <c r="AP86" i="24"/>
  <c r="BK86" i="24"/>
  <c r="BC86" i="24"/>
  <c r="AU86" i="24"/>
  <c r="BH86" i="24"/>
  <c r="AZ86" i="24"/>
  <c r="AT87" i="24"/>
  <c r="BE87" i="24"/>
  <c r="BC90" i="24"/>
  <c r="BI103" i="24"/>
  <c r="BA103" i="24"/>
  <c r="AS103" i="24"/>
  <c r="AR103" i="24" s="1"/>
  <c r="AQ103" i="24" s="1"/>
  <c r="BH103" i="24"/>
  <c r="AZ103" i="24"/>
  <c r="BG103" i="24"/>
  <c r="AY103" i="24"/>
  <c r="BF103" i="24"/>
  <c r="AX103" i="24"/>
  <c r="BJ104" i="24"/>
  <c r="BB104" i="24"/>
  <c r="AT104" i="24"/>
  <c r="BI104" i="24"/>
  <c r="BA104" i="24"/>
  <c r="AS104" i="24"/>
  <c r="AR104" i="24" s="1"/>
  <c r="AQ104" i="24" s="1"/>
  <c r="BH104" i="24"/>
  <c r="AZ104" i="24"/>
  <c r="BG104" i="24"/>
  <c r="AY104" i="24"/>
  <c r="AC109" i="24"/>
  <c r="AB109" i="24"/>
  <c r="AC150" i="24"/>
  <c r="AP150" i="24"/>
  <c r="AB150" i="24"/>
  <c r="AU125" i="24"/>
  <c r="BF146" i="24"/>
  <c r="AX146" i="24"/>
  <c r="BE146" i="24"/>
  <c r="AV146" i="24"/>
  <c r="BD146" i="24"/>
  <c r="AU146" i="24"/>
  <c r="BJ146" i="24"/>
  <c r="BA146" i="24"/>
  <c r="BK146" i="24"/>
  <c r="AW146" i="24"/>
  <c r="BI146" i="24"/>
  <c r="AT146" i="24"/>
  <c r="BH146" i="24"/>
  <c r="AS146" i="24"/>
  <c r="AR146" i="24" s="1"/>
  <c r="AQ146" i="24" s="1"/>
  <c r="BG146" i="24"/>
  <c r="BC146" i="24"/>
  <c r="BB146" i="24"/>
  <c r="AZ146" i="24"/>
  <c r="AT105" i="24"/>
  <c r="BB105" i="24"/>
  <c r="BJ105" i="24"/>
  <c r="AU106" i="24"/>
  <c r="BC106" i="24"/>
  <c r="BK106" i="24"/>
  <c r="AU107" i="24"/>
  <c r="BC107" i="24"/>
  <c r="BK107" i="24"/>
  <c r="AU108" i="24"/>
  <c r="BC108" i="24"/>
  <c r="BK108" i="24"/>
  <c r="AT110" i="24"/>
  <c r="BB110" i="24"/>
  <c r="BJ110" i="24"/>
  <c r="BE127" i="24"/>
  <c r="AW127" i="24"/>
  <c r="BJ127" i="24"/>
  <c r="BB127" i="24"/>
  <c r="AT127" i="24"/>
  <c r="AV128" i="24"/>
  <c r="AV129" i="24"/>
  <c r="BD130" i="24"/>
  <c r="AU131" i="24"/>
  <c r="BE132" i="24"/>
  <c r="AW132" i="24"/>
  <c r="BF132" i="24"/>
  <c r="AV132" i="24"/>
  <c r="BD132" i="24"/>
  <c r="AU132" i="24"/>
  <c r="BJ132" i="24"/>
  <c r="BA132" i="24"/>
  <c r="BG145" i="24"/>
  <c r="BK110" i="24"/>
  <c r="BG129" i="24"/>
  <c r="AY129" i="24"/>
  <c r="BI129" i="24"/>
  <c r="AZ129" i="24"/>
  <c r="BH129" i="24"/>
  <c r="AX129" i="24"/>
  <c r="BD129" i="24"/>
  <c r="AU129" i="24"/>
  <c r="BF131" i="24"/>
  <c r="AX131" i="24"/>
  <c r="BK131" i="24"/>
  <c r="BB131" i="24"/>
  <c r="AS131" i="24"/>
  <c r="AR131" i="24" s="1"/>
  <c r="AQ131" i="24" s="1"/>
  <c r="BJ131" i="24"/>
  <c r="BA131" i="24"/>
  <c r="BG131" i="24"/>
  <c r="AW131" i="24"/>
  <c r="AC153" i="24"/>
  <c r="AB153" i="24"/>
  <c r="AP153" i="24"/>
  <c r="AW106" i="24"/>
  <c r="BE106" i="24"/>
  <c r="AW107" i="24"/>
  <c r="BE107" i="24"/>
  <c r="AB126" i="24"/>
  <c r="BF128" i="24"/>
  <c r="AX128" i="24"/>
  <c r="BE128" i="24"/>
  <c r="AW128" i="24"/>
  <c r="BJ128" i="24"/>
  <c r="BB128" i="24"/>
  <c r="AT128" i="24"/>
  <c r="BA129" i="24"/>
  <c r="AB131" i="24"/>
  <c r="AY131" i="24"/>
  <c r="AP146" i="24"/>
  <c r="AC146" i="24"/>
  <c r="BK150" i="24"/>
  <c r="BC150" i="24"/>
  <c r="AU150" i="24"/>
  <c r="BJ150" i="24"/>
  <c r="BB150" i="24"/>
  <c r="AT150" i="24"/>
  <c r="BD150" i="24"/>
  <c r="BA150" i="24"/>
  <c r="BH150" i="24"/>
  <c r="AX150" i="24"/>
  <c r="AY83" i="24"/>
  <c r="AW105" i="24"/>
  <c r="AX106" i="24"/>
  <c r="AX107" i="24"/>
  <c r="AX108" i="24"/>
  <c r="AW110" i="24"/>
  <c r="AC125" i="24"/>
  <c r="AP125" i="24"/>
  <c r="BA128" i="24"/>
  <c r="BB129" i="24"/>
  <c r="AT130" i="24"/>
  <c r="AC131" i="24"/>
  <c r="AZ131" i="24"/>
  <c r="AX145" i="24"/>
  <c r="AB146" i="24"/>
  <c r="AW150" i="24"/>
  <c r="BC128" i="24"/>
  <c r="BC129" i="24"/>
  <c r="BK130" i="24"/>
  <c r="BC130" i="24"/>
  <c r="AU130" i="24"/>
  <c r="BJ130" i="24"/>
  <c r="BA130" i="24"/>
  <c r="BI130" i="24"/>
  <c r="AZ130" i="24"/>
  <c r="BF130" i="24"/>
  <c r="AW130" i="24"/>
  <c r="BC131" i="24"/>
  <c r="BE145" i="24"/>
  <c r="AW145" i="24"/>
  <c r="BF145" i="24"/>
  <c r="AV145" i="24"/>
  <c r="BD145" i="24"/>
  <c r="AU145" i="24"/>
  <c r="BJ145" i="24"/>
  <c r="BA145" i="24"/>
  <c r="AY150" i="24"/>
  <c r="AP151" i="24"/>
  <c r="AB151" i="24"/>
  <c r="BK153" i="24"/>
  <c r="BC153" i="24"/>
  <c r="AU153" i="24"/>
  <c r="BJ153" i="24"/>
  <c r="BB153" i="24"/>
  <c r="AT153" i="24"/>
  <c r="BI153" i="24"/>
  <c r="BA153" i="24"/>
  <c r="AS153" i="24"/>
  <c r="AR153" i="24" s="1"/>
  <c r="AQ153" i="24" s="1"/>
  <c r="BH153" i="24"/>
  <c r="AZ153" i="24"/>
  <c r="BF153" i="24"/>
  <c r="AX153" i="24"/>
  <c r="BG153" i="24"/>
  <c r="BE153" i="24"/>
  <c r="BD153" i="24"/>
  <c r="AY153" i="24"/>
  <c r="AB149" i="24"/>
  <c r="AP149" i="24"/>
  <c r="AP126" i="24"/>
  <c r="AC149" i="24"/>
  <c r="BI147" i="24"/>
  <c r="BA147" i="24"/>
  <c r="AS147" i="24"/>
  <c r="AR147" i="24" s="1"/>
  <c r="AQ147" i="24" s="1"/>
  <c r="BJ148" i="24"/>
  <c r="BB148" i="24"/>
  <c r="AT148" i="24"/>
  <c r="BI151" i="24"/>
  <c r="BA151" i="24"/>
  <c r="AS151" i="24"/>
  <c r="AR151" i="24" s="1"/>
  <c r="AQ151" i="24" s="1"/>
  <c r="BG151" i="24"/>
  <c r="AY151" i="24"/>
  <c r="BF151" i="24"/>
  <c r="AX151" i="24"/>
  <c r="AY123" i="24"/>
  <c r="AW147" i="24"/>
  <c r="BF147" i="24"/>
  <c r="AW148" i="24"/>
  <c r="BF148" i="24"/>
  <c r="BJ149" i="24"/>
  <c r="BB149" i="24"/>
  <c r="AT149" i="24"/>
  <c r="BD151" i="24"/>
  <c r="AS152" i="24"/>
  <c r="AR152" i="24" s="1"/>
  <c r="AQ152" i="24" s="1"/>
  <c r="BA152" i="24"/>
  <c r="BI152" i="24"/>
  <c r="CL7" i="23"/>
  <c r="E33" i="23"/>
  <c r="G138" i="23"/>
  <c r="G117" i="23"/>
  <c r="E139" i="23"/>
  <c r="E97" i="23"/>
  <c r="E118" i="23"/>
  <c r="G54" i="23"/>
  <c r="G75" i="23"/>
  <c r="E55" i="23"/>
  <c r="G96" i="23"/>
  <c r="G33" i="23"/>
  <c r="DK5" i="23"/>
  <c r="O5" i="23"/>
  <c r="DK3" i="23"/>
  <c r="DC3" i="23"/>
  <c r="E76" i="23"/>
  <c r="DM7" i="23"/>
  <c r="DK6" i="23"/>
  <c r="DM4" i="23"/>
  <c r="DE4" i="23"/>
  <c r="DI5" i="23"/>
  <c r="DI3" i="23"/>
  <c r="DM2" i="23"/>
  <c r="DE2" i="23"/>
  <c r="DK4" i="23"/>
  <c r="DM5" i="23"/>
  <c r="AZ22" i="23"/>
  <c r="AV23" i="23"/>
  <c r="AV24" i="23"/>
  <c r="AP39" i="23"/>
  <c r="AO50" i="23"/>
  <c r="AB39" i="23"/>
  <c r="AB50" i="23" s="1"/>
  <c r="BF25" i="23"/>
  <c r="AX25" i="23"/>
  <c r="BE25" i="23"/>
  <c r="AW25" i="23"/>
  <c r="BK25" i="23"/>
  <c r="BC25" i="23"/>
  <c r="AU25" i="23"/>
  <c r="BJ25" i="23"/>
  <c r="BB25" i="23"/>
  <c r="AT25" i="23"/>
  <c r="BI25" i="23"/>
  <c r="BA25" i="23"/>
  <c r="AS25" i="23"/>
  <c r="AR25" i="23" s="1"/>
  <c r="AQ25" i="23" s="1"/>
  <c r="BG25" i="23"/>
  <c r="AY25" i="23"/>
  <c r="DI6" i="23"/>
  <c r="CG10" i="23"/>
  <c r="CG11" i="23" s="1"/>
  <c r="CG12" i="23" s="1"/>
  <c r="CG13" i="23" s="1"/>
  <c r="CG14" i="23" s="1"/>
  <c r="CG15" i="23" s="1"/>
  <c r="CG16" i="23" s="1"/>
  <c r="CG17" i="23" s="1"/>
  <c r="CG18" i="23" s="1"/>
  <c r="CG19" i="23" s="1"/>
  <c r="CG20" i="23" s="1"/>
  <c r="CG21" i="23" s="1"/>
  <c r="CG22" i="23" s="1"/>
  <c r="CG23" i="23" s="1"/>
  <c r="CG24" i="23" s="1"/>
  <c r="CG25" i="23" s="1"/>
  <c r="CG26" i="23" s="1"/>
  <c r="CG27" i="23" s="1"/>
  <c r="CG28" i="23" s="1"/>
  <c r="CG29" i="23" s="1"/>
  <c r="CG30" i="23" s="1"/>
  <c r="E13" i="23"/>
  <c r="BF19" i="23"/>
  <c r="AX19" i="23"/>
  <c r="BE19" i="23"/>
  <c r="AW19" i="23"/>
  <c r="BK19" i="23"/>
  <c r="BC19" i="23"/>
  <c r="AU19" i="23"/>
  <c r="BJ19" i="23"/>
  <c r="BB19" i="23"/>
  <c r="AT19" i="23"/>
  <c r="BI19" i="23"/>
  <c r="BA19" i="23"/>
  <c r="AS19" i="23"/>
  <c r="AR19" i="23" s="1"/>
  <c r="AQ19" i="23" s="1"/>
  <c r="BG19" i="23"/>
  <c r="AY19" i="23"/>
  <c r="AH25" i="23"/>
  <c r="AG25" i="23"/>
  <c r="AM25" i="23"/>
  <c r="AE25" i="23"/>
  <c r="AL25" i="23"/>
  <c r="AD25" i="23"/>
  <c r="AK25" i="23"/>
  <c r="AI25" i="23"/>
  <c r="AH19" i="23"/>
  <c r="AG19" i="23"/>
  <c r="AM19" i="23"/>
  <c r="AE19" i="23"/>
  <c r="AL19" i="23"/>
  <c r="AD19" i="23"/>
  <c r="AK19" i="23"/>
  <c r="AI19" i="23"/>
  <c r="BJ22" i="23"/>
  <c r="BB22" i="23"/>
  <c r="AT22" i="23"/>
  <c r="BI22" i="23"/>
  <c r="BA22" i="23"/>
  <c r="AS22" i="23"/>
  <c r="AR22" i="23" s="1"/>
  <c r="AQ22" i="23" s="1"/>
  <c r="BG22" i="23"/>
  <c r="AY22" i="23"/>
  <c r="BF22" i="23"/>
  <c r="AX22" i="23"/>
  <c r="BE22" i="23"/>
  <c r="AW22" i="23"/>
  <c r="BK22" i="23"/>
  <c r="BC22" i="23"/>
  <c r="AU22" i="23"/>
  <c r="AF24" i="23"/>
  <c r="G12" i="23"/>
  <c r="AG224" i="16" s="1"/>
  <c r="AL22" i="23"/>
  <c r="AD22" i="23"/>
  <c r="AK22" i="23"/>
  <c r="AI22" i="23"/>
  <c r="AH22" i="23"/>
  <c r="AG22" i="23"/>
  <c r="AM22" i="23"/>
  <c r="AE22" i="23"/>
  <c r="AL23" i="23"/>
  <c r="AD23" i="23"/>
  <c r="AK23" i="23"/>
  <c r="AI23" i="23"/>
  <c r="AH23" i="23"/>
  <c r="AG23" i="23"/>
  <c r="AM23" i="23"/>
  <c r="AE23" i="23"/>
  <c r="BJ23" i="23"/>
  <c r="BB23" i="23"/>
  <c r="AT23" i="23"/>
  <c r="BI23" i="23"/>
  <c r="BA23" i="23"/>
  <c r="AS23" i="23"/>
  <c r="AR23" i="23" s="1"/>
  <c r="AQ23" i="23" s="1"/>
  <c r="BG23" i="23"/>
  <c r="AY23" i="23"/>
  <c r="BF23" i="23"/>
  <c r="AX23" i="23"/>
  <c r="BE23" i="23"/>
  <c r="AW23" i="23"/>
  <c r="BK23" i="23"/>
  <c r="BC23" i="23"/>
  <c r="AU23" i="23"/>
  <c r="BJ24" i="23"/>
  <c r="BB24" i="23"/>
  <c r="AT24" i="23"/>
  <c r="BI24" i="23"/>
  <c r="BA24" i="23"/>
  <c r="AS24" i="23"/>
  <c r="AR24" i="23" s="1"/>
  <c r="AQ24" i="23" s="1"/>
  <c r="BG24" i="23"/>
  <c r="AY24" i="23"/>
  <c r="BF24" i="23"/>
  <c r="AX24" i="23"/>
  <c r="BE24" i="23"/>
  <c r="AW24" i="23"/>
  <c r="BK24" i="23"/>
  <c r="BC24" i="23"/>
  <c r="AU24" i="23"/>
  <c r="AL24" i="23"/>
  <c r="AD24" i="23"/>
  <c r="AK24" i="23"/>
  <c r="AI24" i="23"/>
  <c r="AH24" i="23"/>
  <c r="AG24" i="23"/>
  <c r="AM24" i="23"/>
  <c r="AE24" i="23"/>
  <c r="BM52" i="23"/>
  <c r="CG31" i="23"/>
  <c r="CG32" i="23" s="1"/>
  <c r="CG33" i="23" s="1"/>
  <c r="CG34" i="23" s="1"/>
  <c r="CG35" i="23" s="1"/>
  <c r="CG36" i="23" s="1"/>
  <c r="CG37" i="23" s="1"/>
  <c r="CG38" i="23" s="1"/>
  <c r="CG39" i="23" s="1"/>
  <c r="CG40" i="23" s="1"/>
  <c r="CG41" i="23" s="1"/>
  <c r="CG42" i="23" s="1"/>
  <c r="CG43" i="23" s="1"/>
  <c r="CG44" i="23" s="1"/>
  <c r="CG45" i="23" s="1"/>
  <c r="CG46" i="23" s="1"/>
  <c r="CG47" i="23" s="1"/>
  <c r="CG48" i="23" s="1"/>
  <c r="CG49" i="23" s="1"/>
  <c r="CG50" i="23" s="1"/>
  <c r="CG51" i="23" s="1"/>
  <c r="AV19" i="23"/>
  <c r="AZ25" i="23"/>
  <c r="AZ19" i="23"/>
  <c r="AV22" i="23"/>
  <c r="BD25" i="23"/>
  <c r="AH45" i="23"/>
  <c r="BF45" i="23"/>
  <c r="AV48" i="23"/>
  <c r="BE48" i="23"/>
  <c r="BE61" i="23"/>
  <c r="AW61" i="23"/>
  <c r="BJ61" i="23"/>
  <c r="BB61" i="23"/>
  <c r="AT61" i="23"/>
  <c r="BI61" i="23"/>
  <c r="BA61" i="23"/>
  <c r="AS61" i="23"/>
  <c r="AR61" i="23" s="1"/>
  <c r="AQ61" i="23" s="1"/>
  <c r="BH61" i="23"/>
  <c r="AZ61" i="23"/>
  <c r="BF61" i="23"/>
  <c r="AX61" i="23"/>
  <c r="BI88" i="23"/>
  <c r="BA88" i="23"/>
  <c r="AS88" i="23"/>
  <c r="AR88" i="23" s="1"/>
  <c r="AQ88" i="23" s="1"/>
  <c r="BE88" i="23"/>
  <c r="AW88" i="23"/>
  <c r="BJ88" i="23"/>
  <c r="AY88" i="23"/>
  <c r="BH88" i="23"/>
  <c r="AX88" i="23"/>
  <c r="BF88" i="23"/>
  <c r="AU88" i="23"/>
  <c r="BD88" i="23"/>
  <c r="AT88" i="23"/>
  <c r="BC88" i="23"/>
  <c r="BK88" i="23"/>
  <c r="AZ88" i="23"/>
  <c r="BI87" i="23"/>
  <c r="BE87" i="23"/>
  <c r="AW87" i="23"/>
  <c r="BD87" i="23"/>
  <c r="AV87" i="23"/>
  <c r="BK87" i="23"/>
  <c r="BB87" i="23"/>
  <c r="AT87" i="23"/>
  <c r="BJ87" i="23"/>
  <c r="BA87" i="23"/>
  <c r="AS87" i="23"/>
  <c r="AR87" i="23" s="1"/>
  <c r="AQ87" i="23" s="1"/>
  <c r="BH87" i="23"/>
  <c r="AZ87" i="23"/>
  <c r="BF87" i="23"/>
  <c r="AX87" i="23"/>
  <c r="AC19" i="23"/>
  <c r="AI20" i="23"/>
  <c r="AY20" i="23"/>
  <c r="BG20" i="23"/>
  <c r="AI21" i="23"/>
  <c r="AY21" i="23"/>
  <c r="BG21" i="23"/>
  <c r="AC25" i="23"/>
  <c r="AE27" i="23"/>
  <c r="AU27" i="23"/>
  <c r="BC27" i="23"/>
  <c r="AT39" i="23"/>
  <c r="BB39" i="23"/>
  <c r="AE40" i="23"/>
  <c r="AI42" i="23"/>
  <c r="AY42" i="23"/>
  <c r="BG42" i="23"/>
  <c r="AB43" i="23"/>
  <c r="AJ43" i="23"/>
  <c r="AZ43" i="23"/>
  <c r="BH43" i="23"/>
  <c r="AB44" i="23"/>
  <c r="AJ44" i="23"/>
  <c r="AZ44" i="23"/>
  <c r="BH44" i="23"/>
  <c r="AB45" i="23"/>
  <c r="AJ45" i="23"/>
  <c r="AZ45" i="23"/>
  <c r="BH45" i="23"/>
  <c r="AI47" i="23"/>
  <c r="AY47" i="23"/>
  <c r="BG47" i="23"/>
  <c r="AH48" i="23"/>
  <c r="AP48" i="23"/>
  <c r="AX48" i="23"/>
  <c r="BH48" i="23"/>
  <c r="AV61" i="23"/>
  <c r="BJ64" i="23"/>
  <c r="BB64" i="23"/>
  <c r="AT64" i="23"/>
  <c r="BI64" i="23"/>
  <c r="BA64" i="23"/>
  <c r="AS64" i="23"/>
  <c r="AR64" i="23" s="1"/>
  <c r="AQ64" i="23" s="1"/>
  <c r="BG64" i="23"/>
  <c r="AY64" i="23"/>
  <c r="BF64" i="23"/>
  <c r="AX64" i="23"/>
  <c r="BE64" i="23"/>
  <c r="AW64" i="23"/>
  <c r="BK64" i="23"/>
  <c r="BC64" i="23"/>
  <c r="AU64" i="23"/>
  <c r="BJ65" i="23"/>
  <c r="BB65" i="23"/>
  <c r="AT65" i="23"/>
  <c r="BI65" i="23"/>
  <c r="BA65" i="23"/>
  <c r="AS65" i="23"/>
  <c r="AR65" i="23" s="1"/>
  <c r="AQ65" i="23" s="1"/>
  <c r="BG65" i="23"/>
  <c r="AY65" i="23"/>
  <c r="BF65" i="23"/>
  <c r="AX65" i="23"/>
  <c r="BE65" i="23"/>
  <c r="AW65" i="23"/>
  <c r="BK65" i="23"/>
  <c r="BC65" i="23"/>
  <c r="AU65" i="23"/>
  <c r="BJ66" i="23"/>
  <c r="BB66" i="23"/>
  <c r="AT66" i="23"/>
  <c r="BI66" i="23"/>
  <c r="BA66" i="23"/>
  <c r="AS66" i="23"/>
  <c r="AR66" i="23" s="1"/>
  <c r="AQ66" i="23" s="1"/>
  <c r="BG66" i="23"/>
  <c r="AY66" i="23"/>
  <c r="BF66" i="23"/>
  <c r="AX66" i="23"/>
  <c r="BE66" i="23"/>
  <c r="AW66" i="23"/>
  <c r="BK66" i="23"/>
  <c r="BC66" i="23"/>
  <c r="AU66" i="23"/>
  <c r="AO92" i="23"/>
  <c r="AP81" i="23"/>
  <c r="AB81" i="23"/>
  <c r="AB92" i="23" s="1"/>
  <c r="AB20" i="23"/>
  <c r="AJ20" i="23"/>
  <c r="AZ20" i="23"/>
  <c r="BH20" i="23"/>
  <c r="AB21" i="23"/>
  <c r="AJ21" i="23"/>
  <c r="AZ21" i="23"/>
  <c r="BH21" i="23"/>
  <c r="AU39" i="23"/>
  <c r="AB42" i="23"/>
  <c r="AJ42" i="23"/>
  <c r="AZ42" i="23"/>
  <c r="BH42" i="23"/>
  <c r="AK43" i="23"/>
  <c r="AS43" i="23"/>
  <c r="AR43" i="23" s="1"/>
  <c r="AQ43" i="23" s="1"/>
  <c r="BA43" i="23"/>
  <c r="BI43" i="23"/>
  <c r="AK44" i="23"/>
  <c r="AS44" i="23"/>
  <c r="AR44" i="23" s="1"/>
  <c r="AQ44" i="23" s="1"/>
  <c r="BA44" i="23"/>
  <c r="BI44" i="23"/>
  <c r="AK45" i="23"/>
  <c r="AS45" i="23"/>
  <c r="AR45" i="23" s="1"/>
  <c r="AQ45" i="23" s="1"/>
  <c r="BA45" i="23"/>
  <c r="BI45" i="23"/>
  <c r="AB47" i="23"/>
  <c r="AJ47" i="23"/>
  <c r="AZ47" i="23"/>
  <c r="AI48" i="23"/>
  <c r="AY48" i="23"/>
  <c r="BI48" i="23"/>
  <c r="AY61" i="23"/>
  <c r="AV62" i="23"/>
  <c r="AS20" i="23"/>
  <c r="AR20" i="23" s="1"/>
  <c r="AQ20" i="23" s="1"/>
  <c r="BA20" i="23"/>
  <c r="AS21" i="23"/>
  <c r="AR21" i="23" s="1"/>
  <c r="AQ21" i="23" s="1"/>
  <c r="BA21" i="23"/>
  <c r="AS42" i="23"/>
  <c r="AR42" i="23" s="1"/>
  <c r="AQ42" i="23" s="1"/>
  <c r="BA42" i="23"/>
  <c r="AD43" i="23"/>
  <c r="AL43" i="23"/>
  <c r="AT43" i="23"/>
  <c r="BB43" i="23"/>
  <c r="BJ43" i="23"/>
  <c r="AD44" i="23"/>
  <c r="AL44" i="23"/>
  <c r="AT44" i="23"/>
  <c r="BB44" i="23"/>
  <c r="BJ44" i="23"/>
  <c r="AD45" i="23"/>
  <c r="AL45" i="23"/>
  <c r="AT45" i="23"/>
  <c r="BB45" i="23"/>
  <c r="BJ45" i="23"/>
  <c r="AB48" i="23"/>
  <c r="AJ48" i="23"/>
  <c r="AZ48" i="23"/>
  <c r="BC61" i="23"/>
  <c r="BJ48" i="23"/>
  <c r="BB48" i="23"/>
  <c r="BF48" i="23"/>
  <c r="AU87" i="23"/>
  <c r="AT48" i="23"/>
  <c r="BC48" i="23"/>
  <c r="BG61" i="23"/>
  <c r="AY87" i="23"/>
  <c r="BB88" i="23"/>
  <c r="AW43" i="23"/>
  <c r="AW44" i="23"/>
  <c r="AW45" i="23"/>
  <c r="AE48" i="23"/>
  <c r="AU48" i="23"/>
  <c r="BD48" i="23"/>
  <c r="BK61" i="23"/>
  <c r="BF62" i="23"/>
  <c r="AX62" i="23"/>
  <c r="BE62" i="23"/>
  <c r="AW62" i="23"/>
  <c r="BK62" i="23"/>
  <c r="BC62" i="23"/>
  <c r="AU62" i="23"/>
  <c r="BJ62" i="23"/>
  <c r="BB62" i="23"/>
  <c r="AT62" i="23"/>
  <c r="BI62" i="23"/>
  <c r="BA62" i="23"/>
  <c r="AS62" i="23"/>
  <c r="AR62" i="23" s="1"/>
  <c r="AQ62" i="23" s="1"/>
  <c r="BG62" i="23"/>
  <c r="AY62" i="23"/>
  <c r="BF67" i="23"/>
  <c r="AX67" i="23"/>
  <c r="BE67" i="23"/>
  <c r="AW67" i="23"/>
  <c r="BK67" i="23"/>
  <c r="BC67" i="23"/>
  <c r="AU67" i="23"/>
  <c r="BJ67" i="23"/>
  <c r="BB67" i="23"/>
  <c r="AT67" i="23"/>
  <c r="BI67" i="23"/>
  <c r="BA67" i="23"/>
  <c r="AS67" i="23"/>
  <c r="AR67" i="23" s="1"/>
  <c r="AQ67" i="23" s="1"/>
  <c r="BG67" i="23"/>
  <c r="AY67" i="23"/>
  <c r="BC87" i="23"/>
  <c r="BG88" i="23"/>
  <c r="AW60" i="23"/>
  <c r="BE60" i="23"/>
  <c r="AT63" i="23"/>
  <c r="BB63" i="23"/>
  <c r="BJ63" i="23"/>
  <c r="AT68" i="23"/>
  <c r="BB68" i="23"/>
  <c r="BJ68" i="23"/>
  <c r="AZ81" i="23"/>
  <c r="BH81" i="23"/>
  <c r="AT83" i="23"/>
  <c r="BB83" i="23"/>
  <c r="BJ83" i="23"/>
  <c r="AX85" i="23"/>
  <c r="BF85" i="23"/>
  <c r="AX86" i="23"/>
  <c r="BF86" i="23"/>
  <c r="AB103" i="23"/>
  <c r="AP103" i="23"/>
  <c r="AP110" i="23"/>
  <c r="AB110" i="23"/>
  <c r="AC110" i="23"/>
  <c r="AC107" i="23"/>
  <c r="AB107" i="23"/>
  <c r="AP107" i="23"/>
  <c r="AC62" i="23"/>
  <c r="AC67" i="23"/>
  <c r="AZ85" i="23"/>
  <c r="BH85" i="23"/>
  <c r="AZ86" i="23"/>
  <c r="BH86" i="23"/>
  <c r="BB102" i="23"/>
  <c r="AT102" i="23"/>
  <c r="BI102" i="23"/>
  <c r="BA102" i="23"/>
  <c r="AS102" i="23"/>
  <c r="AR102" i="23" s="1"/>
  <c r="BG102" i="23"/>
  <c r="AY102" i="23"/>
  <c r="BF102" i="23"/>
  <c r="AX102" i="23"/>
  <c r="BE102" i="23"/>
  <c r="AW102" i="23"/>
  <c r="BC102" i="23"/>
  <c r="AU102" i="23"/>
  <c r="AC103" i="23"/>
  <c r="AP105" i="23"/>
  <c r="AB105" i="23"/>
  <c r="AO134" i="23"/>
  <c r="AB123" i="23"/>
  <c r="AB134" i="23" s="1"/>
  <c r="AP123" i="23"/>
  <c r="AC123" i="23"/>
  <c r="AC134" i="23" s="1"/>
  <c r="AW63" i="23"/>
  <c r="BE63" i="23"/>
  <c r="AW68" i="23"/>
  <c r="BE68" i="23"/>
  <c r="AU81" i="23"/>
  <c r="BC81" i="23"/>
  <c r="AW83" i="23"/>
  <c r="BE83" i="23"/>
  <c r="AB84" i="23"/>
  <c r="AZ84" i="23"/>
  <c r="AS85" i="23"/>
  <c r="AR85" i="23" s="1"/>
  <c r="AQ85" i="23" s="1"/>
  <c r="BA85" i="23"/>
  <c r="BI85" i="23"/>
  <c r="AS86" i="23"/>
  <c r="AR86" i="23" s="1"/>
  <c r="AQ86" i="23" s="1"/>
  <c r="BA86" i="23"/>
  <c r="BI86" i="23"/>
  <c r="AS60" i="23"/>
  <c r="AR60" i="23" s="1"/>
  <c r="BA60" i="23"/>
  <c r="AP63" i="23"/>
  <c r="AX63" i="23"/>
  <c r="BF63" i="23"/>
  <c r="AX68" i="23"/>
  <c r="BF68" i="23"/>
  <c r="AX83" i="23"/>
  <c r="BF83" i="23"/>
  <c r="AT85" i="23"/>
  <c r="BB85" i="23"/>
  <c r="BJ85" i="23"/>
  <c r="AT86" i="23"/>
  <c r="BB86" i="23"/>
  <c r="BJ86" i="23"/>
  <c r="AB90" i="23"/>
  <c r="AP90" i="23"/>
  <c r="BE124" i="23"/>
  <c r="AW124" i="23"/>
  <c r="BI124" i="23"/>
  <c r="BA124" i="23"/>
  <c r="AS124" i="23"/>
  <c r="AR124" i="23" s="1"/>
  <c r="AQ124" i="23" s="1"/>
  <c r="BJ124" i="23"/>
  <c r="AY124" i="23"/>
  <c r="BH124" i="23"/>
  <c r="AX124" i="23"/>
  <c r="BG124" i="23"/>
  <c r="AV124" i="23"/>
  <c r="BF124" i="23"/>
  <c r="AU124" i="23"/>
  <c r="BD124" i="23"/>
  <c r="AT124" i="23"/>
  <c r="BC124" i="23"/>
  <c r="BK124" i="23"/>
  <c r="AZ124" i="23"/>
  <c r="AC90" i="23"/>
  <c r="AS63" i="23"/>
  <c r="AR63" i="23" s="1"/>
  <c r="AQ63" i="23" s="1"/>
  <c r="BA63" i="23"/>
  <c r="AS68" i="23"/>
  <c r="AR68" i="23" s="1"/>
  <c r="AQ68" i="23" s="1"/>
  <c r="BA68" i="23"/>
  <c r="AY81" i="23"/>
  <c r="AS83" i="23"/>
  <c r="AR83" i="23" s="1"/>
  <c r="AQ83" i="23" s="1"/>
  <c r="BA83" i="23"/>
  <c r="AW85" i="23"/>
  <c r="AW86" i="23"/>
  <c r="AZ102" i="23"/>
  <c r="AZ105" i="23"/>
  <c r="BH105" i="23"/>
  <c r="AC106" i="23"/>
  <c r="BK109" i="23"/>
  <c r="BC109" i="23"/>
  <c r="AU109" i="23"/>
  <c r="BG109" i="23"/>
  <c r="AY109" i="23"/>
  <c r="BB126" i="23"/>
  <c r="AX90" i="23"/>
  <c r="BF90" i="23"/>
  <c r="AX103" i="23"/>
  <c r="BF103" i="23"/>
  <c r="AT105" i="23"/>
  <c r="BB105" i="23"/>
  <c r="BJ105" i="23"/>
  <c r="BG107" i="23"/>
  <c r="AY107" i="23"/>
  <c r="BK107" i="23"/>
  <c r="BC107" i="23"/>
  <c r="AU107" i="23"/>
  <c r="AS109" i="23"/>
  <c r="AR109" i="23" s="1"/>
  <c r="AQ109" i="23" s="1"/>
  <c r="BD109" i="23"/>
  <c r="BF110" i="23"/>
  <c r="AX110" i="23"/>
  <c r="BJ110" i="23"/>
  <c r="BB110" i="23"/>
  <c r="AT110" i="23"/>
  <c r="AZ111" i="23"/>
  <c r="BF126" i="23"/>
  <c r="AY90" i="23"/>
  <c r="BG90" i="23"/>
  <c r="AP102" i="23"/>
  <c r="AY103" i="23"/>
  <c r="BG103" i="23"/>
  <c r="AU105" i="23"/>
  <c r="BC105" i="23"/>
  <c r="BK105" i="23"/>
  <c r="AT109" i="23"/>
  <c r="BE109" i="23"/>
  <c r="BE111" i="23"/>
  <c r="AW111" i="23"/>
  <c r="BI111" i="23"/>
  <c r="BA111" i="23"/>
  <c r="AS111" i="23"/>
  <c r="AR111" i="23" s="1"/>
  <c r="AQ111" i="23" s="1"/>
  <c r="BH126" i="23"/>
  <c r="AV109" i="23"/>
  <c r="BF109" i="23"/>
  <c r="AT126" i="23"/>
  <c r="BK126" i="23"/>
  <c r="BC126" i="23"/>
  <c r="AU126" i="23"/>
  <c r="BI126" i="23"/>
  <c r="BA126" i="23"/>
  <c r="AS126" i="23"/>
  <c r="AR126" i="23" s="1"/>
  <c r="AQ126" i="23" s="1"/>
  <c r="BG126" i="23"/>
  <c r="AY126" i="23"/>
  <c r="BE126" i="23"/>
  <c r="AW126" i="23"/>
  <c r="AC127" i="23"/>
  <c r="AB127" i="23"/>
  <c r="AP127" i="23"/>
  <c r="BB103" i="23"/>
  <c r="BJ103" i="23"/>
  <c r="AX105" i="23"/>
  <c r="BF105" i="23"/>
  <c r="AX109" i="23"/>
  <c r="BI109" i="23"/>
  <c r="AU111" i="23"/>
  <c r="BF111" i="23"/>
  <c r="AX126" i="23"/>
  <c r="BJ129" i="23"/>
  <c r="BB129" i="23"/>
  <c r="AT129" i="23"/>
  <c r="BG129" i="23"/>
  <c r="AY129" i="23"/>
  <c r="BF129" i="23"/>
  <c r="AX129" i="23"/>
  <c r="BC129" i="23"/>
  <c r="BA129" i="23"/>
  <c r="BK129" i="23"/>
  <c r="AW129" i="23"/>
  <c r="BI129" i="23"/>
  <c r="AV129" i="23"/>
  <c r="BH129" i="23"/>
  <c r="AU129" i="23"/>
  <c r="BD129" i="23"/>
  <c r="AU90" i="23"/>
  <c r="BC90" i="23"/>
  <c r="AU103" i="23"/>
  <c r="BC103" i="23"/>
  <c r="AY105" i="23"/>
  <c r="AZ106" i="23"/>
  <c r="AW107" i="23"/>
  <c r="BH107" i="23"/>
  <c r="BG108" i="23"/>
  <c r="AY108" i="23"/>
  <c r="BK108" i="23"/>
  <c r="BC108" i="23"/>
  <c r="AU108" i="23"/>
  <c r="AZ109" i="23"/>
  <c r="BJ109" i="23"/>
  <c r="AW110" i="23"/>
  <c r="BH110" i="23"/>
  <c r="AV111" i="23"/>
  <c r="BG111" i="23"/>
  <c r="AZ126" i="23"/>
  <c r="AZ123" i="23"/>
  <c r="AT125" i="23"/>
  <c r="BB125" i="23"/>
  <c r="BJ125" i="23"/>
  <c r="AX127" i="23"/>
  <c r="BF127" i="23"/>
  <c r="AZ128" i="23"/>
  <c r="BF130" i="23"/>
  <c r="AX130" i="23"/>
  <c r="BK130" i="23"/>
  <c r="BC130" i="23"/>
  <c r="AU130" i="23"/>
  <c r="BJ130" i="23"/>
  <c r="BB130" i="23"/>
  <c r="AT130" i="23"/>
  <c r="BB131" i="23"/>
  <c r="BJ128" i="23"/>
  <c r="BB128" i="23"/>
  <c r="AT128" i="23"/>
  <c r="BD131" i="23"/>
  <c r="AT131" i="23"/>
  <c r="BG131" i="23"/>
  <c r="AX125" i="23"/>
  <c r="AT127" i="23"/>
  <c r="BB127" i="23"/>
  <c r="AV128" i="23"/>
  <c r="BE128" i="23"/>
  <c r="BE130" i="23"/>
  <c r="AU131" i="23"/>
  <c r="BH131" i="23"/>
  <c r="AP144" i="23"/>
  <c r="AB144" i="23"/>
  <c r="AB155" i="23" s="1"/>
  <c r="AB153" i="23"/>
  <c r="AP153" i="23"/>
  <c r="AX128" i="23"/>
  <c r="BG128" i="23"/>
  <c r="AB129" i="23"/>
  <c r="AY131" i="23"/>
  <c r="AO155" i="23"/>
  <c r="BI131" i="23"/>
  <c r="BA131" i="23"/>
  <c r="AS131" i="23"/>
  <c r="AR131" i="23" s="1"/>
  <c r="AQ131" i="23" s="1"/>
  <c r="BF131" i="23"/>
  <c r="AX131" i="23"/>
  <c r="BE131" i="23"/>
  <c r="AW131" i="23"/>
  <c r="AT146" i="23"/>
  <c r="BB146" i="23"/>
  <c r="BJ146" i="23"/>
  <c r="AX148" i="23"/>
  <c r="BF148" i="23"/>
  <c r="AX149" i="23"/>
  <c r="BF149" i="23"/>
  <c r="AP150" i="23"/>
  <c r="AX150" i="23"/>
  <c r="BF150" i="23"/>
  <c r="AT151" i="23"/>
  <c r="BB151" i="23"/>
  <c r="BJ151" i="23"/>
  <c r="BC144" i="23"/>
  <c r="AW146" i="23"/>
  <c r="BE146" i="23"/>
  <c r="AB147" i="23"/>
  <c r="AZ147" i="23"/>
  <c r="BH147" i="23"/>
  <c r="AS148" i="23"/>
  <c r="AR148" i="23" s="1"/>
  <c r="AQ148" i="23" s="1"/>
  <c r="BA148" i="23"/>
  <c r="BI148" i="23"/>
  <c r="AS149" i="23"/>
  <c r="AR149" i="23" s="1"/>
  <c r="AQ149" i="23" s="1"/>
  <c r="BA149" i="23"/>
  <c r="BI149" i="23"/>
  <c r="AS150" i="23"/>
  <c r="AR150" i="23" s="1"/>
  <c r="AQ150" i="23" s="1"/>
  <c r="BA150" i="23"/>
  <c r="BI150" i="23"/>
  <c r="AW151" i="23"/>
  <c r="BE151" i="23"/>
  <c r="AB152" i="23"/>
  <c r="AZ152" i="23"/>
  <c r="BH152" i="23"/>
  <c r="AY153" i="23"/>
  <c r="BG153" i="23"/>
  <c r="AP131" i="23"/>
  <c r="BE132" i="23"/>
  <c r="AW145" i="23"/>
  <c r="BE145" i="23"/>
  <c r="AX146" i="23"/>
  <c r="BF146" i="23"/>
  <c r="AS147" i="23"/>
  <c r="AR147" i="23" s="1"/>
  <c r="AQ147" i="23" s="1"/>
  <c r="BA147" i="23"/>
  <c r="AT148" i="23"/>
  <c r="BB148" i="23"/>
  <c r="BJ148" i="23"/>
  <c r="AT149" i="23"/>
  <c r="BB149" i="23"/>
  <c r="BJ149" i="23"/>
  <c r="AT150" i="23"/>
  <c r="BB150" i="23"/>
  <c r="BJ150" i="23"/>
  <c r="AX151" i="23"/>
  <c r="BF151" i="23"/>
  <c r="AS152" i="23"/>
  <c r="AR152" i="23" s="1"/>
  <c r="AQ152" i="23" s="1"/>
  <c r="BA152" i="23"/>
  <c r="AZ153" i="23"/>
  <c r="BH153" i="23"/>
  <c r="AZ146" i="23"/>
  <c r="BH146" i="23"/>
  <c r="AZ132" i="23"/>
  <c r="AY144" i="23"/>
  <c r="AZ145" i="23"/>
  <c r="AS146" i="23"/>
  <c r="AR146" i="23" s="1"/>
  <c r="AQ146" i="23" s="1"/>
  <c r="BA146" i="23"/>
  <c r="AW148" i="23"/>
  <c r="AW149" i="23"/>
  <c r="AW150" i="23"/>
  <c r="AS151" i="23"/>
  <c r="AR151" i="23" s="1"/>
  <c r="AQ151" i="23" s="1"/>
  <c r="BA151" i="23"/>
  <c r="AU153" i="23"/>
  <c r="BC153" i="23"/>
  <c r="AC20" i="22"/>
  <c r="AB20" i="22"/>
  <c r="AP20" i="22"/>
  <c r="BN35" i="22"/>
  <c r="G138" i="22"/>
  <c r="E118" i="22"/>
  <c r="E139" i="22"/>
  <c r="G96" i="22"/>
  <c r="G117" i="22"/>
  <c r="E97" i="22"/>
  <c r="E76" i="22"/>
  <c r="E55" i="22"/>
  <c r="G75" i="22"/>
  <c r="DM5" i="22"/>
  <c r="DM3" i="22"/>
  <c r="DE3" i="22"/>
  <c r="E33" i="22" s="1"/>
  <c r="DI2" i="22"/>
  <c r="DA2" i="22"/>
  <c r="DM6" i="22"/>
  <c r="DG4" i="22"/>
  <c r="E34" i="22"/>
  <c r="DK5" i="22"/>
  <c r="O5" i="22"/>
  <c r="DK3" i="22"/>
  <c r="DC3" i="22"/>
  <c r="DG2" i="22"/>
  <c r="DM7" i="22"/>
  <c r="DK6" i="22"/>
  <c r="DM4" i="22"/>
  <c r="DE4" i="22"/>
  <c r="G54" i="22"/>
  <c r="DI5" i="22"/>
  <c r="DI3" i="22"/>
  <c r="DM2" i="22"/>
  <c r="DE2" i="22"/>
  <c r="G33" i="22"/>
  <c r="E13" i="22"/>
  <c r="G12" i="22"/>
  <c r="AG232" i="16" s="1"/>
  <c r="DK7" i="22"/>
  <c r="DI6" i="22"/>
  <c r="DK4" i="22"/>
  <c r="AV20" i="22"/>
  <c r="AM20" i="22"/>
  <c r="AE20" i="22"/>
  <c r="AL20" i="22"/>
  <c r="AD20" i="22"/>
  <c r="AK20" i="22"/>
  <c r="AJ20" i="22"/>
  <c r="AI20" i="22"/>
  <c r="AH20" i="22"/>
  <c r="DC2" i="22"/>
  <c r="BK21" i="22"/>
  <c r="BC21" i="22"/>
  <c r="AU21" i="22"/>
  <c r="BJ21" i="22"/>
  <c r="BB21" i="22"/>
  <c r="AT21" i="22"/>
  <c r="BI21" i="22"/>
  <c r="BA21" i="22"/>
  <c r="AS21" i="22"/>
  <c r="AR21" i="22" s="1"/>
  <c r="AQ21" i="22" s="1"/>
  <c r="BH21" i="22"/>
  <c r="AZ21" i="22"/>
  <c r="BG21" i="22"/>
  <c r="AY21" i="22"/>
  <c r="BF21" i="22"/>
  <c r="AX21" i="22"/>
  <c r="DI4" i="22"/>
  <c r="CL6" i="22"/>
  <c r="DG3" i="22"/>
  <c r="AF20" i="22"/>
  <c r="BK20" i="22"/>
  <c r="BC20" i="22"/>
  <c r="AU20" i="22"/>
  <c r="BJ20" i="22"/>
  <c r="BB20" i="22"/>
  <c r="AT20" i="22"/>
  <c r="BI20" i="22"/>
  <c r="BA20" i="22"/>
  <c r="AS20" i="22"/>
  <c r="AR20" i="22" s="1"/>
  <c r="AQ20" i="22" s="1"/>
  <c r="BH20" i="22"/>
  <c r="AZ20" i="22"/>
  <c r="BG20" i="22"/>
  <c r="AY20" i="22"/>
  <c r="BF20" i="22"/>
  <c r="AX20" i="22"/>
  <c r="AM21" i="22"/>
  <c r="AE21" i="22"/>
  <c r="AL21" i="22"/>
  <c r="AD21" i="22"/>
  <c r="AK21" i="22"/>
  <c r="AJ21" i="22"/>
  <c r="AI21" i="22"/>
  <c r="AH21" i="22"/>
  <c r="AC27" i="22"/>
  <c r="AB27" i="22"/>
  <c r="AP27" i="22"/>
  <c r="AG20" i="22"/>
  <c r="AC21" i="22"/>
  <c r="AB21" i="22"/>
  <c r="AP21" i="22"/>
  <c r="AE26" i="22"/>
  <c r="AM26" i="22"/>
  <c r="AG22" i="22"/>
  <c r="BE22" i="22"/>
  <c r="BC60" i="22"/>
  <c r="AU60" i="22"/>
  <c r="BB60" i="22"/>
  <c r="AT60" i="22"/>
  <c r="BI60" i="22"/>
  <c r="BA60" i="22"/>
  <c r="AS60" i="22"/>
  <c r="AR60" i="22" s="1"/>
  <c r="BH60" i="22"/>
  <c r="AZ60" i="22"/>
  <c r="BG60" i="22"/>
  <c r="AY60" i="22"/>
  <c r="BF60" i="22"/>
  <c r="AX60" i="22"/>
  <c r="BE60" i="22"/>
  <c r="AW60" i="22"/>
  <c r="AD19" i="22"/>
  <c r="AL19" i="22"/>
  <c r="AT19" i="22"/>
  <c r="BB19" i="22"/>
  <c r="BJ19" i="22"/>
  <c r="AH22" i="22"/>
  <c r="AP22" i="22"/>
  <c r="AX22" i="22"/>
  <c r="BF22" i="22"/>
  <c r="AH23" i="22"/>
  <c r="AP23" i="22"/>
  <c r="AX23" i="22"/>
  <c r="BF23" i="22"/>
  <c r="AH24" i="22"/>
  <c r="AP24" i="22"/>
  <c r="AX24" i="22"/>
  <c r="BF24" i="22"/>
  <c r="AG26" i="22"/>
  <c r="BJ62" i="22"/>
  <c r="BB62" i="22"/>
  <c r="AT62" i="22"/>
  <c r="BH62" i="22"/>
  <c r="AZ62" i="22"/>
  <c r="BF62" i="22"/>
  <c r="AX62" i="22"/>
  <c r="BE62" i="22"/>
  <c r="AW62" i="22"/>
  <c r="BK62" i="22"/>
  <c r="AU62" i="22"/>
  <c r="BI62" i="22"/>
  <c r="AS62" i="22"/>
  <c r="AR62" i="22" s="1"/>
  <c r="AQ62" i="22" s="1"/>
  <c r="BG62" i="22"/>
  <c r="BD62" i="22"/>
  <c r="BC62" i="22"/>
  <c r="BA62" i="22"/>
  <c r="AY62" i="22"/>
  <c r="AW18" i="22"/>
  <c r="BE18" i="22"/>
  <c r="AE19" i="22"/>
  <c r="AM19" i="22"/>
  <c r="AU19" i="22"/>
  <c r="BC19" i="22"/>
  <c r="BK19" i="22"/>
  <c r="AI22" i="22"/>
  <c r="AY22" i="22"/>
  <c r="BG22" i="22"/>
  <c r="AI23" i="22"/>
  <c r="AY23" i="22"/>
  <c r="BG23" i="22"/>
  <c r="AI24" i="22"/>
  <c r="AY24" i="22"/>
  <c r="BG24" i="22"/>
  <c r="AE25" i="22"/>
  <c r="AM25" i="22"/>
  <c r="AU25" i="22"/>
  <c r="BC25" i="22"/>
  <c r="BK25" i="22"/>
  <c r="AH26" i="22"/>
  <c r="AP26" i="22"/>
  <c r="AB39" i="22"/>
  <c r="AB50" i="22" s="1"/>
  <c r="AP39" i="22"/>
  <c r="CG10" i="22"/>
  <c r="CG11" i="22" s="1"/>
  <c r="CG12" i="22" s="1"/>
  <c r="CG13" i="22" s="1"/>
  <c r="CG14" i="22" s="1"/>
  <c r="CG15" i="22" s="1"/>
  <c r="CG16" i="22" s="1"/>
  <c r="CG17" i="22" s="1"/>
  <c r="CG18" i="22" s="1"/>
  <c r="CG19" i="22" s="1"/>
  <c r="CG20" i="22" s="1"/>
  <c r="CG21" i="22" s="1"/>
  <c r="CG22" i="22" s="1"/>
  <c r="CG23" i="22" s="1"/>
  <c r="CG24" i="22" s="1"/>
  <c r="CG25" i="22" s="1"/>
  <c r="CG26" i="22" s="1"/>
  <c r="CG27" i="22" s="1"/>
  <c r="CG28" i="22" s="1"/>
  <c r="CG29" i="22" s="1"/>
  <c r="CG30" i="22" s="1"/>
  <c r="AB22" i="22"/>
  <c r="AJ22" i="22"/>
  <c r="AZ22" i="22"/>
  <c r="BH22" i="22"/>
  <c r="AB23" i="22"/>
  <c r="AJ23" i="22"/>
  <c r="AZ23" i="22"/>
  <c r="BH23" i="22"/>
  <c r="AB24" i="22"/>
  <c r="AJ24" i="22"/>
  <c r="AZ24" i="22"/>
  <c r="BH24" i="22"/>
  <c r="AI26" i="22"/>
  <c r="AC48" i="22"/>
  <c r="AB48" i="22"/>
  <c r="AP48" i="22"/>
  <c r="AY18" i="22"/>
  <c r="AW19" i="22"/>
  <c r="AS22" i="22"/>
  <c r="AR22" i="22" s="1"/>
  <c r="AQ22" i="22" s="1"/>
  <c r="BA22" i="22"/>
  <c r="AS23" i="22"/>
  <c r="AR23" i="22" s="1"/>
  <c r="AQ23" i="22" s="1"/>
  <c r="BA23" i="22"/>
  <c r="AS24" i="22"/>
  <c r="AR24" i="22" s="1"/>
  <c r="AQ24" i="22" s="1"/>
  <c r="BA24" i="22"/>
  <c r="AW25" i="22"/>
  <c r="AI27" i="22"/>
  <c r="AM27" i="22"/>
  <c r="AE27" i="22"/>
  <c r="CG31" i="22"/>
  <c r="CG32" i="22" s="1"/>
  <c r="CG33" i="22" s="1"/>
  <c r="CG34" i="22" s="1"/>
  <c r="CG35" i="22" s="1"/>
  <c r="CG36" i="22" s="1"/>
  <c r="CG37" i="22" s="1"/>
  <c r="CG38" i="22" s="1"/>
  <c r="CG39" i="22" s="1"/>
  <c r="CG40" i="22" s="1"/>
  <c r="CG41" i="22" s="1"/>
  <c r="CG42" i="22" s="1"/>
  <c r="CG43" i="22" s="1"/>
  <c r="CG44" i="22" s="1"/>
  <c r="CG45" i="22" s="1"/>
  <c r="CG46" i="22" s="1"/>
  <c r="CG47" i="22" s="1"/>
  <c r="CG48" i="22" s="1"/>
  <c r="CG49" i="22" s="1"/>
  <c r="CG50" i="22" s="1"/>
  <c r="CG51" i="22" s="1"/>
  <c r="BM52" i="22"/>
  <c r="AU27" i="22"/>
  <c r="BC27" i="22"/>
  <c r="BK27" i="22"/>
  <c r="AT39" i="22"/>
  <c r="BB39" i="22"/>
  <c r="AE40" i="22"/>
  <c r="AM40" i="22"/>
  <c r="AU40" i="22"/>
  <c r="BC40" i="22"/>
  <c r="BK40" i="22"/>
  <c r="BG42" i="22"/>
  <c r="AU39" i="22"/>
  <c r="BC39" i="22"/>
  <c r="AB42" i="22"/>
  <c r="AP41" i="22"/>
  <c r="AP46" i="22"/>
  <c r="AY27" i="22"/>
  <c r="AX39" i="22"/>
  <c r="BF39" i="22"/>
  <c r="AI40" i="22"/>
  <c r="AY40" i="22"/>
  <c r="BG40" i="22"/>
  <c r="AB41" i="22"/>
  <c r="AJ41" i="22"/>
  <c r="AZ41" i="22"/>
  <c r="BH41" i="22"/>
  <c r="AE42" i="22"/>
  <c r="AU42" i="22"/>
  <c r="BC42" i="22"/>
  <c r="AB46" i="22"/>
  <c r="AJ46" i="22"/>
  <c r="AZ46" i="22"/>
  <c r="BH46" i="22"/>
  <c r="AE47" i="22"/>
  <c r="AU47" i="22"/>
  <c r="BC47" i="22"/>
  <c r="AD48" i="22"/>
  <c r="AL48" i="22"/>
  <c r="AT48" i="22"/>
  <c r="BB48" i="22"/>
  <c r="BJ48" i="22"/>
  <c r="AY39" i="22"/>
  <c r="BG39" i="22"/>
  <c r="AZ40" i="22"/>
  <c r="BA41" i="22"/>
  <c r="AS46" i="22"/>
  <c r="AR46" i="22" s="1"/>
  <c r="AQ46" i="22" s="1"/>
  <c r="BA46" i="22"/>
  <c r="AE48" i="22"/>
  <c r="BC48" i="22"/>
  <c r="AC69" i="22"/>
  <c r="AB69" i="22"/>
  <c r="AP69" i="22"/>
  <c r="BJ85" i="22"/>
  <c r="BB85" i="22"/>
  <c r="AT85" i="22"/>
  <c r="BI85" i="22"/>
  <c r="BA85" i="22"/>
  <c r="AS85" i="22"/>
  <c r="AR85" i="22" s="1"/>
  <c r="AQ85" i="22" s="1"/>
  <c r="BH85" i="22"/>
  <c r="AZ85" i="22"/>
  <c r="BK85" i="22"/>
  <c r="BC85" i="22"/>
  <c r="AU85" i="22"/>
  <c r="BG85" i="22"/>
  <c r="BF85" i="22"/>
  <c r="BE85" i="22"/>
  <c r="BD85" i="22"/>
  <c r="AY85" i="22"/>
  <c r="AX85" i="22"/>
  <c r="AW85" i="22"/>
  <c r="Z83" i="22"/>
  <c r="AA83" i="22"/>
  <c r="AC84" i="22"/>
  <c r="AB84" i="22"/>
  <c r="AW87" i="22"/>
  <c r="AB63" i="22"/>
  <c r="AZ63" i="22"/>
  <c r="BH63" i="22"/>
  <c r="AC64" i="22"/>
  <c r="AS64" i="22"/>
  <c r="AR64" i="22" s="1"/>
  <c r="AQ64" i="22" s="1"/>
  <c r="BA64" i="22"/>
  <c r="BI64" i="22"/>
  <c r="AC65" i="22"/>
  <c r="AS65" i="22"/>
  <c r="AR65" i="22" s="1"/>
  <c r="AQ65" i="22" s="1"/>
  <c r="BA65" i="22"/>
  <c r="BI65" i="22"/>
  <c r="AC66" i="22"/>
  <c r="BA66" i="22"/>
  <c r="BI66" i="22"/>
  <c r="AW67" i="22"/>
  <c r="BE67" i="22"/>
  <c r="AZ68" i="22"/>
  <c r="BH68" i="22"/>
  <c r="AP81" i="22"/>
  <c r="AP84" i="22"/>
  <c r="BF84" i="22"/>
  <c r="BJ86" i="22"/>
  <c r="BB86" i="22"/>
  <c r="AT86" i="22"/>
  <c r="BI86" i="22"/>
  <c r="BA86" i="22"/>
  <c r="AS86" i="22"/>
  <c r="AR86" i="22" s="1"/>
  <c r="AQ86" i="22" s="1"/>
  <c r="BH86" i="22"/>
  <c r="AZ86" i="22"/>
  <c r="BK86" i="22"/>
  <c r="BC86" i="22"/>
  <c r="AU86" i="22"/>
  <c r="AY87" i="22"/>
  <c r="AW61" i="22"/>
  <c r="BE61" i="22"/>
  <c r="AS63" i="22"/>
  <c r="AR63" i="22" s="1"/>
  <c r="AQ63" i="22" s="1"/>
  <c r="BA63" i="22"/>
  <c r="BI63" i="22"/>
  <c r="AT64" i="22"/>
  <c r="BB64" i="22"/>
  <c r="BJ64" i="22"/>
  <c r="AT65" i="22"/>
  <c r="BB65" i="22"/>
  <c r="BJ65" i="22"/>
  <c r="AT66" i="22"/>
  <c r="BB66" i="22"/>
  <c r="BJ66" i="22"/>
  <c r="AX67" i="22"/>
  <c r="BF67" i="22"/>
  <c r="AS68" i="22"/>
  <c r="AR68" i="22" s="1"/>
  <c r="AQ68" i="22" s="1"/>
  <c r="BA68" i="22"/>
  <c r="BI68" i="22"/>
  <c r="AT83" i="22"/>
  <c r="AU84" i="22"/>
  <c r="AW86" i="22"/>
  <c r="BD87" i="22"/>
  <c r="BB63" i="22"/>
  <c r="BJ63" i="22"/>
  <c r="AY67" i="22"/>
  <c r="BG67" i="22"/>
  <c r="BB68" i="22"/>
  <c r="BJ68" i="22"/>
  <c r="AB81" i="22"/>
  <c r="AB92" i="22" s="1"/>
  <c r="BI84" i="22"/>
  <c r="BA84" i="22"/>
  <c r="AS84" i="22"/>
  <c r="AR84" i="22" s="1"/>
  <c r="AQ84" i="22" s="1"/>
  <c r="BH84" i="22"/>
  <c r="AZ84" i="22"/>
  <c r="BG84" i="22"/>
  <c r="AY84" i="22"/>
  <c r="BJ84" i="22"/>
  <c r="BB84" i="22"/>
  <c r="AT84" i="22"/>
  <c r="BE87" i="22"/>
  <c r="BI89" i="22"/>
  <c r="BA89" i="22"/>
  <c r="AS89" i="22"/>
  <c r="AR89" i="22" s="1"/>
  <c r="AQ89" i="22" s="1"/>
  <c r="BH89" i="22"/>
  <c r="AZ89" i="22"/>
  <c r="BG89" i="22"/>
  <c r="AY89" i="22"/>
  <c r="BF89" i="22"/>
  <c r="AX89" i="22"/>
  <c r="BE89" i="22"/>
  <c r="AW89" i="22"/>
  <c r="BK89" i="22"/>
  <c r="BC89" i="22"/>
  <c r="AU89" i="22"/>
  <c r="BJ89" i="22"/>
  <c r="BB89" i="22"/>
  <c r="AT89" i="22"/>
  <c r="AU63" i="22"/>
  <c r="BC63" i="22"/>
  <c r="BK63" i="22"/>
  <c r="AZ67" i="22"/>
  <c r="BH67" i="22"/>
  <c r="AU68" i="22"/>
  <c r="BC68" i="22"/>
  <c r="BK68" i="22"/>
  <c r="AC81" i="22"/>
  <c r="AC92" i="22" s="1"/>
  <c r="AC85" i="22"/>
  <c r="AB85" i="22"/>
  <c r="AS67" i="22"/>
  <c r="AR67" i="22" s="1"/>
  <c r="AQ67" i="22" s="1"/>
  <c r="BA67" i="22"/>
  <c r="BI67" i="22"/>
  <c r="AC87" i="22"/>
  <c r="AB87" i="22"/>
  <c r="AP87" i="22"/>
  <c r="BJ87" i="22"/>
  <c r="BB87" i="22"/>
  <c r="AT87" i="22"/>
  <c r="BI87" i="22"/>
  <c r="BA87" i="22"/>
  <c r="AS87" i="22"/>
  <c r="AR87" i="22" s="1"/>
  <c r="AQ87" i="22" s="1"/>
  <c r="BH87" i="22"/>
  <c r="AZ87" i="22"/>
  <c r="BF87" i="22"/>
  <c r="AX87" i="22"/>
  <c r="BK87" i="22"/>
  <c r="BC87" i="22"/>
  <c r="AU87" i="22"/>
  <c r="BA61" i="22"/>
  <c r="AW63" i="22"/>
  <c r="AX64" i="22"/>
  <c r="AX65" i="22"/>
  <c r="AX66" i="22"/>
  <c r="AT67" i="22"/>
  <c r="BB67" i="22"/>
  <c r="AW68" i="22"/>
  <c r="BF83" i="22"/>
  <c r="AX83" i="22"/>
  <c r="BE83" i="22"/>
  <c r="AW83" i="22"/>
  <c r="BG83" i="22"/>
  <c r="AY83" i="22"/>
  <c r="BC84" i="22"/>
  <c r="AC86" i="22"/>
  <c r="AB86" i="22"/>
  <c r="BE86" i="22"/>
  <c r="AX82" i="22"/>
  <c r="BF82" i="22"/>
  <c r="AY88" i="22"/>
  <c r="BG88" i="22"/>
  <c r="AC90" i="22"/>
  <c r="AS90" i="22"/>
  <c r="AR90" i="22" s="1"/>
  <c r="AQ90" i="22" s="1"/>
  <c r="BA90" i="22"/>
  <c r="BI90" i="22"/>
  <c r="AB102" i="22"/>
  <c r="AB113" i="22" s="1"/>
  <c r="AZ102" i="22"/>
  <c r="BH102" i="22"/>
  <c r="AC103" i="22"/>
  <c r="AV103" i="22"/>
  <c r="AU106" i="22"/>
  <c r="AB111" i="22"/>
  <c r="AP111" i="22"/>
  <c r="AC104" i="22"/>
  <c r="AP104" i="22"/>
  <c r="BE106" i="22"/>
  <c r="AW106" i="22"/>
  <c r="BJ106" i="22"/>
  <c r="BB106" i="22"/>
  <c r="AT106" i="22"/>
  <c r="BI106" i="22"/>
  <c r="BA106" i="22"/>
  <c r="AS106" i="22"/>
  <c r="AR106" i="22" s="1"/>
  <c r="AQ106" i="22" s="1"/>
  <c r="BH106" i="22"/>
  <c r="AZ106" i="22"/>
  <c r="BC123" i="22"/>
  <c r="AU123" i="22"/>
  <c r="BB123" i="22"/>
  <c r="AT123" i="22"/>
  <c r="BI123" i="22"/>
  <c r="BA123" i="22"/>
  <c r="AS123" i="22"/>
  <c r="AR123" i="22" s="1"/>
  <c r="BH123" i="22"/>
  <c r="AZ123" i="22"/>
  <c r="BG123" i="22"/>
  <c r="AY123" i="22"/>
  <c r="BF123" i="22"/>
  <c r="AX123" i="22"/>
  <c r="BE123" i="22"/>
  <c r="AW123" i="22"/>
  <c r="AU102" i="22"/>
  <c r="BC102" i="22"/>
  <c r="BH103" i="22"/>
  <c r="AZ103" i="22"/>
  <c r="BE103" i="22"/>
  <c r="BK103" i="22"/>
  <c r="BC103" i="22"/>
  <c r="AU103" i="22"/>
  <c r="AY106" i="22"/>
  <c r="AC124" i="22"/>
  <c r="AB124" i="22"/>
  <c r="AP124" i="22"/>
  <c r="AC128" i="22"/>
  <c r="AB128" i="22"/>
  <c r="AP128" i="22"/>
  <c r="AP90" i="22"/>
  <c r="AX90" i="22"/>
  <c r="BF90" i="22"/>
  <c r="AW102" i="22"/>
  <c r="BE102" i="22"/>
  <c r="BB103" i="22"/>
  <c r="AB104" i="22"/>
  <c r="BD106" i="22"/>
  <c r="AO113" i="22"/>
  <c r="AW88" i="22"/>
  <c r="BE88" i="22"/>
  <c r="AB89" i="22"/>
  <c r="AY90" i="22"/>
  <c r="BG90" i="22"/>
  <c r="AX102" i="22"/>
  <c r="BF102" i="22"/>
  <c r="AS103" i="22"/>
  <c r="AR103" i="22" s="1"/>
  <c r="AQ103" i="22" s="1"/>
  <c r="BD103" i="22"/>
  <c r="BF106" i="22"/>
  <c r="AW82" i="22"/>
  <c r="AX88" i="22"/>
  <c r="AZ90" i="22"/>
  <c r="AY102" i="22"/>
  <c r="AT103" i="22"/>
  <c r="BF103" i="22"/>
  <c r="BG106" i="22"/>
  <c r="AY105" i="22"/>
  <c r="AZ107" i="22"/>
  <c r="BH107" i="22"/>
  <c r="AZ108" i="22"/>
  <c r="BH108" i="22"/>
  <c r="AX111" i="22"/>
  <c r="BF111" i="22"/>
  <c r="AX124" i="22"/>
  <c r="BF124" i="22"/>
  <c r="AT126" i="22"/>
  <c r="BB126" i="22"/>
  <c r="BJ126" i="22"/>
  <c r="AV127" i="22"/>
  <c r="BE127" i="22"/>
  <c r="BF129" i="22"/>
  <c r="AS107" i="22"/>
  <c r="AR107" i="22" s="1"/>
  <c r="AQ107" i="22" s="1"/>
  <c r="BA107" i="22"/>
  <c r="BI107" i="22"/>
  <c r="AS108" i="22"/>
  <c r="AR108" i="22" s="1"/>
  <c r="AQ108" i="22" s="1"/>
  <c r="BA108" i="22"/>
  <c r="BI108" i="22"/>
  <c r="AW109" i="22"/>
  <c r="BE109" i="22"/>
  <c r="AB110" i="22"/>
  <c r="AY111" i="22"/>
  <c r="BG111" i="22"/>
  <c r="AP123" i="22"/>
  <c r="AY124" i="22"/>
  <c r="BG124" i="22"/>
  <c r="AB125" i="22"/>
  <c r="AU126" i="22"/>
  <c r="BC126" i="22"/>
  <c r="BK126" i="22"/>
  <c r="AW127" i="22"/>
  <c r="BF127" i="22"/>
  <c r="AU129" i="22"/>
  <c r="BG129" i="22"/>
  <c r="BK153" i="22"/>
  <c r="BC153" i="22"/>
  <c r="AU153" i="22"/>
  <c r="BJ153" i="22"/>
  <c r="BB153" i="22"/>
  <c r="AT153" i="22"/>
  <c r="BI153" i="22"/>
  <c r="BA153" i="22"/>
  <c r="AS153" i="22"/>
  <c r="AR153" i="22" s="1"/>
  <c r="AQ153" i="22" s="1"/>
  <c r="BH153" i="22"/>
  <c r="AZ153" i="22"/>
  <c r="BG153" i="22"/>
  <c r="AY153" i="22"/>
  <c r="BF153" i="22"/>
  <c r="AX153" i="22"/>
  <c r="AT107" i="22"/>
  <c r="BB107" i="22"/>
  <c r="BJ107" i="22"/>
  <c r="AT108" i="22"/>
  <c r="BB108" i="22"/>
  <c r="BJ108" i="22"/>
  <c r="AZ111" i="22"/>
  <c r="BH111" i="22"/>
  <c r="AZ124" i="22"/>
  <c r="BH124" i="22"/>
  <c r="AX127" i="22"/>
  <c r="BG127" i="22"/>
  <c r="AV129" i="22"/>
  <c r="BJ129" i="22"/>
  <c r="BB129" i="22"/>
  <c r="AT129" i="22"/>
  <c r="BI129" i="22"/>
  <c r="BA129" i="22"/>
  <c r="AS129" i="22"/>
  <c r="AR129" i="22" s="1"/>
  <c r="AQ129" i="22" s="1"/>
  <c r="BH129" i="22"/>
  <c r="AZ129" i="22"/>
  <c r="BE129" i="22"/>
  <c r="AA145" i="22"/>
  <c r="Z145" i="22"/>
  <c r="AC147" i="22"/>
  <c r="AB147" i="22"/>
  <c r="AT111" i="22"/>
  <c r="BB111" i="22"/>
  <c r="BJ111" i="22"/>
  <c r="AT124" i="22"/>
  <c r="BB124" i="22"/>
  <c r="BJ124" i="22"/>
  <c r="AP126" i="22"/>
  <c r="AZ127" i="22"/>
  <c r="BI127" i="22"/>
  <c r="AX129" i="22"/>
  <c r="AC131" i="22"/>
  <c r="AB131" i="22"/>
  <c r="AP147" i="22"/>
  <c r="AC152" i="22"/>
  <c r="AB152" i="22"/>
  <c r="AC153" i="22"/>
  <c r="AB153" i="22"/>
  <c r="AP153" i="22"/>
  <c r="AW107" i="22"/>
  <c r="AW108" i="22"/>
  <c r="AU111" i="22"/>
  <c r="BC111" i="22"/>
  <c r="AU124" i="22"/>
  <c r="BC124" i="22"/>
  <c r="AY126" i="22"/>
  <c r="BA127" i="22"/>
  <c r="BJ128" i="22"/>
  <c r="BB128" i="22"/>
  <c r="AT128" i="22"/>
  <c r="BI128" i="22"/>
  <c r="BA128" i="22"/>
  <c r="AS128" i="22"/>
  <c r="AR128" i="22" s="1"/>
  <c r="AQ128" i="22" s="1"/>
  <c r="BH128" i="22"/>
  <c r="AZ128" i="22"/>
  <c r="AY129" i="22"/>
  <c r="AP131" i="22"/>
  <c r="AV153" i="22"/>
  <c r="BJ127" i="22"/>
  <c r="BB127" i="22"/>
  <c r="AT127" i="22"/>
  <c r="AC129" i="22"/>
  <c r="AB129" i="22"/>
  <c r="BC129" i="22"/>
  <c r="AU132" i="22"/>
  <c r="BC132" i="22"/>
  <c r="BK132" i="22"/>
  <c r="AT144" i="22"/>
  <c r="BB144" i="22"/>
  <c r="AU145" i="22"/>
  <c r="BC145" i="22"/>
  <c r="BK145" i="22"/>
  <c r="AU144" i="22"/>
  <c r="BC144" i="22"/>
  <c r="BE146" i="22"/>
  <c r="BE151" i="22"/>
  <c r="AW145" i="22"/>
  <c r="BE145" i="22"/>
  <c r="AP146" i="22"/>
  <c r="AX146" i="22"/>
  <c r="BF146" i="22"/>
  <c r="AS147" i="22"/>
  <c r="AR147" i="22" s="1"/>
  <c r="AQ147" i="22" s="1"/>
  <c r="BA147" i="22"/>
  <c r="BI147" i="22"/>
  <c r="AP151" i="22"/>
  <c r="AX151" i="22"/>
  <c r="BF151" i="22"/>
  <c r="AS152" i="22"/>
  <c r="AR152" i="22" s="1"/>
  <c r="AQ152" i="22" s="1"/>
  <c r="BA152" i="22"/>
  <c r="BI152" i="22"/>
  <c r="AY131" i="22"/>
  <c r="BG131" i="22"/>
  <c r="AP132" i="22"/>
  <c r="AX132" i="22"/>
  <c r="BF132" i="22"/>
  <c r="AW144" i="22"/>
  <c r="BE144" i="22"/>
  <c r="AX145" i="22"/>
  <c r="BF145" i="22"/>
  <c r="AY146" i="22"/>
  <c r="BG146" i="22"/>
  <c r="AY151" i="22"/>
  <c r="BG151" i="22"/>
  <c r="AW130" i="22"/>
  <c r="BE130" i="22"/>
  <c r="AZ131" i="22"/>
  <c r="BH131" i="22"/>
  <c r="AY132" i="22"/>
  <c r="BG132" i="22"/>
  <c r="AX144" i="22"/>
  <c r="BF144" i="22"/>
  <c r="AY145" i="22"/>
  <c r="BG145" i="22"/>
  <c r="AB146" i="22"/>
  <c r="AZ146" i="22"/>
  <c r="BH146" i="22"/>
  <c r="AU147" i="22"/>
  <c r="BC147" i="22"/>
  <c r="AB151" i="22"/>
  <c r="AZ151" i="22"/>
  <c r="BH151" i="22"/>
  <c r="AU152" i="22"/>
  <c r="BC152" i="22"/>
  <c r="AX130" i="22"/>
  <c r="AS131" i="22"/>
  <c r="AR131" i="22" s="1"/>
  <c r="AQ131" i="22" s="1"/>
  <c r="BA131" i="22"/>
  <c r="AZ132" i="22"/>
  <c r="AY144" i="22"/>
  <c r="AZ145" i="22"/>
  <c r="AS146" i="22"/>
  <c r="AR146" i="22" s="1"/>
  <c r="AQ146" i="22" s="1"/>
  <c r="BA146" i="22"/>
  <c r="AS151" i="22"/>
  <c r="AR151" i="22" s="1"/>
  <c r="AQ151" i="22" s="1"/>
  <c r="BA151" i="22"/>
  <c r="CL7" i="21"/>
  <c r="DE2" i="21"/>
  <c r="DI3" i="21"/>
  <c r="DE4" i="21"/>
  <c r="E54" i="21" s="1"/>
  <c r="DM7" i="21"/>
  <c r="AB18" i="21"/>
  <c r="AB29" i="21" s="1"/>
  <c r="AW18" i="21"/>
  <c r="BH18" i="21"/>
  <c r="AY18" i="21"/>
  <c r="BI18" i="21"/>
  <c r="AP19" i="21"/>
  <c r="AF20" i="21"/>
  <c r="BA20" i="21"/>
  <c r="AJ21" i="21"/>
  <c r="AW21" i="21"/>
  <c r="AC24" i="21"/>
  <c r="AB24" i="21"/>
  <c r="BN12" i="21"/>
  <c r="A12" i="21" s="1"/>
  <c r="AP18" i="21"/>
  <c r="AO29" i="21"/>
  <c r="AG20" i="21"/>
  <c r="BD20" i="21"/>
  <c r="BK21" i="21"/>
  <c r="BC21" i="21"/>
  <c r="AU21" i="21"/>
  <c r="BJ21" i="21"/>
  <c r="BB21" i="21"/>
  <c r="AT21" i="21"/>
  <c r="BF21" i="21"/>
  <c r="AX21" i="21"/>
  <c r="BF18" i="21"/>
  <c r="AX18" i="21"/>
  <c r="BB18" i="21"/>
  <c r="AT18" i="21"/>
  <c r="AI20" i="21"/>
  <c r="AS20" i="21"/>
  <c r="AR20" i="21" s="1"/>
  <c r="AQ20" i="21" s="1"/>
  <c r="BE20" i="21"/>
  <c r="AM21" i="21"/>
  <c r="AE21" i="21"/>
  <c r="AL21" i="21"/>
  <c r="AD21" i="21"/>
  <c r="AH21" i="21"/>
  <c r="DA2" i="21"/>
  <c r="DM3" i="21"/>
  <c r="DI5" i="21"/>
  <c r="BC18" i="21"/>
  <c r="BM73" i="21"/>
  <c r="CG52" i="21"/>
  <c r="CG53" i="21" s="1"/>
  <c r="CG54" i="21" s="1"/>
  <c r="CG55" i="21" s="1"/>
  <c r="CG56" i="21" s="1"/>
  <c r="CG57" i="21" s="1"/>
  <c r="CG58" i="21" s="1"/>
  <c r="CG59" i="21" s="1"/>
  <c r="CG60" i="21" s="1"/>
  <c r="CG61" i="21" s="1"/>
  <c r="CG62" i="21" s="1"/>
  <c r="CG63" i="21" s="1"/>
  <c r="CG64" i="21" s="1"/>
  <c r="CG65" i="21" s="1"/>
  <c r="CG66" i="21" s="1"/>
  <c r="CG67" i="21" s="1"/>
  <c r="CG68" i="21" s="1"/>
  <c r="CG69" i="21" s="1"/>
  <c r="CG70" i="21" s="1"/>
  <c r="CG71" i="21" s="1"/>
  <c r="CG72" i="21" s="1"/>
  <c r="DI2" i="21"/>
  <c r="DE3" i="21"/>
  <c r="E33" i="21" s="1"/>
  <c r="AJ20" i="21"/>
  <c r="AU20" i="21"/>
  <c r="BG20" i="21"/>
  <c r="AB21" i="21"/>
  <c r="BA21" i="21"/>
  <c r="G138" i="21"/>
  <c r="E139" i="21"/>
  <c r="E118" i="21"/>
  <c r="E97" i="21"/>
  <c r="G117" i="21"/>
  <c r="G96" i="21"/>
  <c r="G54" i="21"/>
  <c r="DM6" i="21"/>
  <c r="DG4" i="21"/>
  <c r="E76" i="21"/>
  <c r="G33" i="21"/>
  <c r="E55" i="21"/>
  <c r="G75" i="21"/>
  <c r="E34" i="21"/>
  <c r="E13" i="21"/>
  <c r="G12" i="21"/>
  <c r="DK7" i="21"/>
  <c r="DI6" i="21"/>
  <c r="DK4" i="21"/>
  <c r="AS18" i="21"/>
  <c r="AR18" i="21" s="1"/>
  <c r="BD18" i="21"/>
  <c r="AC19" i="21"/>
  <c r="AK20" i="21"/>
  <c r="AV20" i="21"/>
  <c r="BH20" i="21"/>
  <c r="AC21" i="21"/>
  <c r="BD21" i="21"/>
  <c r="AC22" i="21"/>
  <c r="AB22" i="21"/>
  <c r="AU18" i="21"/>
  <c r="BE18" i="21"/>
  <c r="AW20" i="21"/>
  <c r="AF21" i="21"/>
  <c r="BE21" i="21"/>
  <c r="AL20" i="21"/>
  <c r="AD20" i="21"/>
  <c r="AH20" i="21"/>
  <c r="BK20" i="21"/>
  <c r="BC20" i="21"/>
  <c r="BJ20" i="21"/>
  <c r="BB20" i="21"/>
  <c r="AT20" i="21"/>
  <c r="BF20" i="21"/>
  <c r="AX20" i="21"/>
  <c r="AC23" i="21"/>
  <c r="AB23" i="21"/>
  <c r="BN34" i="21"/>
  <c r="A34" i="21" s="1"/>
  <c r="DM2" i="21"/>
  <c r="AE20" i="21"/>
  <c r="AZ20" i="21"/>
  <c r="AI21" i="21"/>
  <c r="AV21" i="21"/>
  <c r="BH21" i="21"/>
  <c r="AP23" i="21"/>
  <c r="AZ25" i="21"/>
  <c r="AE26" i="21"/>
  <c r="AM26" i="21"/>
  <c r="AU26" i="21"/>
  <c r="BC26" i="21"/>
  <c r="BK26" i="21"/>
  <c r="AD27" i="21"/>
  <c r="AL27" i="21"/>
  <c r="AT27" i="21"/>
  <c r="BB27" i="21"/>
  <c r="BJ27" i="21"/>
  <c r="AS39" i="21"/>
  <c r="AR39" i="21" s="1"/>
  <c r="BA39" i="21"/>
  <c r="BI39" i="21"/>
  <c r="AD40" i="21"/>
  <c r="AL40" i="21"/>
  <c r="AT40" i="21"/>
  <c r="BB40" i="21"/>
  <c r="BJ40" i="21"/>
  <c r="AE41" i="21"/>
  <c r="AM41" i="21"/>
  <c r="AU41" i="21"/>
  <c r="BC41" i="21"/>
  <c r="BK41" i="21"/>
  <c r="AH42" i="21"/>
  <c r="AP42" i="21"/>
  <c r="AX42" i="21"/>
  <c r="BF42" i="21"/>
  <c r="BK43" i="21"/>
  <c r="BC43" i="21"/>
  <c r="AU43" i="21"/>
  <c r="AG44" i="21"/>
  <c r="AP44" i="21"/>
  <c r="AY44" i="21"/>
  <c r="AC45" i="21"/>
  <c r="AV45" i="21"/>
  <c r="BE45" i="21"/>
  <c r="AW46" i="21"/>
  <c r="AU47" i="21"/>
  <c r="BE47" i="21"/>
  <c r="AL48" i="21"/>
  <c r="AU48" i="21"/>
  <c r="BF48" i="21"/>
  <c r="AY61" i="21"/>
  <c r="AV66" i="21"/>
  <c r="BG69" i="21"/>
  <c r="AY69" i="21"/>
  <c r="BF69" i="21"/>
  <c r="AX69" i="21"/>
  <c r="BK69" i="21"/>
  <c r="BC69" i="21"/>
  <c r="AU69" i="21"/>
  <c r="BI69" i="21"/>
  <c r="AV69" i="21"/>
  <c r="BB69" i="21"/>
  <c r="AO71" i="21"/>
  <c r="E75" i="21"/>
  <c r="BI82" i="21"/>
  <c r="AC83" i="21"/>
  <c r="AE27" i="21"/>
  <c r="AM27" i="21"/>
  <c r="AU27" i="21"/>
  <c r="BC27" i="21"/>
  <c r="BK27" i="21"/>
  <c r="AI42" i="21"/>
  <c r="AY42" i="21"/>
  <c r="BG42" i="21"/>
  <c r="AH44" i="21"/>
  <c r="AM45" i="21"/>
  <c r="AE45" i="21"/>
  <c r="AW45" i="21"/>
  <c r="BF45" i="21"/>
  <c r="BH66" i="21"/>
  <c r="AZ66" i="21"/>
  <c r="BE66" i="21"/>
  <c r="AW66" i="21"/>
  <c r="BK66" i="21"/>
  <c r="BA66" i="21"/>
  <c r="BF66" i="21"/>
  <c r="AU66" i="21"/>
  <c r="AR71" i="21"/>
  <c r="AG41" i="21"/>
  <c r="AW41" i="21"/>
  <c r="BE41" i="21"/>
  <c r="AB42" i="21"/>
  <c r="AJ42" i="21"/>
  <c r="AZ42" i="21"/>
  <c r="BH42" i="21"/>
  <c r="AI44" i="21"/>
  <c r="AF45" i="21"/>
  <c r="AX45" i="21"/>
  <c r="BG45" i="21"/>
  <c r="AP46" i="21"/>
  <c r="AK48" i="21"/>
  <c r="AG48" i="21"/>
  <c r="BI61" i="21"/>
  <c r="BA61" i="21"/>
  <c r="AS61" i="21"/>
  <c r="AR61" i="21" s="1"/>
  <c r="AQ61" i="21" s="1"/>
  <c r="BE61" i="21"/>
  <c r="AW61" i="21"/>
  <c r="AB62" i="21"/>
  <c r="AY66" i="21"/>
  <c r="BG82" i="21"/>
  <c r="AY82" i="21"/>
  <c r="BF82" i="21"/>
  <c r="AX82" i="21"/>
  <c r="BK82" i="21"/>
  <c r="BC82" i="21"/>
  <c r="AU82" i="21"/>
  <c r="BA82" i="21"/>
  <c r="BH82" i="21"/>
  <c r="AT82" i="21"/>
  <c r="AC90" i="21"/>
  <c r="AP90" i="21"/>
  <c r="AP26" i="21"/>
  <c r="AG27" i="21"/>
  <c r="AW27" i="21"/>
  <c r="BE27" i="21"/>
  <c r="AG40" i="21"/>
  <c r="AW40" i="21"/>
  <c r="BE40" i="21"/>
  <c r="AH41" i="21"/>
  <c r="AP41" i="21"/>
  <c r="AX41" i="21"/>
  <c r="BF41" i="21"/>
  <c r="AK42" i="21"/>
  <c r="AS42" i="21"/>
  <c r="AR42" i="21" s="1"/>
  <c r="AQ42" i="21" s="1"/>
  <c r="BA42" i="21"/>
  <c r="BI42" i="21"/>
  <c r="AM43" i="21"/>
  <c r="AE43" i="21"/>
  <c r="AJ44" i="21"/>
  <c r="BK44" i="21"/>
  <c r="BC44" i="21"/>
  <c r="AU44" i="21"/>
  <c r="AG45" i="21"/>
  <c r="AY45" i="21"/>
  <c r="BH45" i="21"/>
  <c r="BG46" i="21"/>
  <c r="AY46" i="21"/>
  <c r="BK46" i="21"/>
  <c r="BC46" i="21"/>
  <c r="AL47" i="21"/>
  <c r="AD47" i="21"/>
  <c r="AH47" i="21"/>
  <c r="AE48" i="21"/>
  <c r="BC61" i="21"/>
  <c r="BB66" i="21"/>
  <c r="AW82" i="21"/>
  <c r="AP84" i="21"/>
  <c r="AV90" i="21"/>
  <c r="CG10" i="21"/>
  <c r="CG11" i="21" s="1"/>
  <c r="CG12" i="21" s="1"/>
  <c r="CG13" i="21" s="1"/>
  <c r="CG14" i="21" s="1"/>
  <c r="CG15" i="21" s="1"/>
  <c r="CG16" i="21" s="1"/>
  <c r="CG17" i="21" s="1"/>
  <c r="CG18" i="21" s="1"/>
  <c r="CG19" i="21" s="1"/>
  <c r="CG20" i="21" s="1"/>
  <c r="CG21" i="21" s="1"/>
  <c r="CG22" i="21" s="1"/>
  <c r="CG23" i="21" s="1"/>
  <c r="CG24" i="21" s="1"/>
  <c r="CG25" i="21" s="1"/>
  <c r="CG26" i="21" s="1"/>
  <c r="CG27" i="21" s="1"/>
  <c r="CG28" i="21" s="1"/>
  <c r="CG29" i="21" s="1"/>
  <c r="CG30" i="21" s="1"/>
  <c r="AI26" i="21"/>
  <c r="AY26" i="21"/>
  <c r="BG26" i="21"/>
  <c r="AH27" i="21"/>
  <c r="AX27" i="21"/>
  <c r="BF27" i="21"/>
  <c r="AW39" i="21"/>
  <c r="BE39" i="21"/>
  <c r="AH40" i="21"/>
  <c r="AX40" i="21"/>
  <c r="BF40" i="21"/>
  <c r="AI41" i="21"/>
  <c r="AY41" i="21"/>
  <c r="BG41" i="21"/>
  <c r="AD42" i="21"/>
  <c r="AL42" i="21"/>
  <c r="AT42" i="21"/>
  <c r="BB42" i="21"/>
  <c r="BJ42" i="21"/>
  <c r="AF43" i="21"/>
  <c r="AX43" i="21"/>
  <c r="BG43" i="21"/>
  <c r="AB44" i="21"/>
  <c r="AK44" i="21"/>
  <c r="AT44" i="21"/>
  <c r="BD44" i="21"/>
  <c r="AH45" i="21"/>
  <c r="AZ45" i="21"/>
  <c r="BI45" i="21"/>
  <c r="AJ46" i="21"/>
  <c r="AS46" i="21"/>
  <c r="AR46" i="21" s="1"/>
  <c r="AQ46" i="21" s="1"/>
  <c r="BB46" i="21"/>
  <c r="AE47" i="21"/>
  <c r="AZ47" i="21"/>
  <c r="AF48" i="21"/>
  <c r="AZ48" i="21"/>
  <c r="AP60" i="21"/>
  <c r="AT61" i="21"/>
  <c r="BD61" i="21"/>
  <c r="BH64" i="21"/>
  <c r="AZ64" i="21"/>
  <c r="BE64" i="21"/>
  <c r="AW64" i="21"/>
  <c r="BC64" i="21"/>
  <c r="AS64" i="21"/>
  <c r="AR64" i="21" s="1"/>
  <c r="AQ64" i="21" s="1"/>
  <c r="BI64" i="21"/>
  <c r="AX64" i="21"/>
  <c r="BC66" i="21"/>
  <c r="AP68" i="21"/>
  <c r="AC68" i="21"/>
  <c r="AZ82" i="21"/>
  <c r="AZ26" i="21"/>
  <c r="AY27" i="21"/>
  <c r="AX39" i="21"/>
  <c r="AI40" i="21"/>
  <c r="AY40" i="21"/>
  <c r="BG40" i="21"/>
  <c r="AJ41" i="21"/>
  <c r="AZ41" i="21"/>
  <c r="BH41" i="21"/>
  <c r="AE42" i="21"/>
  <c r="AM42" i="21"/>
  <c r="AU42" i="21"/>
  <c r="BC42" i="21"/>
  <c r="BK42" i="21"/>
  <c r="AG43" i="21"/>
  <c r="AV44" i="21"/>
  <c r="BE44" i="21"/>
  <c r="AI45" i="21"/>
  <c r="BA45" i="21"/>
  <c r="AT46" i="21"/>
  <c r="BD46" i="21"/>
  <c r="AF47" i="21"/>
  <c r="BJ47" i="21"/>
  <c r="BB47" i="21"/>
  <c r="AT47" i="21"/>
  <c r="BF47" i="21"/>
  <c r="AX47" i="21"/>
  <c r="AH48" i="21"/>
  <c r="BI48" i="21"/>
  <c r="BA48" i="21"/>
  <c r="AS48" i="21"/>
  <c r="AR48" i="21" s="1"/>
  <c r="AQ48" i="21" s="1"/>
  <c r="BE48" i="21"/>
  <c r="AW48" i="21"/>
  <c r="AP63" i="21"/>
  <c r="AC63" i="21"/>
  <c r="BK90" i="21"/>
  <c r="BC90" i="21"/>
  <c r="BJ90" i="21"/>
  <c r="BB90" i="21"/>
  <c r="AT90" i="21"/>
  <c r="BI90" i="21"/>
  <c r="BA90" i="21"/>
  <c r="AS90" i="21"/>
  <c r="AR90" i="21" s="1"/>
  <c r="AQ90" i="21" s="1"/>
  <c r="BF90" i="21"/>
  <c r="AX90" i="21"/>
  <c r="BG90" i="21"/>
  <c r="BE90" i="21"/>
  <c r="AZ90" i="21"/>
  <c r="AY90" i="21"/>
  <c r="AW90" i="21"/>
  <c r="BH90" i="21"/>
  <c r="AU90" i="21"/>
  <c r="AM44" i="21"/>
  <c r="AE44" i="21"/>
  <c r="BK45" i="21"/>
  <c r="BC45" i="21"/>
  <c r="AU45" i="21"/>
  <c r="AD41" i="21"/>
  <c r="AT41" i="21"/>
  <c r="BB41" i="21"/>
  <c r="AW42" i="21"/>
  <c r="AF44" i="21"/>
  <c r="AK45" i="21"/>
  <c r="AT45" i="21"/>
  <c r="BD45" i="21"/>
  <c r="AJ48" i="21"/>
  <c r="AX61" i="21"/>
  <c r="BH61" i="21"/>
  <c r="AP62" i="21"/>
  <c r="AT66" i="21"/>
  <c r="BI66" i="21"/>
  <c r="AP82" i="21"/>
  <c r="AB82" i="21"/>
  <c r="BE82" i="21"/>
  <c r="BH65" i="21"/>
  <c r="AZ65" i="21"/>
  <c r="BE65" i="21"/>
  <c r="AW65" i="21"/>
  <c r="BF81" i="21"/>
  <c r="AX81" i="21"/>
  <c r="BE81" i="21"/>
  <c r="AW81" i="21"/>
  <c r="BB81" i="21"/>
  <c r="AT81" i="21"/>
  <c r="BK84" i="21"/>
  <c r="BC84" i="21"/>
  <c r="AU84" i="21"/>
  <c r="BJ84" i="21"/>
  <c r="BB84" i="21"/>
  <c r="AT84" i="21"/>
  <c r="BG84" i="21"/>
  <c r="AY84" i="21"/>
  <c r="AC88" i="21"/>
  <c r="AS89" i="21"/>
  <c r="AR89" i="21" s="1"/>
  <c r="AQ89" i="21" s="1"/>
  <c r="BF89" i="21"/>
  <c r="AV103" i="21"/>
  <c r="BF123" i="21"/>
  <c r="AX123" i="21"/>
  <c r="BE123" i="21"/>
  <c r="AW123" i="21"/>
  <c r="BB123" i="21"/>
  <c r="AT123" i="21"/>
  <c r="AY123" i="21"/>
  <c r="BI123" i="21"/>
  <c r="BH123" i="21"/>
  <c r="AU123" i="21"/>
  <c r="BG123" i="21"/>
  <c r="AS123" i="21"/>
  <c r="AR123" i="21" s="1"/>
  <c r="BD123" i="21"/>
  <c r="BC123" i="21"/>
  <c r="BA123" i="21"/>
  <c r="AW89" i="21"/>
  <c r="AY102" i="21"/>
  <c r="AZ103" i="21"/>
  <c r="BJ147" i="21"/>
  <c r="BB147" i="21"/>
  <c r="AT147" i="21"/>
  <c r="BI147" i="21"/>
  <c r="BA147" i="21"/>
  <c r="AS147" i="21"/>
  <c r="AR147" i="21" s="1"/>
  <c r="AQ147" i="21" s="1"/>
  <c r="BF147" i="21"/>
  <c r="AX147" i="21"/>
  <c r="BD147" i="21"/>
  <c r="BC147" i="21"/>
  <c r="BK147" i="21"/>
  <c r="AW147" i="21"/>
  <c r="BH147" i="21"/>
  <c r="BG147" i="21"/>
  <c r="BE147" i="21"/>
  <c r="AZ147" i="21"/>
  <c r="AY147" i="21"/>
  <c r="AV147" i="21"/>
  <c r="AU147" i="21"/>
  <c r="BK89" i="21"/>
  <c r="BC89" i="21"/>
  <c r="AU89" i="21"/>
  <c r="BJ89" i="21"/>
  <c r="BB89" i="21"/>
  <c r="AT89" i="21"/>
  <c r="BG89" i="21"/>
  <c r="AY89" i="21"/>
  <c r="BC102" i="21"/>
  <c r="BD103" i="21"/>
  <c r="AZ60" i="21"/>
  <c r="AV65" i="21"/>
  <c r="BG65" i="21"/>
  <c r="AB67" i="21"/>
  <c r="AS81" i="21"/>
  <c r="AR81" i="21" s="1"/>
  <c r="BG81" i="21"/>
  <c r="BE84" i="21"/>
  <c r="AP88" i="21"/>
  <c r="AZ89" i="21"/>
  <c r="AC103" i="21"/>
  <c r="AP103" i="21"/>
  <c r="BK103" i="21"/>
  <c r="BC103" i="21"/>
  <c r="AU103" i="21"/>
  <c r="BJ103" i="21"/>
  <c r="BB103" i="21"/>
  <c r="AT103" i="21"/>
  <c r="BI103" i="21"/>
  <c r="BA103" i="21"/>
  <c r="AS103" i="21"/>
  <c r="AR103" i="21" s="1"/>
  <c r="AQ103" i="21" s="1"/>
  <c r="BG103" i="21"/>
  <c r="AY103" i="21"/>
  <c r="BF103" i="21"/>
  <c r="AX103" i="21"/>
  <c r="BB102" i="21"/>
  <c r="AT102" i="21"/>
  <c r="BI102" i="21"/>
  <c r="BA102" i="21"/>
  <c r="AS102" i="21"/>
  <c r="AR102" i="21" s="1"/>
  <c r="BH102" i="21"/>
  <c r="AZ102" i="21"/>
  <c r="BF102" i="21"/>
  <c r="BE102" i="21"/>
  <c r="AW102" i="21"/>
  <c r="AZ85" i="21"/>
  <c r="BH85" i="21"/>
  <c r="AZ86" i="21"/>
  <c r="BH86" i="21"/>
  <c r="AZ87" i="21"/>
  <c r="BH87" i="21"/>
  <c r="BB104" i="21"/>
  <c r="AV106" i="21"/>
  <c r="BG106" i="21"/>
  <c r="AY107" i="21"/>
  <c r="BJ107" i="21"/>
  <c r="AT108" i="21"/>
  <c r="BF108" i="21"/>
  <c r="BB111" i="21"/>
  <c r="AY124" i="21"/>
  <c r="AB128" i="21"/>
  <c r="BB129" i="21"/>
  <c r="BG132" i="21"/>
  <c r="BI104" i="21"/>
  <c r="BA104" i="21"/>
  <c r="AS104" i="21"/>
  <c r="AR104" i="21" s="1"/>
  <c r="AQ104" i="21" s="1"/>
  <c r="AZ107" i="21"/>
  <c r="BK125" i="21"/>
  <c r="BC125" i="21"/>
  <c r="AU125" i="21"/>
  <c r="BJ125" i="21"/>
  <c r="BB125" i="21"/>
  <c r="AT125" i="21"/>
  <c r="BG125" i="21"/>
  <c r="AY125" i="21"/>
  <c r="BD125" i="21"/>
  <c r="BA125" i="21"/>
  <c r="BI125" i="21"/>
  <c r="AW125" i="21"/>
  <c r="BF126" i="21"/>
  <c r="AX126" i="21"/>
  <c r="BE126" i="21"/>
  <c r="AW126" i="21"/>
  <c r="BJ126" i="21"/>
  <c r="BB126" i="21"/>
  <c r="AT126" i="21"/>
  <c r="BI126" i="21"/>
  <c r="AV126" i="21"/>
  <c r="BH126" i="21"/>
  <c r="AU126" i="21"/>
  <c r="BC126" i="21"/>
  <c r="BI107" i="21"/>
  <c r="BA107" i="21"/>
  <c r="AS107" i="21"/>
  <c r="AR107" i="21" s="1"/>
  <c r="AQ107" i="21" s="1"/>
  <c r="BE107" i="21"/>
  <c r="AW107" i="21"/>
  <c r="AS125" i="21"/>
  <c r="AR125" i="21" s="1"/>
  <c r="AQ125" i="21" s="1"/>
  <c r="AS126" i="21"/>
  <c r="AR126" i="21" s="1"/>
  <c r="AQ126" i="21" s="1"/>
  <c r="BF132" i="21"/>
  <c r="AX132" i="21"/>
  <c r="BE132" i="21"/>
  <c r="AW132" i="21"/>
  <c r="BJ132" i="21"/>
  <c r="BB132" i="21"/>
  <c r="AT132" i="21"/>
  <c r="BC132" i="21"/>
  <c r="BA132" i="21"/>
  <c r="BI132" i="21"/>
  <c r="AV132" i="21"/>
  <c r="AZ132" i="21"/>
  <c r="AY132" i="21"/>
  <c r="BK132" i="21"/>
  <c r="AY63" i="21"/>
  <c r="AY68" i="21"/>
  <c r="AU85" i="21"/>
  <c r="BC85" i="21"/>
  <c r="AU86" i="21"/>
  <c r="BC86" i="21"/>
  <c r="AU87" i="21"/>
  <c r="BC87" i="21"/>
  <c r="AV104" i="21"/>
  <c r="BE104" i="21"/>
  <c r="AZ106" i="21"/>
  <c r="BC107" i="21"/>
  <c r="AX108" i="21"/>
  <c r="AP110" i="21"/>
  <c r="AT111" i="21"/>
  <c r="BH111" i="21"/>
  <c r="AB124" i="21"/>
  <c r="BG124" i="21"/>
  <c r="AV125" i="21"/>
  <c r="AY126" i="21"/>
  <c r="BG127" i="21"/>
  <c r="AY127" i="21"/>
  <c r="BF127" i="21"/>
  <c r="AX127" i="21"/>
  <c r="BK127" i="21"/>
  <c r="BC127" i="21"/>
  <c r="AU127" i="21"/>
  <c r="BD127" i="21"/>
  <c r="BB127" i="21"/>
  <c r="BJ127" i="21"/>
  <c r="AW127" i="21"/>
  <c r="AP129" i="21"/>
  <c r="AB129" i="21"/>
  <c r="AW104" i="21"/>
  <c r="BF104" i="21"/>
  <c r="BI106" i="21"/>
  <c r="BA106" i="21"/>
  <c r="AS106" i="21"/>
  <c r="AR106" i="21" s="1"/>
  <c r="AQ106" i="21" s="1"/>
  <c r="BE106" i="21"/>
  <c r="AW106" i="21"/>
  <c r="AT107" i="21"/>
  <c r="BD107" i="21"/>
  <c r="BI108" i="21"/>
  <c r="BA108" i="21"/>
  <c r="AS108" i="21"/>
  <c r="AR108" i="21" s="1"/>
  <c r="AQ108" i="21" s="1"/>
  <c r="BH108" i="21"/>
  <c r="AZ108" i="21"/>
  <c r="BE108" i="21"/>
  <c r="AW108" i="21"/>
  <c r="AV111" i="21"/>
  <c r="BI111" i="21"/>
  <c r="AX125" i="21"/>
  <c r="AZ126" i="21"/>
  <c r="BG129" i="21"/>
  <c r="AY129" i="21"/>
  <c r="BF129" i="21"/>
  <c r="AX129" i="21"/>
  <c r="BK129" i="21"/>
  <c r="BC129" i="21"/>
  <c r="AU129" i="21"/>
  <c r="BH129" i="21"/>
  <c r="AT129" i="21"/>
  <c r="BE129" i="21"/>
  <c r="AS129" i="21"/>
  <c r="AR129" i="21" s="1"/>
  <c r="AQ129" i="21" s="1"/>
  <c r="BA129" i="21"/>
  <c r="AX104" i="21"/>
  <c r="BG104" i="21"/>
  <c r="AU107" i="21"/>
  <c r="BF107" i="21"/>
  <c r="AW111" i="21"/>
  <c r="BJ124" i="21"/>
  <c r="BB124" i="21"/>
  <c r="BI124" i="21"/>
  <c r="BA124" i="21"/>
  <c r="AS124" i="21"/>
  <c r="AR124" i="21" s="1"/>
  <c r="AQ124" i="21" s="1"/>
  <c r="BF124" i="21"/>
  <c r="AX124" i="21"/>
  <c r="BD124" i="21"/>
  <c r="BC124" i="21"/>
  <c r="BK124" i="21"/>
  <c r="AW124" i="21"/>
  <c r="AZ125" i="21"/>
  <c r="BA126" i="21"/>
  <c r="AP131" i="21"/>
  <c r="AC131" i="21"/>
  <c r="AS132" i="21"/>
  <c r="AR132" i="21" s="1"/>
  <c r="AQ132" i="21" s="1"/>
  <c r="AV107" i="21"/>
  <c r="BG107" i="21"/>
  <c r="AC110" i="21"/>
  <c r="BG111" i="21"/>
  <c r="AY111" i="21"/>
  <c r="BF111" i="21"/>
  <c r="AX111" i="21"/>
  <c r="BK111" i="21"/>
  <c r="BC111" i="21"/>
  <c r="AU111" i="21"/>
  <c r="BE125" i="21"/>
  <c r="BD126" i="21"/>
  <c r="AU132" i="21"/>
  <c r="AS109" i="21"/>
  <c r="AR109" i="21" s="1"/>
  <c r="AQ109" i="21" s="1"/>
  <c r="BA109" i="21"/>
  <c r="BI109" i="21"/>
  <c r="BG128" i="21"/>
  <c r="AY128" i="21"/>
  <c r="BF128" i="21"/>
  <c r="AX128" i="21"/>
  <c r="BK128" i="21"/>
  <c r="BC128" i="21"/>
  <c r="AU128" i="21"/>
  <c r="BF145" i="21"/>
  <c r="AX145" i="21"/>
  <c r="BE145" i="21"/>
  <c r="AW145" i="21"/>
  <c r="BJ145" i="21"/>
  <c r="BB145" i="21"/>
  <c r="AT145" i="21"/>
  <c r="BH145" i="21"/>
  <c r="AU145" i="21"/>
  <c r="BG145" i="21"/>
  <c r="AS145" i="21"/>
  <c r="AR145" i="21" s="1"/>
  <c r="AQ145" i="21" s="1"/>
  <c r="BA145" i="21"/>
  <c r="AB148" i="21"/>
  <c r="AB151" i="21"/>
  <c r="AP150" i="21"/>
  <c r="AP130" i="21"/>
  <c r="AB130" i="21"/>
  <c r="AW109" i="21"/>
  <c r="AP123" i="21"/>
  <c r="AC125" i="21"/>
  <c r="AB150" i="21"/>
  <c r="AC152" i="21"/>
  <c r="AP152" i="21"/>
  <c r="BG131" i="21"/>
  <c r="AY131" i="21"/>
  <c r="BF131" i="21"/>
  <c r="AX131" i="21"/>
  <c r="BK131" i="21"/>
  <c r="BC131" i="21"/>
  <c r="AU131" i="21"/>
  <c r="BG146" i="21"/>
  <c r="AY146" i="21"/>
  <c r="BF146" i="21"/>
  <c r="AX146" i="21"/>
  <c r="BK146" i="21"/>
  <c r="BC146" i="21"/>
  <c r="AU146" i="21"/>
  <c r="BE148" i="21"/>
  <c r="BE149" i="21"/>
  <c r="BE150" i="21"/>
  <c r="BG151" i="21"/>
  <c r="AY151" i="21"/>
  <c r="BF151" i="21"/>
  <c r="AX151" i="21"/>
  <c r="BK151" i="21"/>
  <c r="BC151" i="21"/>
  <c r="AU151" i="21"/>
  <c r="BI153" i="21"/>
  <c r="BA153" i="21"/>
  <c r="AS153" i="21"/>
  <c r="AR153" i="21" s="1"/>
  <c r="AQ153" i="21" s="1"/>
  <c r="BH153" i="21"/>
  <c r="AZ153" i="21"/>
  <c r="BE153" i="21"/>
  <c r="AW153" i="21"/>
  <c r="BD131" i="21"/>
  <c r="BD146" i="21"/>
  <c r="AC147" i="21"/>
  <c r="AP147" i="21"/>
  <c r="AW148" i="21"/>
  <c r="AW149" i="21"/>
  <c r="AW150" i="21"/>
  <c r="BD151" i="21"/>
  <c r="AW152" i="21"/>
  <c r="BD153" i="21"/>
  <c r="BK148" i="21"/>
  <c r="BC148" i="21"/>
  <c r="AU148" i="21"/>
  <c r="BJ148" i="21"/>
  <c r="BB148" i="21"/>
  <c r="AT148" i="21"/>
  <c r="BG148" i="21"/>
  <c r="AY148" i="21"/>
  <c r="BK149" i="21"/>
  <c r="BC149" i="21"/>
  <c r="AU149" i="21"/>
  <c r="BJ149" i="21"/>
  <c r="BB149" i="21"/>
  <c r="AT149" i="21"/>
  <c r="BG149" i="21"/>
  <c r="AY149" i="21"/>
  <c r="BK150" i="21"/>
  <c r="BC150" i="21"/>
  <c r="AU150" i="21"/>
  <c r="BJ150" i="21"/>
  <c r="BB150" i="21"/>
  <c r="AT150" i="21"/>
  <c r="BG150" i="21"/>
  <c r="AY150" i="21"/>
  <c r="BE151" i="21"/>
  <c r="BJ152" i="21"/>
  <c r="BB152" i="21"/>
  <c r="AT152" i="21"/>
  <c r="BI152" i="21"/>
  <c r="BA152" i="21"/>
  <c r="AS152" i="21"/>
  <c r="AR152" i="21" s="1"/>
  <c r="AQ152" i="21" s="1"/>
  <c r="BF152" i="21"/>
  <c r="AX152" i="21"/>
  <c r="AT153" i="21"/>
  <c r="BF153" i="21"/>
  <c r="AZ130" i="21"/>
  <c r="BH130" i="21"/>
  <c r="BA144" i="21"/>
  <c r="BI144" i="21"/>
  <c r="AU130" i="21"/>
  <c r="BC130" i="21"/>
  <c r="CL8" i="20"/>
  <c r="BI20" i="20"/>
  <c r="BA20" i="20"/>
  <c r="AS20" i="20"/>
  <c r="AR20" i="20" s="1"/>
  <c r="AQ20" i="20" s="1"/>
  <c r="BH20" i="20"/>
  <c r="BG20" i="20"/>
  <c r="AY20" i="20"/>
  <c r="BF20" i="20"/>
  <c r="AX20" i="20"/>
  <c r="BE20" i="20"/>
  <c r="AW20" i="20"/>
  <c r="BK20" i="20"/>
  <c r="BC20" i="20"/>
  <c r="AU20" i="20"/>
  <c r="AZ20" i="20"/>
  <c r="BJ20" i="20"/>
  <c r="BB20" i="20"/>
  <c r="AT20" i="20"/>
  <c r="DK2" i="20"/>
  <c r="BI21" i="20"/>
  <c r="BA21" i="20"/>
  <c r="AS21" i="20"/>
  <c r="AR21" i="20" s="1"/>
  <c r="AQ21" i="20" s="1"/>
  <c r="BH21" i="20"/>
  <c r="AZ21" i="20"/>
  <c r="BG21" i="20"/>
  <c r="AY21" i="20"/>
  <c r="BF21" i="20"/>
  <c r="AX21" i="20"/>
  <c r="BE21" i="20"/>
  <c r="AW21" i="20"/>
  <c r="BK21" i="20"/>
  <c r="BC21" i="20"/>
  <c r="AU21" i="20"/>
  <c r="BJ21" i="20"/>
  <c r="BB21" i="20"/>
  <c r="AT21" i="20"/>
  <c r="AJ21" i="20"/>
  <c r="AI21" i="20"/>
  <c r="AH21" i="20"/>
  <c r="AG21" i="20"/>
  <c r="AM21" i="20"/>
  <c r="AE21" i="20"/>
  <c r="AK21" i="20"/>
  <c r="AL21" i="20"/>
  <c r="AD21" i="20"/>
  <c r="G138" i="20"/>
  <c r="E139" i="20"/>
  <c r="G117" i="20"/>
  <c r="E118" i="20"/>
  <c r="E97" i="20"/>
  <c r="G75" i="20"/>
  <c r="E76" i="20"/>
  <c r="G96" i="20"/>
  <c r="G33" i="20"/>
  <c r="E34" i="20"/>
  <c r="E55" i="20"/>
  <c r="DG2" i="20"/>
  <c r="DK6" i="20"/>
  <c r="DM4" i="20"/>
  <c r="DM7" i="20"/>
  <c r="DI5" i="20"/>
  <c r="DI3" i="20"/>
  <c r="DM2" i="20"/>
  <c r="DE2" i="20"/>
  <c r="E13" i="20"/>
  <c r="G12" i="20"/>
  <c r="AG248" i="16" s="1"/>
  <c r="DK7" i="20"/>
  <c r="DI6" i="20"/>
  <c r="DK4" i="20"/>
  <c r="DM5" i="20"/>
  <c r="DM3" i="20"/>
  <c r="DE3" i="20"/>
  <c r="E33" i="20" s="1"/>
  <c r="DI2" i="20"/>
  <c r="DA2" i="20"/>
  <c r="G54" i="20"/>
  <c r="DM6" i="20"/>
  <c r="DG4" i="20"/>
  <c r="DK5" i="20"/>
  <c r="O5" i="20"/>
  <c r="DK3" i="20"/>
  <c r="DC3" i="20"/>
  <c r="DE4" i="20"/>
  <c r="AP26" i="20"/>
  <c r="AB26" i="20"/>
  <c r="AC26" i="20"/>
  <c r="AB45" i="20"/>
  <c r="AP45" i="20"/>
  <c r="AC45" i="20"/>
  <c r="DM8" i="20"/>
  <c r="DC2" i="20"/>
  <c r="AK20" i="20"/>
  <c r="AJ20" i="20"/>
  <c r="AI20" i="20"/>
  <c r="AH20" i="20"/>
  <c r="AG20" i="20"/>
  <c r="AM20" i="20"/>
  <c r="AE20" i="20"/>
  <c r="AL20" i="20"/>
  <c r="AD20" i="20"/>
  <c r="AF21" i="20"/>
  <c r="BN42" i="20"/>
  <c r="BD18" i="20"/>
  <c r="CG10" i="20"/>
  <c r="CG11" i="20" s="1"/>
  <c r="CG12" i="20" s="1"/>
  <c r="CG13" i="20" s="1"/>
  <c r="CG14" i="20" s="1"/>
  <c r="CG15" i="20" s="1"/>
  <c r="CG16" i="20" s="1"/>
  <c r="CG17" i="20" s="1"/>
  <c r="CG18" i="20" s="1"/>
  <c r="CG19" i="20" s="1"/>
  <c r="CG20" i="20" s="1"/>
  <c r="CG21" i="20" s="1"/>
  <c r="CG22" i="20" s="1"/>
  <c r="CG23" i="20" s="1"/>
  <c r="CG24" i="20" s="1"/>
  <c r="CG25" i="20" s="1"/>
  <c r="CG26" i="20" s="1"/>
  <c r="CG27" i="20" s="1"/>
  <c r="CG28" i="20" s="1"/>
  <c r="CG29" i="20" s="1"/>
  <c r="CG30" i="20" s="1"/>
  <c r="AP18" i="20"/>
  <c r="AX18" i="20"/>
  <c r="BF18" i="20"/>
  <c r="AJ22" i="20"/>
  <c r="AZ22" i="20"/>
  <c r="BH22" i="20"/>
  <c r="AJ23" i="20"/>
  <c r="AZ23" i="20"/>
  <c r="BH23" i="20"/>
  <c r="AE25" i="20"/>
  <c r="AC25" i="20"/>
  <c r="AB25" i="20"/>
  <c r="BK25" i="20"/>
  <c r="BI25" i="20"/>
  <c r="BA25" i="20"/>
  <c r="AS25" i="20"/>
  <c r="AR25" i="20" s="1"/>
  <c r="AQ25" i="20" s="1"/>
  <c r="BH25" i="20"/>
  <c r="AZ25" i="20"/>
  <c r="AF27" i="20"/>
  <c r="AS27" i="20"/>
  <c r="AR27" i="20" s="1"/>
  <c r="AQ27" i="20" s="1"/>
  <c r="BE40" i="20"/>
  <c r="AW40" i="20"/>
  <c r="BK40" i="20"/>
  <c r="BC40" i="20"/>
  <c r="AU40" i="20"/>
  <c r="BJ40" i="20"/>
  <c r="BB40" i="20"/>
  <c r="AT40" i="20"/>
  <c r="BG40" i="20"/>
  <c r="AY40" i="20"/>
  <c r="BF40" i="20"/>
  <c r="AX40" i="20"/>
  <c r="AK42" i="20"/>
  <c r="AI42" i="20"/>
  <c r="AH42" i="20"/>
  <c r="AM42" i="20"/>
  <c r="AE42" i="20"/>
  <c r="AL42" i="20"/>
  <c r="AD42" i="20"/>
  <c r="AB47" i="20"/>
  <c r="BJ47" i="20"/>
  <c r="BB47" i="20"/>
  <c r="AT47" i="20"/>
  <c r="BI47" i="20"/>
  <c r="BA47" i="20"/>
  <c r="AS47" i="20"/>
  <c r="AR47" i="20" s="1"/>
  <c r="AQ47" i="20" s="1"/>
  <c r="BF47" i="20"/>
  <c r="AV47" i="20"/>
  <c r="BD47" i="20"/>
  <c r="BC47" i="20"/>
  <c r="BH47" i="20"/>
  <c r="AX47" i="20"/>
  <c r="BG47" i="20"/>
  <c r="AW47" i="20"/>
  <c r="AO71" i="20"/>
  <c r="AB60" i="20"/>
  <c r="AB71" i="20" s="1"/>
  <c r="AP60" i="20"/>
  <c r="BE18" i="20"/>
  <c r="AY18" i="20"/>
  <c r="BG18" i="20"/>
  <c r="AK22" i="20"/>
  <c r="AS22" i="20"/>
  <c r="AR22" i="20" s="1"/>
  <c r="AQ22" i="20" s="1"/>
  <c r="BA22" i="20"/>
  <c r="BI22" i="20"/>
  <c r="AK23" i="20"/>
  <c r="AS23" i="20"/>
  <c r="AR23" i="20" s="1"/>
  <c r="AQ23" i="20" s="1"/>
  <c r="BA23" i="20"/>
  <c r="BI23" i="20"/>
  <c r="AF25" i="20"/>
  <c r="AV27" i="20"/>
  <c r="AC42" i="20"/>
  <c r="AP42" i="20"/>
  <c r="BI42" i="20"/>
  <c r="BA42" i="20"/>
  <c r="AS42" i="20"/>
  <c r="AR42" i="20" s="1"/>
  <c r="AQ42" i="20" s="1"/>
  <c r="BG42" i="20"/>
  <c r="AY42" i="20"/>
  <c r="BF42" i="20"/>
  <c r="AX42" i="20"/>
  <c r="BK42" i="20"/>
  <c r="BC42" i="20"/>
  <c r="AU42" i="20"/>
  <c r="BJ42" i="20"/>
  <c r="BB42" i="20"/>
  <c r="AT42" i="20"/>
  <c r="AT18" i="20"/>
  <c r="AP20" i="20"/>
  <c r="AG27" i="20"/>
  <c r="AM27" i="20"/>
  <c r="AE27" i="20"/>
  <c r="AL27" i="20"/>
  <c r="AD27" i="20"/>
  <c r="AH27" i="20"/>
  <c r="AP43" i="20"/>
  <c r="BB18" i="20"/>
  <c r="AP21" i="20"/>
  <c r="AU18" i="20"/>
  <c r="BC18" i="20"/>
  <c r="AS19" i="20"/>
  <c r="AR19" i="20" s="1"/>
  <c r="AQ19" i="20" s="1"/>
  <c r="BA19" i="20"/>
  <c r="AG22" i="20"/>
  <c r="AW22" i="20"/>
  <c r="BE22" i="20"/>
  <c r="AG23" i="20"/>
  <c r="AW23" i="20"/>
  <c r="BE23" i="20"/>
  <c r="AV25" i="20"/>
  <c r="BF25" i="20"/>
  <c r="AG40" i="20"/>
  <c r="AM40" i="20"/>
  <c r="AE40" i="20"/>
  <c r="AL40" i="20"/>
  <c r="AD40" i="20"/>
  <c r="AI40" i="20"/>
  <c r="AH40" i="20"/>
  <c r="BD40" i="20"/>
  <c r="AP41" i="20"/>
  <c r="AB41" i="20"/>
  <c r="AF42" i="20"/>
  <c r="AZ42" i="20"/>
  <c r="AZ47" i="20"/>
  <c r="AB20" i="20"/>
  <c r="AB21" i="20"/>
  <c r="AY22" i="20"/>
  <c r="AY23" i="20"/>
  <c r="AK25" i="20"/>
  <c r="AJ25" i="20"/>
  <c r="BE27" i="20"/>
  <c r="AW27" i="20"/>
  <c r="BK27" i="20"/>
  <c r="BC27" i="20"/>
  <c r="AU27" i="20"/>
  <c r="BJ27" i="20"/>
  <c r="BB27" i="20"/>
  <c r="AT27" i="20"/>
  <c r="BG27" i="20"/>
  <c r="AY27" i="20"/>
  <c r="BF27" i="20"/>
  <c r="AX27" i="20"/>
  <c r="AP46" i="20"/>
  <c r="AB46" i="20"/>
  <c r="AC48" i="20"/>
  <c r="AB48" i="20"/>
  <c r="BK48" i="20"/>
  <c r="BI48" i="20"/>
  <c r="BA48" i="20"/>
  <c r="AS48" i="20"/>
  <c r="AR48" i="20" s="1"/>
  <c r="AQ48" i="20" s="1"/>
  <c r="BH48" i="20"/>
  <c r="AZ48" i="20"/>
  <c r="AC64" i="20"/>
  <c r="AB64" i="20"/>
  <c r="AP64" i="20"/>
  <c r="AC152" i="20"/>
  <c r="AB152" i="20"/>
  <c r="AP152" i="20"/>
  <c r="CG31" i="20"/>
  <c r="CG32" i="20" s="1"/>
  <c r="CG33" i="20" s="1"/>
  <c r="CG34" i="20" s="1"/>
  <c r="CG35" i="20" s="1"/>
  <c r="CG36" i="20" s="1"/>
  <c r="CG37" i="20" s="1"/>
  <c r="CG38" i="20" s="1"/>
  <c r="CG39" i="20" s="1"/>
  <c r="CG40" i="20" s="1"/>
  <c r="CG41" i="20" s="1"/>
  <c r="CG42" i="20" s="1"/>
  <c r="CG43" i="20" s="1"/>
  <c r="CG44" i="20" s="1"/>
  <c r="CG45" i="20" s="1"/>
  <c r="CG46" i="20" s="1"/>
  <c r="CG47" i="20" s="1"/>
  <c r="CG48" i="20" s="1"/>
  <c r="CG49" i="20" s="1"/>
  <c r="CG50" i="20" s="1"/>
  <c r="CG51" i="20" s="1"/>
  <c r="AP39" i="20"/>
  <c r="AJ46" i="20"/>
  <c r="AZ46" i="20"/>
  <c r="BH46" i="20"/>
  <c r="AP48" i="20"/>
  <c r="BB48" i="20"/>
  <c r="BM52" i="20"/>
  <c r="BB60" i="20"/>
  <c r="AT60" i="20"/>
  <c r="BH60" i="20"/>
  <c r="AZ60" i="20"/>
  <c r="BG60" i="20"/>
  <c r="AY60" i="20"/>
  <c r="AC61" i="20"/>
  <c r="AB61" i="20"/>
  <c r="AP61" i="20"/>
  <c r="BK126" i="20"/>
  <c r="BC126" i="20"/>
  <c r="AU126" i="20"/>
  <c r="BJ126" i="20"/>
  <c r="BB126" i="20"/>
  <c r="AT126" i="20"/>
  <c r="BI126" i="20"/>
  <c r="BA126" i="20"/>
  <c r="AS126" i="20"/>
  <c r="AR126" i="20" s="1"/>
  <c r="AQ126" i="20" s="1"/>
  <c r="BH126" i="20"/>
  <c r="AZ126" i="20"/>
  <c r="BG126" i="20"/>
  <c r="AY126" i="20"/>
  <c r="BE126" i="20"/>
  <c r="BD126" i="20"/>
  <c r="AX126" i="20"/>
  <c r="AW126" i="20"/>
  <c r="AV126" i="20"/>
  <c r="BF126" i="20"/>
  <c r="AE26" i="20"/>
  <c r="BC26" i="20"/>
  <c r="BA39" i="20"/>
  <c r="AE41" i="20"/>
  <c r="AM41" i="20"/>
  <c r="AU41" i="20"/>
  <c r="BC41" i="20"/>
  <c r="BK41" i="20"/>
  <c r="AI43" i="20"/>
  <c r="AY43" i="20"/>
  <c r="BG43" i="20"/>
  <c r="AI44" i="20"/>
  <c r="AY44" i="20"/>
  <c r="BG44" i="20"/>
  <c r="AI45" i="20"/>
  <c r="AY45" i="20"/>
  <c r="BG45" i="20"/>
  <c r="AE46" i="20"/>
  <c r="AM46" i="20"/>
  <c r="AU46" i="20"/>
  <c r="BC46" i="20"/>
  <c r="BK46" i="20"/>
  <c r="AH47" i="20"/>
  <c r="AU48" i="20"/>
  <c r="BE48" i="20"/>
  <c r="BK61" i="20"/>
  <c r="BC61" i="20"/>
  <c r="AU61" i="20"/>
  <c r="BJ61" i="20"/>
  <c r="BB61" i="20"/>
  <c r="BI61" i="20"/>
  <c r="BA61" i="20"/>
  <c r="AS61" i="20"/>
  <c r="AR61" i="20" s="1"/>
  <c r="AQ61" i="20" s="1"/>
  <c r="BH61" i="20"/>
  <c r="AZ61" i="20"/>
  <c r="BF61" i="20"/>
  <c r="AX61" i="20"/>
  <c r="BD66" i="20"/>
  <c r="AW24" i="20"/>
  <c r="AJ43" i="20"/>
  <c r="AZ43" i="20"/>
  <c r="BH43" i="20"/>
  <c r="AJ44" i="20"/>
  <c r="AV48" i="20"/>
  <c r="BF48" i="20"/>
  <c r="BJ66" i="20"/>
  <c r="BB66" i="20"/>
  <c r="AT66" i="20"/>
  <c r="BI66" i="20"/>
  <c r="BA66" i="20"/>
  <c r="AS66" i="20"/>
  <c r="AR66" i="20" s="1"/>
  <c r="AQ66" i="20" s="1"/>
  <c r="BH66" i="20"/>
  <c r="AX66" i="20"/>
  <c r="BG66" i="20"/>
  <c r="AW66" i="20"/>
  <c r="BF66" i="20"/>
  <c r="AV66" i="20"/>
  <c r="BE66" i="20"/>
  <c r="AU66" i="20"/>
  <c r="BC66" i="20"/>
  <c r="AX41" i="20"/>
  <c r="AD43" i="20"/>
  <c r="AT43" i="20"/>
  <c r="BB43" i="20"/>
  <c r="AD44" i="20"/>
  <c r="AT44" i="20"/>
  <c r="BB44" i="20"/>
  <c r="AD45" i="20"/>
  <c r="AT45" i="20"/>
  <c r="BB45" i="20"/>
  <c r="AX46" i="20"/>
  <c r="AL47" i="20"/>
  <c r="AK48" i="20"/>
  <c r="AJ48" i="20"/>
  <c r="AX48" i="20"/>
  <c r="BJ48" i="20"/>
  <c r="BI60" i="20"/>
  <c r="AW61" i="20"/>
  <c r="AC65" i="20"/>
  <c r="AP65" i="20"/>
  <c r="AC66" i="20"/>
  <c r="AB66" i="20"/>
  <c r="BH69" i="20"/>
  <c r="AZ69" i="20"/>
  <c r="BG69" i="20"/>
  <c r="AY69" i="20"/>
  <c r="BE69" i="20"/>
  <c r="AW69" i="20"/>
  <c r="BJ88" i="20"/>
  <c r="BB88" i="20"/>
  <c r="AT88" i="20"/>
  <c r="BI88" i="20"/>
  <c r="BA88" i="20"/>
  <c r="AS88" i="20"/>
  <c r="AR88" i="20" s="1"/>
  <c r="AQ88" i="20" s="1"/>
  <c r="BH88" i="20"/>
  <c r="AZ88" i="20"/>
  <c r="BG88" i="20"/>
  <c r="AY88" i="20"/>
  <c r="BF88" i="20"/>
  <c r="AX88" i="20"/>
  <c r="BE88" i="20"/>
  <c r="AW88" i="20"/>
  <c r="AV67" i="20"/>
  <c r="BH67" i="20"/>
  <c r="BB69" i="20"/>
  <c r="AV83" i="20"/>
  <c r="BC102" i="20"/>
  <c r="AU102" i="20"/>
  <c r="BB102" i="20"/>
  <c r="AT102" i="20"/>
  <c r="BI102" i="20"/>
  <c r="BA102" i="20"/>
  <c r="AS102" i="20"/>
  <c r="AR102" i="20" s="1"/>
  <c r="BH102" i="20"/>
  <c r="AZ102" i="20"/>
  <c r="BG102" i="20"/>
  <c r="AY102" i="20"/>
  <c r="BF102" i="20"/>
  <c r="AX102" i="20"/>
  <c r="AS62" i="20"/>
  <c r="AR62" i="20" s="1"/>
  <c r="AQ62" i="20" s="1"/>
  <c r="BA62" i="20"/>
  <c r="BI62" i="20"/>
  <c r="BJ65" i="20"/>
  <c r="BB65" i="20"/>
  <c r="AT65" i="20"/>
  <c r="BI65" i="20"/>
  <c r="BA65" i="20"/>
  <c r="AS65" i="20"/>
  <c r="AR65" i="20" s="1"/>
  <c r="AQ65" i="20" s="1"/>
  <c r="AZ67" i="20"/>
  <c r="BJ67" i="20"/>
  <c r="AW68" i="20"/>
  <c r="BG68" i="20"/>
  <c r="AS69" i="20"/>
  <c r="AR69" i="20" s="1"/>
  <c r="AQ69" i="20" s="1"/>
  <c r="BD69" i="20"/>
  <c r="BD83" i="20"/>
  <c r="AU88" i="20"/>
  <c r="AT62" i="20"/>
  <c r="BB62" i="20"/>
  <c r="AW63" i="20"/>
  <c r="BI64" i="20"/>
  <c r="BA64" i="20"/>
  <c r="AS64" i="20"/>
  <c r="AR64" i="20" s="1"/>
  <c r="AQ64" i="20" s="1"/>
  <c r="BC65" i="20"/>
  <c r="BA67" i="20"/>
  <c r="AX68" i="20"/>
  <c r="AT69" i="20"/>
  <c r="BF69" i="20"/>
  <c r="AV88" i="20"/>
  <c r="BF67" i="20"/>
  <c r="AX67" i="20"/>
  <c r="BE67" i="20"/>
  <c r="AW67" i="20"/>
  <c r="AC68" i="20"/>
  <c r="AB68" i="20"/>
  <c r="AU69" i="20"/>
  <c r="BI69" i="20"/>
  <c r="BJ83" i="20"/>
  <c r="BB83" i="20"/>
  <c r="AT83" i="20"/>
  <c r="BI83" i="20"/>
  <c r="BA83" i="20"/>
  <c r="AS83" i="20"/>
  <c r="AR83" i="20" s="1"/>
  <c r="AQ83" i="20" s="1"/>
  <c r="BH83" i="20"/>
  <c r="AZ83" i="20"/>
  <c r="BG83" i="20"/>
  <c r="AY83" i="20"/>
  <c r="BF83" i="20"/>
  <c r="AX83" i="20"/>
  <c r="BE83" i="20"/>
  <c r="AW83" i="20"/>
  <c r="BC88" i="20"/>
  <c r="AC90" i="20"/>
  <c r="AB90" i="20"/>
  <c r="AO113" i="20"/>
  <c r="AC102" i="20"/>
  <c r="AC113" i="20" s="1"/>
  <c r="AB102" i="20"/>
  <c r="AB113" i="20" s="1"/>
  <c r="AP102" i="20"/>
  <c r="AC126" i="20"/>
  <c r="AB126" i="20"/>
  <c r="AP126" i="20"/>
  <c r="AS67" i="20"/>
  <c r="AR67" i="20" s="1"/>
  <c r="AQ67" i="20" s="1"/>
  <c r="BC67" i="20"/>
  <c r="AP68" i="20"/>
  <c r="BI68" i="20"/>
  <c r="BA68" i="20"/>
  <c r="AS68" i="20"/>
  <c r="AR68" i="20" s="1"/>
  <c r="AQ68" i="20" s="1"/>
  <c r="BH68" i="20"/>
  <c r="AZ68" i="20"/>
  <c r="AV69" i="20"/>
  <c r="BJ69" i="20"/>
  <c r="BD88" i="20"/>
  <c r="AP90" i="20"/>
  <c r="BH107" i="20"/>
  <c r="AZ107" i="20"/>
  <c r="BG107" i="20"/>
  <c r="AY107" i="20"/>
  <c r="BF107" i="20"/>
  <c r="AX107" i="20"/>
  <c r="BE107" i="20"/>
  <c r="AW107" i="20"/>
  <c r="BJ107" i="20"/>
  <c r="AT107" i="20"/>
  <c r="BI107" i="20"/>
  <c r="AS107" i="20"/>
  <c r="AR107" i="20" s="1"/>
  <c r="AQ107" i="20" s="1"/>
  <c r="BD107" i="20"/>
  <c r="BC107" i="20"/>
  <c r="BB107" i="20"/>
  <c r="BA107" i="20"/>
  <c r="AB84" i="20"/>
  <c r="AW82" i="20"/>
  <c r="BE82" i="20"/>
  <c r="AP83" i="20"/>
  <c r="AP88" i="20"/>
  <c r="BA89" i="20"/>
  <c r="BI89" i="20"/>
  <c r="AZ90" i="20"/>
  <c r="BH90" i="20"/>
  <c r="BK103" i="20"/>
  <c r="BC103" i="20"/>
  <c r="AU103" i="20"/>
  <c r="BD106" i="20"/>
  <c r="AU108" i="20"/>
  <c r="BH108" i="20"/>
  <c r="AZ108" i="20"/>
  <c r="BG108" i="20"/>
  <c r="AY108" i="20"/>
  <c r="BF108" i="20"/>
  <c r="AX108" i="20"/>
  <c r="BE108" i="20"/>
  <c r="AW108" i="20"/>
  <c r="AP81" i="20"/>
  <c r="AX81" i="20"/>
  <c r="BF81" i="20"/>
  <c r="AY82" i="20"/>
  <c r="BG82" i="20"/>
  <c r="AB83" i="20"/>
  <c r="AU84" i="20"/>
  <c r="BC84" i="20"/>
  <c r="AB88" i="20"/>
  <c r="AU89" i="20"/>
  <c r="BC89" i="20"/>
  <c r="AT90" i="20"/>
  <c r="BB90" i="20"/>
  <c r="BJ90" i="20"/>
  <c r="AV103" i="20"/>
  <c r="BE103" i="20"/>
  <c r="AT106" i="20"/>
  <c r="BJ106" i="20"/>
  <c r="BA108" i="20"/>
  <c r="AP109" i="20"/>
  <c r="AY81" i="20"/>
  <c r="AZ82" i="20"/>
  <c r="AU90" i="20"/>
  <c r="BC90" i="20"/>
  <c r="AU106" i="20"/>
  <c r="BB108" i="20"/>
  <c r="BJ128" i="20"/>
  <c r="BB128" i="20"/>
  <c r="AT128" i="20"/>
  <c r="BI128" i="20"/>
  <c r="BA128" i="20"/>
  <c r="AS128" i="20"/>
  <c r="AR128" i="20" s="1"/>
  <c r="AQ128" i="20" s="1"/>
  <c r="BH128" i="20"/>
  <c r="AZ128" i="20"/>
  <c r="BE128" i="20"/>
  <c r="AW128" i="20"/>
  <c r="BG128" i="20"/>
  <c r="BF128" i="20"/>
  <c r="BD128" i="20"/>
  <c r="BC128" i="20"/>
  <c r="AY128" i="20"/>
  <c r="BH106" i="20"/>
  <c r="AZ106" i="20"/>
  <c r="BG106" i="20"/>
  <c r="AY106" i="20"/>
  <c r="BF106" i="20"/>
  <c r="AX106" i="20"/>
  <c r="BE106" i="20"/>
  <c r="AW106" i="20"/>
  <c r="BC108" i="20"/>
  <c r="BJ129" i="20"/>
  <c r="BB129" i="20"/>
  <c r="AT129" i="20"/>
  <c r="BI129" i="20"/>
  <c r="BA129" i="20"/>
  <c r="AS129" i="20"/>
  <c r="AR129" i="20" s="1"/>
  <c r="AQ129" i="20" s="1"/>
  <c r="BH129" i="20"/>
  <c r="AZ129" i="20"/>
  <c r="BG129" i="20"/>
  <c r="AY129" i="20"/>
  <c r="BF129" i="20"/>
  <c r="AX129" i="20"/>
  <c r="BE129" i="20"/>
  <c r="AW129" i="20"/>
  <c r="BD129" i="20"/>
  <c r="BC129" i="20"/>
  <c r="AV129" i="20"/>
  <c r="AU129" i="20"/>
  <c r="AU111" i="20"/>
  <c r="BC111" i="20"/>
  <c r="BK111" i="20"/>
  <c r="AT123" i="20"/>
  <c r="BB123" i="20"/>
  <c r="AU124" i="20"/>
  <c r="BC124" i="20"/>
  <c r="BK124" i="20"/>
  <c r="AS127" i="20"/>
  <c r="AR127" i="20" s="1"/>
  <c r="AQ127" i="20" s="1"/>
  <c r="BF127" i="20"/>
  <c r="BK153" i="20"/>
  <c r="BC153" i="20"/>
  <c r="AU153" i="20"/>
  <c r="BJ153" i="20"/>
  <c r="BB153" i="20"/>
  <c r="AT153" i="20"/>
  <c r="BI153" i="20"/>
  <c r="BA153" i="20"/>
  <c r="AS153" i="20"/>
  <c r="AR153" i="20" s="1"/>
  <c r="AQ153" i="20" s="1"/>
  <c r="BH153" i="20"/>
  <c r="AZ153" i="20"/>
  <c r="BG153" i="20"/>
  <c r="AY153" i="20"/>
  <c r="BF153" i="20"/>
  <c r="AX153" i="20"/>
  <c r="AW111" i="20"/>
  <c r="BE111" i="20"/>
  <c r="AW124" i="20"/>
  <c r="BE124" i="20"/>
  <c r="AY105" i="20"/>
  <c r="AX111" i="20"/>
  <c r="AW123" i="20"/>
  <c r="AX124" i="20"/>
  <c r="BJ127" i="20"/>
  <c r="BB127" i="20"/>
  <c r="AT127" i="20"/>
  <c r="BI127" i="20"/>
  <c r="BH127" i="20"/>
  <c r="AZ127" i="20"/>
  <c r="BE127" i="20"/>
  <c r="AW127" i="20"/>
  <c r="AC153" i="20"/>
  <c r="AB153" i="20"/>
  <c r="AP153" i="20"/>
  <c r="AC147" i="20"/>
  <c r="AB147" i="20"/>
  <c r="AS130" i="20"/>
  <c r="AR130" i="20" s="1"/>
  <c r="AQ130" i="20" s="1"/>
  <c r="BA130" i="20"/>
  <c r="BI130" i="20"/>
  <c r="AU132" i="20"/>
  <c r="BC132" i="20"/>
  <c r="BK132" i="20"/>
  <c r="AT144" i="20"/>
  <c r="BB144" i="20"/>
  <c r="AY147" i="20"/>
  <c r="BG147" i="20"/>
  <c r="AB148" i="20"/>
  <c r="AB149" i="20"/>
  <c r="AB150" i="20"/>
  <c r="AY152" i="20"/>
  <c r="BG152" i="20"/>
  <c r="AU144" i="20"/>
  <c r="BC144" i="20"/>
  <c r="AW146" i="20"/>
  <c r="BE146" i="20"/>
  <c r="AZ147" i="20"/>
  <c r="BH147" i="20"/>
  <c r="AW151" i="20"/>
  <c r="BE151" i="20"/>
  <c r="AZ152" i="20"/>
  <c r="BH152" i="20"/>
  <c r="AW145" i="20"/>
  <c r="BE145" i="20"/>
  <c r="AX146" i="20"/>
  <c r="BF146" i="20"/>
  <c r="AS147" i="20"/>
  <c r="AR147" i="20" s="1"/>
  <c r="AQ147" i="20" s="1"/>
  <c r="BA147" i="20"/>
  <c r="BI147" i="20"/>
  <c r="AP151" i="20"/>
  <c r="AX151" i="20"/>
  <c r="BF151" i="20"/>
  <c r="AS152" i="20"/>
  <c r="AR152" i="20" s="1"/>
  <c r="AQ152" i="20" s="1"/>
  <c r="BA152" i="20"/>
  <c r="BI152" i="20"/>
  <c r="AP132" i="20"/>
  <c r="AX132" i="20"/>
  <c r="BF132" i="20"/>
  <c r="AW144" i="20"/>
  <c r="BE144" i="20"/>
  <c r="AT147" i="20"/>
  <c r="BB147" i="20"/>
  <c r="BJ147" i="20"/>
  <c r="AW130" i="20"/>
  <c r="AB131" i="20"/>
  <c r="AZ131" i="20"/>
  <c r="AY132" i="20"/>
  <c r="AX144" i="20"/>
  <c r="BF144" i="20"/>
  <c r="AY145" i="20"/>
  <c r="AZ146" i="20"/>
  <c r="AU147" i="20"/>
  <c r="BC147" i="20"/>
  <c r="AZ151" i="20"/>
  <c r="AU152" i="20"/>
  <c r="BC152" i="20"/>
  <c r="AY144" i="20"/>
  <c r="N13" i="1"/>
  <c r="Q17" i="14"/>
  <c r="Q17" i="29" s="1"/>
  <c r="Q17" i="28" s="1"/>
  <c r="Q19" i="28" s="1"/>
  <c r="Q20" i="28" s="1"/>
  <c r="E140" i="14"/>
  <c r="E119" i="14"/>
  <c r="E98" i="14"/>
  <c r="E77" i="14"/>
  <c r="E56" i="14"/>
  <c r="E35" i="14"/>
  <c r="H35" i="14" s="1"/>
  <c r="BP39" i="14" s="1"/>
  <c r="E140" i="7"/>
  <c r="H140" i="7" s="1"/>
  <c r="E119" i="7"/>
  <c r="H119" i="7" s="1"/>
  <c r="E98" i="7"/>
  <c r="H98" i="7" s="1"/>
  <c r="E77" i="7"/>
  <c r="H77" i="7" s="1"/>
  <c r="E56" i="7"/>
  <c r="H56" i="7" s="1"/>
  <c r="K34" i="7"/>
  <c r="K54" i="7"/>
  <c r="K13" i="14"/>
  <c r="K12" i="14"/>
  <c r="E14" i="14"/>
  <c r="H14" i="14" s="1"/>
  <c r="J4" i="14"/>
  <c r="E97" i="14" s="1"/>
  <c r="P4" i="14"/>
  <c r="AD107" i="16" s="1"/>
  <c r="S5" i="14"/>
  <c r="E35" i="7"/>
  <c r="H35" i="7" s="1"/>
  <c r="AE107" i="16"/>
  <c r="AB107" i="16"/>
  <c r="Z107" i="16"/>
  <c r="B107" i="16" s="1"/>
  <c r="CU8" i="14"/>
  <c r="CU7" i="14"/>
  <c r="CU6" i="14"/>
  <c r="CU5" i="14"/>
  <c r="CU4" i="14"/>
  <c r="CU3" i="14"/>
  <c r="CU2" i="14"/>
  <c r="CU1" i="14"/>
  <c r="DL8" i="14"/>
  <c r="DJ8" i="14"/>
  <c r="DH8" i="14"/>
  <c r="DF8" i="14"/>
  <c r="DD8" i="14"/>
  <c r="DB8" i="14"/>
  <c r="CZ8" i="14"/>
  <c r="DL7" i="14"/>
  <c r="DJ7" i="14"/>
  <c r="DH7" i="14"/>
  <c r="DF7" i="14"/>
  <c r="DD7" i="14"/>
  <c r="DB7" i="14"/>
  <c r="CZ7" i="14"/>
  <c r="DL6" i="14"/>
  <c r="DJ6" i="14"/>
  <c r="DH6" i="14"/>
  <c r="DF6" i="14"/>
  <c r="DD6" i="14"/>
  <c r="DB6" i="14"/>
  <c r="CZ6" i="14"/>
  <c r="DL5" i="14"/>
  <c r="DJ5" i="14"/>
  <c r="DH5" i="14"/>
  <c r="DF5" i="14"/>
  <c r="DD5" i="14"/>
  <c r="DB5" i="14"/>
  <c r="CZ5" i="14"/>
  <c r="DL4" i="14"/>
  <c r="DJ4" i="14"/>
  <c r="DH4" i="14"/>
  <c r="DF4" i="14"/>
  <c r="DD4" i="14"/>
  <c r="DB4" i="14"/>
  <c r="CZ4" i="14"/>
  <c r="DL3" i="14"/>
  <c r="DJ3" i="14"/>
  <c r="DH3" i="14"/>
  <c r="DF3" i="14"/>
  <c r="DD3" i="14"/>
  <c r="DB3" i="14"/>
  <c r="CZ3" i="14"/>
  <c r="DL2" i="14"/>
  <c r="DJ2" i="14"/>
  <c r="DH2" i="14"/>
  <c r="DF2" i="14"/>
  <c r="DD2" i="14"/>
  <c r="DB2" i="14"/>
  <c r="CZ2" i="14"/>
  <c r="CY1" i="14"/>
  <c r="CX1" i="14"/>
  <c r="Z250" i="16"/>
  <c r="Z251" i="16" s="1"/>
  <c r="Z242" i="16"/>
  <c r="Z243" i="16" s="1"/>
  <c r="Z234" i="16"/>
  <c r="Z235" i="16" s="1"/>
  <c r="Z226" i="16"/>
  <c r="Z227" i="16" s="1"/>
  <c r="Z218" i="16"/>
  <c r="Z219" i="16" s="1"/>
  <c r="Z210" i="16"/>
  <c r="Z211" i="16" s="1"/>
  <c r="Z141" i="16"/>
  <c r="Z142" i="16" s="1"/>
  <c r="Z133" i="16"/>
  <c r="Z134" i="16" s="1"/>
  <c r="Z125" i="16"/>
  <c r="Z126" i="16" s="1"/>
  <c r="Z117" i="16"/>
  <c r="Z118" i="16" s="1"/>
  <c r="Z109" i="16"/>
  <c r="Z110" i="16" s="1"/>
  <c r="AE99" i="16"/>
  <c r="AB99" i="16"/>
  <c r="T18" i="9"/>
  <c r="S5" i="7"/>
  <c r="DL8" i="7"/>
  <c r="DL7" i="7"/>
  <c r="DL6" i="7"/>
  <c r="DL5" i="7"/>
  <c r="DL4" i="7"/>
  <c r="DL3" i="7"/>
  <c r="DL2" i="7"/>
  <c r="DJ8" i="7"/>
  <c r="DJ7" i="7"/>
  <c r="DJ6" i="7"/>
  <c r="DJ5" i="7"/>
  <c r="DJ4" i="7"/>
  <c r="DJ3" i="7"/>
  <c r="DJ2" i="7"/>
  <c r="DH8" i="7"/>
  <c r="DH7" i="7"/>
  <c r="DH6" i="7"/>
  <c r="DH5" i="7"/>
  <c r="DH4" i="7"/>
  <c r="DH3" i="7"/>
  <c r="DH2" i="7"/>
  <c r="DF8" i="7"/>
  <c r="DF7" i="7"/>
  <c r="DF6" i="7"/>
  <c r="DF5" i="7"/>
  <c r="DF4" i="7"/>
  <c r="DF3" i="7"/>
  <c r="DF2" i="7"/>
  <c r="DD8" i="7"/>
  <c r="DD7" i="7"/>
  <c r="DD6" i="7"/>
  <c r="DD5" i="7"/>
  <c r="DD4" i="7"/>
  <c r="DD3" i="7"/>
  <c r="DD2" i="7"/>
  <c r="DB8" i="7"/>
  <c r="DB7" i="7"/>
  <c r="DB6" i="7"/>
  <c r="DB5" i="7"/>
  <c r="DB4" i="7"/>
  <c r="DB3" i="7"/>
  <c r="DB2" i="7"/>
  <c r="CZ3" i="7"/>
  <c r="CZ4" i="7"/>
  <c r="CZ5" i="7"/>
  <c r="CZ6" i="7"/>
  <c r="CZ7" i="7"/>
  <c r="CZ8" i="7"/>
  <c r="CZ2" i="7"/>
  <c r="CY1" i="7"/>
  <c r="CX1" i="7"/>
  <c r="CU2" i="7"/>
  <c r="CU3" i="7"/>
  <c r="CU4" i="7"/>
  <c r="CU5" i="7"/>
  <c r="CU6" i="7"/>
  <c r="CU7" i="7"/>
  <c r="CU8" i="7"/>
  <c r="CU1" i="7"/>
  <c r="P4" i="7"/>
  <c r="J4" i="7"/>
  <c r="T12" i="1"/>
  <c r="N12" i="1"/>
  <c r="BU152" i="7"/>
  <c r="BW147" i="7"/>
  <c r="BW146" i="7"/>
  <c r="BW145" i="7"/>
  <c r="CB144" i="7"/>
  <c r="BU131" i="7"/>
  <c r="BW126" i="7"/>
  <c r="BW125" i="7"/>
  <c r="BW124" i="7"/>
  <c r="CB123" i="7"/>
  <c r="BU110" i="7"/>
  <c r="BW105" i="7"/>
  <c r="BW104" i="7"/>
  <c r="BW103" i="7"/>
  <c r="CB102" i="7"/>
  <c r="BU89" i="7"/>
  <c r="BW84" i="7"/>
  <c r="BW83" i="7"/>
  <c r="BW82" i="7"/>
  <c r="CB81" i="7"/>
  <c r="BU68" i="7"/>
  <c r="BW63" i="7"/>
  <c r="BW62" i="7"/>
  <c r="BW61" i="7"/>
  <c r="CB60" i="7"/>
  <c r="BU47" i="7"/>
  <c r="BW42" i="7"/>
  <c r="BW41" i="7"/>
  <c r="BW40" i="7"/>
  <c r="CB39" i="7"/>
  <c r="BU152" i="14"/>
  <c r="BW147" i="14"/>
  <c r="BW146" i="14"/>
  <c r="BW145" i="14"/>
  <c r="CB144" i="14"/>
  <c r="BU131" i="14"/>
  <c r="BW126" i="14"/>
  <c r="BW125" i="14"/>
  <c r="BW124" i="14"/>
  <c r="CB123" i="14"/>
  <c r="BU110" i="14"/>
  <c r="BW105" i="14"/>
  <c r="BW104" i="14"/>
  <c r="BW103" i="14"/>
  <c r="CB102" i="14"/>
  <c r="BU89" i="14"/>
  <c r="BW84" i="14"/>
  <c r="BW83" i="14"/>
  <c r="BW82" i="14"/>
  <c r="CB81" i="14"/>
  <c r="BU68" i="14"/>
  <c r="BW63" i="14"/>
  <c r="BW62" i="14"/>
  <c r="BW61" i="14"/>
  <c r="CB60" i="14"/>
  <c r="BU47" i="14"/>
  <c r="BW42" i="14"/>
  <c r="BW41" i="14"/>
  <c r="BW40" i="14"/>
  <c r="CB39" i="14"/>
  <c r="BL153" i="14"/>
  <c r="BD153" i="14" s="1"/>
  <c r="AO153" i="14"/>
  <c r="AP153" i="14" s="1"/>
  <c r="M153" i="14"/>
  <c r="BL152" i="14"/>
  <c r="BK152" i="14" s="1"/>
  <c r="AO152" i="14"/>
  <c r="M152" i="14"/>
  <c r="BL151" i="14"/>
  <c r="BH151" i="14" s="1"/>
  <c r="AO151" i="14"/>
  <c r="AB151" i="14" s="1"/>
  <c r="M151" i="14"/>
  <c r="BL150" i="14"/>
  <c r="BK150" i="14" s="1"/>
  <c r="AO150" i="14"/>
  <c r="AP150" i="14" s="1"/>
  <c r="M150" i="14"/>
  <c r="BL149" i="14"/>
  <c r="BI149" i="14" s="1"/>
  <c r="AO149" i="14"/>
  <c r="AP149" i="14" s="1"/>
  <c r="M149" i="14"/>
  <c r="BL148" i="14"/>
  <c r="BH148" i="14" s="1"/>
  <c r="AO148" i="14"/>
  <c r="AP148" i="14" s="1"/>
  <c r="M148" i="14"/>
  <c r="BL147" i="14"/>
  <c r="BJ147" i="14" s="1"/>
  <c r="AO147" i="14"/>
  <c r="M147" i="14"/>
  <c r="BL146" i="14"/>
  <c r="BH146" i="14" s="1"/>
  <c r="AO146" i="14"/>
  <c r="AB146" i="14" s="1"/>
  <c r="M146" i="14"/>
  <c r="BL145" i="14"/>
  <c r="BG145" i="14" s="1"/>
  <c r="AO145" i="14"/>
  <c r="AC145" i="14" s="1"/>
  <c r="U145" i="14"/>
  <c r="M145" i="14"/>
  <c r="BL144" i="14"/>
  <c r="AO144" i="14"/>
  <c r="M144" i="14"/>
  <c r="BN137" i="14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148" i="14" s="1"/>
  <c r="BN149" i="14" s="1"/>
  <c r="BN150" i="14" s="1"/>
  <c r="BN151" i="14" s="1"/>
  <c r="BN152" i="14" s="1"/>
  <c r="BN153" i="14" s="1"/>
  <c r="BN154" i="14" s="1"/>
  <c r="BN155" i="14" s="1"/>
  <c r="BL132" i="14"/>
  <c r="BG132" i="14" s="1"/>
  <c r="AO132" i="14"/>
  <c r="AP132" i="14" s="1"/>
  <c r="M132" i="14"/>
  <c r="BL131" i="14"/>
  <c r="BH131" i="14" s="1"/>
  <c r="AO131" i="14"/>
  <c r="AB131" i="14" s="1"/>
  <c r="M131" i="14"/>
  <c r="BL130" i="14"/>
  <c r="BH130" i="14" s="1"/>
  <c r="AO130" i="14"/>
  <c r="AC130" i="14" s="1"/>
  <c r="M130" i="14"/>
  <c r="BL129" i="14"/>
  <c r="BK129" i="14" s="1"/>
  <c r="AO129" i="14"/>
  <c r="AC129" i="14" s="1"/>
  <c r="M129" i="14"/>
  <c r="BL128" i="14"/>
  <c r="BK128" i="14" s="1"/>
  <c r="AO128" i="14"/>
  <c r="AC128" i="14" s="1"/>
  <c r="M128" i="14"/>
  <c r="BL127" i="14"/>
  <c r="BH127" i="14" s="1"/>
  <c r="AO127" i="14"/>
  <c r="AB127" i="14" s="1"/>
  <c r="M127" i="14"/>
  <c r="BL126" i="14"/>
  <c r="BG126" i="14" s="1"/>
  <c r="AO126" i="14"/>
  <c r="AB126" i="14" s="1"/>
  <c r="M126" i="14"/>
  <c r="BL125" i="14"/>
  <c r="BJ125" i="14" s="1"/>
  <c r="AO125" i="14"/>
  <c r="M125" i="14"/>
  <c r="BL124" i="14"/>
  <c r="BJ124" i="14" s="1"/>
  <c r="AO124" i="14"/>
  <c r="U124" i="14"/>
  <c r="M124" i="14"/>
  <c r="BL123" i="14"/>
  <c r="AO123" i="14"/>
  <c r="M123" i="14"/>
  <c r="BN116" i="14"/>
  <c r="BN117" i="14" s="1"/>
  <c r="BN118" i="14" s="1"/>
  <c r="BN119" i="14" s="1"/>
  <c r="BN120" i="14" s="1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34" i="14" s="1"/>
  <c r="BL111" i="14"/>
  <c r="BJ111" i="14" s="1"/>
  <c r="AO111" i="14"/>
  <c r="M111" i="14"/>
  <c r="BL110" i="14"/>
  <c r="BK110" i="14" s="1"/>
  <c r="AO110" i="14"/>
  <c r="M110" i="14"/>
  <c r="BL109" i="14"/>
  <c r="BI109" i="14" s="1"/>
  <c r="AO109" i="14"/>
  <c r="AB109" i="14" s="1"/>
  <c r="M109" i="14"/>
  <c r="BL108" i="14"/>
  <c r="BF108" i="14" s="1"/>
  <c r="AO108" i="14"/>
  <c r="AC108" i="14" s="1"/>
  <c r="M108" i="14"/>
  <c r="BL107" i="14"/>
  <c r="BI107" i="14" s="1"/>
  <c r="AO107" i="14"/>
  <c r="AB107" i="14" s="1"/>
  <c r="M107" i="14"/>
  <c r="BL106" i="14"/>
  <c r="BI106" i="14" s="1"/>
  <c r="AO106" i="14"/>
  <c r="AP106" i="14" s="1"/>
  <c r="M106" i="14"/>
  <c r="BL105" i="14"/>
  <c r="BD105" i="14" s="1"/>
  <c r="AO105" i="14"/>
  <c r="AB105" i="14" s="1"/>
  <c r="M105" i="14"/>
  <c r="BL104" i="14"/>
  <c r="BG104" i="14" s="1"/>
  <c r="AO104" i="14"/>
  <c r="AC104" i="14" s="1"/>
  <c r="M104" i="14"/>
  <c r="BL103" i="14"/>
  <c r="BE103" i="14" s="1"/>
  <c r="AO103" i="14"/>
  <c r="AP103" i="14" s="1"/>
  <c r="U103" i="14"/>
  <c r="M103" i="14"/>
  <c r="BL102" i="14"/>
  <c r="AO102" i="14"/>
  <c r="M102" i="14"/>
  <c r="BN95" i="14"/>
  <c r="BN96" i="14" s="1"/>
  <c r="BN97" i="14" s="1"/>
  <c r="BN98" i="14" s="1"/>
  <c r="BN99" i="14" s="1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L90" i="14"/>
  <c r="BF90" i="14" s="1"/>
  <c r="AO90" i="14"/>
  <c r="AB90" i="14" s="1"/>
  <c r="M90" i="14"/>
  <c r="BL89" i="14"/>
  <c r="BG89" i="14" s="1"/>
  <c r="AO89" i="14"/>
  <c r="AC89" i="14" s="1"/>
  <c r="M89" i="14"/>
  <c r="BL88" i="14"/>
  <c r="BJ88" i="14" s="1"/>
  <c r="AO88" i="14"/>
  <c r="AP88" i="14" s="1"/>
  <c r="M88" i="14"/>
  <c r="BL87" i="14"/>
  <c r="BK87" i="14" s="1"/>
  <c r="AO87" i="14"/>
  <c r="AB87" i="14" s="1"/>
  <c r="M87" i="14"/>
  <c r="BL86" i="14"/>
  <c r="BH86" i="14" s="1"/>
  <c r="AO86" i="14"/>
  <c r="AB86" i="14" s="1"/>
  <c r="M86" i="14"/>
  <c r="BL85" i="14"/>
  <c r="BH85" i="14" s="1"/>
  <c r="AO85" i="14"/>
  <c r="AC85" i="14" s="1"/>
  <c r="M85" i="14"/>
  <c r="BL84" i="14"/>
  <c r="BH84" i="14" s="1"/>
  <c r="AO84" i="14"/>
  <c r="AC84" i="14" s="1"/>
  <c r="M84" i="14"/>
  <c r="BL83" i="14"/>
  <c r="BH83" i="14" s="1"/>
  <c r="AO83" i="14"/>
  <c r="AC83" i="14" s="1"/>
  <c r="M83" i="14"/>
  <c r="BL82" i="14"/>
  <c r="BF82" i="14" s="1"/>
  <c r="AO82" i="14"/>
  <c r="AP82" i="14" s="1"/>
  <c r="U82" i="14"/>
  <c r="M82" i="14"/>
  <c r="BL81" i="14"/>
  <c r="AO81" i="14"/>
  <c r="M81" i="14"/>
  <c r="BN74" i="14"/>
  <c r="BN75" i="14" s="1"/>
  <c r="BN76" i="14" s="1"/>
  <c r="BN77" i="14" s="1"/>
  <c r="BN78" i="14" s="1"/>
  <c r="BN79" i="14" s="1"/>
  <c r="BN80" i="14" s="1"/>
  <c r="BN81" i="14" s="1"/>
  <c r="BN82" i="14" s="1"/>
  <c r="BN83" i="14" s="1"/>
  <c r="BN84" i="14" s="1"/>
  <c r="BN85" i="14" s="1"/>
  <c r="BN86" i="14" s="1"/>
  <c r="BN87" i="14" s="1"/>
  <c r="BN88" i="14" s="1"/>
  <c r="BN89" i="14" s="1"/>
  <c r="BN90" i="14" s="1"/>
  <c r="BN91" i="14" s="1"/>
  <c r="BN92" i="14" s="1"/>
  <c r="BL69" i="14"/>
  <c r="BF69" i="14" s="1"/>
  <c r="AO69" i="14"/>
  <c r="AP69" i="14" s="1"/>
  <c r="M69" i="14"/>
  <c r="BL68" i="14"/>
  <c r="BI68" i="14" s="1"/>
  <c r="AO68" i="14"/>
  <c r="AC68" i="14" s="1"/>
  <c r="M68" i="14"/>
  <c r="BL67" i="14"/>
  <c r="BI67" i="14" s="1"/>
  <c r="AO67" i="14"/>
  <c r="M67" i="14"/>
  <c r="BL66" i="14"/>
  <c r="BH66" i="14" s="1"/>
  <c r="AO66" i="14"/>
  <c r="AB66" i="14" s="1"/>
  <c r="M66" i="14"/>
  <c r="BL65" i="14"/>
  <c r="BH65" i="14" s="1"/>
  <c r="AO65" i="14"/>
  <c r="AC65" i="14" s="1"/>
  <c r="M65" i="14"/>
  <c r="BL64" i="14"/>
  <c r="BH64" i="14" s="1"/>
  <c r="AO64" i="14"/>
  <c r="AC64" i="14" s="1"/>
  <c r="M64" i="14"/>
  <c r="M63" i="14"/>
  <c r="M62" i="14"/>
  <c r="U61" i="14"/>
  <c r="M61" i="14"/>
  <c r="M60" i="14"/>
  <c r="BN53" i="14"/>
  <c r="BN54" i="14" s="1"/>
  <c r="BN55" i="14" s="1"/>
  <c r="AS209" i="16"/>
  <c r="AS210" i="16" s="1"/>
  <c r="AS211" i="16" s="1"/>
  <c r="AS212" i="16" s="1"/>
  <c r="AS213" i="16" s="1"/>
  <c r="AS214" i="16" s="1"/>
  <c r="AS215" i="16" s="1"/>
  <c r="AS216" i="16" s="1"/>
  <c r="AS217" i="16" s="1"/>
  <c r="AS218" i="16" s="1"/>
  <c r="AS219" i="16" s="1"/>
  <c r="AS220" i="16" s="1"/>
  <c r="AS221" i="16" s="1"/>
  <c r="AS222" i="16" s="1"/>
  <c r="AS223" i="16" s="1"/>
  <c r="AS224" i="16" s="1"/>
  <c r="AS225" i="16" s="1"/>
  <c r="AS226" i="16" s="1"/>
  <c r="AS227" i="16" s="1"/>
  <c r="AS228" i="16" s="1"/>
  <c r="AS229" i="16" s="1"/>
  <c r="AS230" i="16" s="1"/>
  <c r="AS231" i="16" s="1"/>
  <c r="AS232" i="16" s="1"/>
  <c r="AS233" i="16" s="1"/>
  <c r="AS234" i="16" s="1"/>
  <c r="AS235" i="16" s="1"/>
  <c r="AS236" i="16" s="1"/>
  <c r="AS237" i="16" s="1"/>
  <c r="AS238" i="16" s="1"/>
  <c r="AS239" i="16" s="1"/>
  <c r="AS240" i="16" s="1"/>
  <c r="AS241" i="16" s="1"/>
  <c r="AS242" i="16" s="1"/>
  <c r="AS243" i="16" s="1"/>
  <c r="AS244" i="16" s="1"/>
  <c r="AS245" i="16" s="1"/>
  <c r="AS246" i="16" s="1"/>
  <c r="AS247" i="16" s="1"/>
  <c r="AS248" i="16" s="1"/>
  <c r="AS249" i="16" s="1"/>
  <c r="AS250" i="16" s="1"/>
  <c r="AS251" i="16" s="1"/>
  <c r="AS252" i="16" s="1"/>
  <c r="AS253" i="16" s="1"/>
  <c r="AS254" i="16" s="1"/>
  <c r="AS255" i="16" s="1"/>
  <c r="AS100" i="16"/>
  <c r="AS101" i="16" s="1"/>
  <c r="AS102" i="16" s="1"/>
  <c r="AS103" i="16" s="1"/>
  <c r="AS104" i="16" s="1"/>
  <c r="AS105" i="16" s="1"/>
  <c r="AS106" i="16" s="1"/>
  <c r="AS107" i="16" s="1"/>
  <c r="AS108" i="16" s="1"/>
  <c r="AS109" i="16" s="1"/>
  <c r="AS110" i="16" s="1"/>
  <c r="AS111" i="16" s="1"/>
  <c r="AS112" i="16" s="1"/>
  <c r="AS113" i="16" s="1"/>
  <c r="AS114" i="16" s="1"/>
  <c r="AS115" i="16" s="1"/>
  <c r="Z99" i="16"/>
  <c r="B99" i="16" s="1"/>
  <c r="AA90" i="16"/>
  <c r="AC90" i="16"/>
  <c r="AC91" i="16" s="1"/>
  <c r="AA91" i="16"/>
  <c r="Z101" i="16"/>
  <c r="Z102" i="16" s="1"/>
  <c r="Z103" i="16" s="1"/>
  <c r="AA93" i="16"/>
  <c r="E54" i="26" l="1"/>
  <c r="AA49" i="1"/>
  <c r="AF50" i="1"/>
  <c r="Z148" i="21"/>
  <c r="Z107" i="29"/>
  <c r="Z108" i="26"/>
  <c r="Z124" i="28"/>
  <c r="AQ123" i="20"/>
  <c r="AQ134" i="20" s="1"/>
  <c r="E12" i="25"/>
  <c r="D6" i="35"/>
  <c r="AG208" i="16"/>
  <c r="D6" i="38"/>
  <c r="AG123" i="16"/>
  <c r="D6" i="34"/>
  <c r="AG216" i="16"/>
  <c r="D6" i="39"/>
  <c r="AG115" i="16"/>
  <c r="D6" i="31"/>
  <c r="AG240" i="16"/>
  <c r="Z21" i="26"/>
  <c r="AQ81" i="25"/>
  <c r="AA89" i="29"/>
  <c r="AA83" i="27"/>
  <c r="Z87" i="27"/>
  <c r="AQ144" i="27"/>
  <c r="AR29" i="27"/>
  <c r="AR28" i="27" s="1"/>
  <c r="Z106" i="20"/>
  <c r="Z60" i="21"/>
  <c r="Z71" i="21" s="1"/>
  <c r="AA60" i="21"/>
  <c r="AA71" i="21" s="1"/>
  <c r="Z128" i="24"/>
  <c r="AA61" i="25"/>
  <c r="AA68" i="21"/>
  <c r="Z82" i="21"/>
  <c r="A53" i="23"/>
  <c r="A68" i="23"/>
  <c r="A64" i="23"/>
  <c r="A60" i="23"/>
  <c r="B52" i="23"/>
  <c r="A59" i="23"/>
  <c r="A52" i="23"/>
  <c r="A67" i="23"/>
  <c r="A63" i="23"/>
  <c r="A58" i="23"/>
  <c r="A71" i="23"/>
  <c r="A57" i="23"/>
  <c r="A55" i="23"/>
  <c r="A69" i="23"/>
  <c r="A65" i="23"/>
  <c r="A61" i="23"/>
  <c r="A54" i="23"/>
  <c r="A70" i="23"/>
  <c r="A62" i="23"/>
  <c r="A66" i="23"/>
  <c r="A56" i="23"/>
  <c r="A74" i="21"/>
  <c r="A89" i="21"/>
  <c r="A85" i="21"/>
  <c r="A81" i="21"/>
  <c r="B73" i="21"/>
  <c r="A80" i="21"/>
  <c r="A73" i="21"/>
  <c r="A88" i="21"/>
  <c r="A84" i="21"/>
  <c r="A79" i="21"/>
  <c r="A92" i="21"/>
  <c r="A78" i="21"/>
  <c r="A91" i="21"/>
  <c r="A87" i="21"/>
  <c r="A83" i="21"/>
  <c r="A77" i="21"/>
  <c r="A76" i="21"/>
  <c r="A75" i="21"/>
  <c r="A86" i="21"/>
  <c r="A82" i="21"/>
  <c r="A90" i="21"/>
  <c r="A53" i="25"/>
  <c r="A68" i="25"/>
  <c r="A64" i="25"/>
  <c r="A60" i="25"/>
  <c r="B52" i="25"/>
  <c r="A59" i="25"/>
  <c r="A52" i="25"/>
  <c r="A67" i="25"/>
  <c r="A63" i="25"/>
  <c r="A58" i="25"/>
  <c r="A71" i="25"/>
  <c r="A57" i="25"/>
  <c r="A55" i="25"/>
  <c r="A69" i="25"/>
  <c r="A65" i="25"/>
  <c r="A61" i="25"/>
  <c r="A54" i="25"/>
  <c r="A62" i="25"/>
  <c r="A66" i="25"/>
  <c r="A56" i="25"/>
  <c r="A70" i="25"/>
  <c r="A55" i="27"/>
  <c r="A69" i="27"/>
  <c r="A65" i="27"/>
  <c r="A61" i="27"/>
  <c r="A54" i="27"/>
  <c r="A53" i="27"/>
  <c r="A68" i="27"/>
  <c r="A64" i="27"/>
  <c r="A60" i="27"/>
  <c r="B52" i="27"/>
  <c r="A59" i="27"/>
  <c r="A52" i="27"/>
  <c r="A71" i="27"/>
  <c r="A57" i="27"/>
  <c r="A70" i="27"/>
  <c r="A66" i="27"/>
  <c r="A62" i="27"/>
  <c r="A56" i="27"/>
  <c r="A63" i="27"/>
  <c r="A67" i="27"/>
  <c r="A58" i="27"/>
  <c r="BN43" i="20"/>
  <c r="A42" i="20"/>
  <c r="A70" i="20"/>
  <c r="A66" i="20"/>
  <c r="A62" i="20"/>
  <c r="A56" i="20"/>
  <c r="A55" i="20"/>
  <c r="A69" i="20"/>
  <c r="A65" i="20"/>
  <c r="A61" i="20"/>
  <c r="A54" i="20"/>
  <c r="A53" i="20"/>
  <c r="A68" i="20"/>
  <c r="A64" i="20"/>
  <c r="A60" i="20"/>
  <c r="B52" i="20"/>
  <c r="A59" i="20"/>
  <c r="A52" i="20"/>
  <c r="A67" i="20"/>
  <c r="A63" i="20"/>
  <c r="A58" i="20"/>
  <c r="A57" i="20"/>
  <c r="A71" i="20"/>
  <c r="X255" i="16"/>
  <c r="E54" i="22"/>
  <c r="A70" i="22"/>
  <c r="A66" i="22"/>
  <c r="A62" i="22"/>
  <c r="A69" i="22"/>
  <c r="A65" i="22"/>
  <c r="A61" i="22"/>
  <c r="A68" i="22"/>
  <c r="A64" i="22"/>
  <c r="A60" i="22"/>
  <c r="A59" i="22"/>
  <c r="A67" i="22"/>
  <c r="A63" i="22"/>
  <c r="A58" i="22"/>
  <c r="A57" i="22"/>
  <c r="A56" i="22"/>
  <c r="A55" i="22"/>
  <c r="A54" i="22"/>
  <c r="A53" i="22"/>
  <c r="A52" i="22"/>
  <c r="A71" i="22"/>
  <c r="B52" i="22"/>
  <c r="BN36" i="22"/>
  <c r="A35" i="22"/>
  <c r="A40" i="27"/>
  <c r="A55" i="29"/>
  <c r="A69" i="29"/>
  <c r="A65" i="29"/>
  <c r="A61" i="29"/>
  <c r="A54" i="29"/>
  <c r="A53" i="29"/>
  <c r="A68" i="29"/>
  <c r="A64" i="29"/>
  <c r="A60" i="29"/>
  <c r="B52" i="29"/>
  <c r="A59" i="29"/>
  <c r="A52" i="29"/>
  <c r="A71" i="29"/>
  <c r="A57" i="29"/>
  <c r="A70" i="29"/>
  <c r="A66" i="29"/>
  <c r="A62" i="29"/>
  <c r="A56" i="29"/>
  <c r="A67" i="29"/>
  <c r="A58" i="29"/>
  <c r="A63" i="29"/>
  <c r="A38" i="27"/>
  <c r="A44" i="27"/>
  <c r="A41" i="27"/>
  <c r="A48" i="27"/>
  <c r="A71" i="24"/>
  <c r="A57" i="24"/>
  <c r="A70" i="24"/>
  <c r="A66" i="24"/>
  <c r="A62" i="24"/>
  <c r="A56" i="24"/>
  <c r="A55" i="24"/>
  <c r="A69" i="24"/>
  <c r="A65" i="24"/>
  <c r="A61" i="24"/>
  <c r="A54" i="24"/>
  <c r="A53" i="24"/>
  <c r="A59" i="24"/>
  <c r="A52" i="24"/>
  <c r="A67" i="24"/>
  <c r="A63" i="24"/>
  <c r="A58" i="24"/>
  <c r="A68" i="24"/>
  <c r="A60" i="24"/>
  <c r="B52" i="24"/>
  <c r="A64" i="24"/>
  <c r="A71" i="26"/>
  <c r="A69" i="26"/>
  <c r="A59" i="26"/>
  <c r="A52" i="26"/>
  <c r="A67" i="26"/>
  <c r="A63" i="26"/>
  <c r="A58" i="26"/>
  <c r="A57" i="26"/>
  <c r="A66" i="26"/>
  <c r="A62" i="26"/>
  <c r="A56" i="26"/>
  <c r="A70" i="26"/>
  <c r="A55" i="26"/>
  <c r="A53" i="26"/>
  <c r="A68" i="26"/>
  <c r="A64" i="26"/>
  <c r="A60" i="26"/>
  <c r="B52" i="26"/>
  <c r="A61" i="26"/>
  <c r="A54" i="26"/>
  <c r="A65" i="26"/>
  <c r="A59" i="28"/>
  <c r="A52" i="28"/>
  <c r="A67" i="28"/>
  <c r="A63" i="28"/>
  <c r="A58" i="28"/>
  <c r="A71" i="28"/>
  <c r="A57" i="28"/>
  <c r="A70" i="28"/>
  <c r="A66" i="28"/>
  <c r="A62" i="28"/>
  <c r="A56" i="28"/>
  <c r="A55" i="28"/>
  <c r="A53" i="28"/>
  <c r="A68" i="28"/>
  <c r="A64" i="28"/>
  <c r="A60" i="28"/>
  <c r="B52" i="28"/>
  <c r="A69" i="28"/>
  <c r="A61" i="28"/>
  <c r="A54" i="28"/>
  <c r="A65" i="28"/>
  <c r="E54" i="29"/>
  <c r="A68" i="21"/>
  <c r="A64" i="21"/>
  <c r="A60" i="21"/>
  <c r="B52" i="21"/>
  <c r="A59" i="21"/>
  <c r="A52" i="21"/>
  <c r="A67" i="21"/>
  <c r="A63" i="21"/>
  <c r="A58" i="21"/>
  <c r="A71" i="21"/>
  <c r="A57" i="21"/>
  <c r="A70" i="21"/>
  <c r="A66" i="21"/>
  <c r="A62" i="21"/>
  <c r="A56" i="21"/>
  <c r="A55" i="21"/>
  <c r="A69" i="21"/>
  <c r="A65" i="21"/>
  <c r="A61" i="21"/>
  <c r="A54" i="21"/>
  <c r="A53" i="21"/>
  <c r="A45" i="27"/>
  <c r="A39" i="27"/>
  <c r="BN13" i="27"/>
  <c r="A12" i="27"/>
  <c r="A49" i="27"/>
  <c r="A43" i="27"/>
  <c r="BN13" i="23"/>
  <c r="A12" i="23"/>
  <c r="A41" i="26"/>
  <c r="A37" i="27"/>
  <c r="A47" i="27"/>
  <c r="A36" i="27"/>
  <c r="A42" i="27"/>
  <c r="BN13" i="22"/>
  <c r="A12" i="22"/>
  <c r="E54" i="24"/>
  <c r="D6" i="37"/>
  <c r="A46" i="27"/>
  <c r="A40" i="26"/>
  <c r="A12" i="26"/>
  <c r="BN13" i="26"/>
  <c r="BN13" i="20"/>
  <c r="A12" i="20"/>
  <c r="Z128" i="23"/>
  <c r="AA129" i="23"/>
  <c r="AA41" i="20"/>
  <c r="AR155" i="23"/>
  <c r="AR154" i="23" s="1"/>
  <c r="AO116" i="14"/>
  <c r="AO117" i="14"/>
  <c r="AO138" i="14"/>
  <c r="AO137" i="14"/>
  <c r="BJ144" i="22"/>
  <c r="Z104" i="20"/>
  <c r="AQ123" i="24"/>
  <c r="AA123" i="24" s="1"/>
  <c r="AA134" i="24" s="1"/>
  <c r="AO75" i="14"/>
  <c r="AO74" i="14"/>
  <c r="AO96" i="14"/>
  <c r="AO95" i="14"/>
  <c r="Z126" i="22"/>
  <c r="Z69" i="22"/>
  <c r="AA105" i="24"/>
  <c r="AA86" i="20"/>
  <c r="AA43" i="29"/>
  <c r="AQ18" i="22"/>
  <c r="AA18" i="22" s="1"/>
  <c r="AA29" i="22" s="1"/>
  <c r="AA148" i="27"/>
  <c r="Z44" i="21"/>
  <c r="K55" i="7"/>
  <c r="Q17" i="27"/>
  <c r="Q38" i="28"/>
  <c r="BV25" i="28"/>
  <c r="S19" i="28"/>
  <c r="S20" i="28" s="1"/>
  <c r="O22" i="28"/>
  <c r="S23" i="14"/>
  <c r="S24" i="14"/>
  <c r="BQ83" i="29"/>
  <c r="BQ84" i="29"/>
  <c r="BQ82" i="29"/>
  <c r="BQ126" i="21"/>
  <c r="BQ125" i="21"/>
  <c r="BQ124" i="21"/>
  <c r="BQ62" i="25"/>
  <c r="BQ63" i="25"/>
  <c r="BQ61" i="25"/>
  <c r="BQ125" i="24"/>
  <c r="BQ124" i="24"/>
  <c r="BQ126" i="24"/>
  <c r="BQ84" i="21"/>
  <c r="BQ83" i="21"/>
  <c r="BQ82" i="21"/>
  <c r="BQ61" i="20"/>
  <c r="BQ62" i="20"/>
  <c r="BQ63" i="20"/>
  <c r="BQ82" i="26"/>
  <c r="BQ84" i="26"/>
  <c r="BQ83" i="26"/>
  <c r="BQ63" i="26"/>
  <c r="BQ62" i="26"/>
  <c r="BQ61" i="26"/>
  <c r="BQ126" i="29"/>
  <c r="BQ125" i="29"/>
  <c r="BQ124" i="29"/>
  <c r="BQ146" i="27"/>
  <c r="BQ145" i="27"/>
  <c r="BQ147" i="27"/>
  <c r="BQ83" i="24"/>
  <c r="BQ82" i="24"/>
  <c r="BQ84" i="24"/>
  <c r="BQ105" i="24"/>
  <c r="BQ103" i="24"/>
  <c r="BQ104" i="24"/>
  <c r="BQ61" i="28"/>
  <c r="BQ63" i="28"/>
  <c r="BQ62" i="28"/>
  <c r="BQ105" i="23"/>
  <c r="BQ104" i="23"/>
  <c r="BQ103" i="23"/>
  <c r="BQ84" i="28"/>
  <c r="BQ83" i="28"/>
  <c r="BQ82" i="28"/>
  <c r="BQ61" i="21"/>
  <c r="BQ62" i="21"/>
  <c r="BQ63" i="21"/>
  <c r="BQ146" i="26"/>
  <c r="BQ145" i="26"/>
  <c r="BQ147" i="26"/>
  <c r="BQ147" i="23"/>
  <c r="BQ145" i="23"/>
  <c r="BQ146" i="23"/>
  <c r="BQ104" i="27"/>
  <c r="BQ103" i="27"/>
  <c r="BQ105" i="27"/>
  <c r="BQ126" i="28"/>
  <c r="BQ124" i="28"/>
  <c r="BQ125" i="28"/>
  <c r="BQ125" i="22"/>
  <c r="BQ126" i="22"/>
  <c r="BQ124" i="22"/>
  <c r="BQ104" i="26"/>
  <c r="BQ105" i="26"/>
  <c r="BQ103" i="26"/>
  <c r="BQ146" i="25"/>
  <c r="BQ147" i="25"/>
  <c r="BQ145" i="25"/>
  <c r="BQ103" i="20"/>
  <c r="BQ104" i="20"/>
  <c r="BQ105" i="20"/>
  <c r="BQ103" i="29"/>
  <c r="BQ104" i="29"/>
  <c r="BQ105" i="29"/>
  <c r="BQ104" i="28"/>
  <c r="BQ103" i="28"/>
  <c r="BQ105" i="28"/>
  <c r="BQ145" i="28"/>
  <c r="BQ146" i="28"/>
  <c r="BQ147" i="28"/>
  <c r="H140" i="14"/>
  <c r="BP144" i="14" s="1"/>
  <c r="BQ145" i="29"/>
  <c r="BQ146" i="29"/>
  <c r="BQ147" i="29"/>
  <c r="BQ125" i="23"/>
  <c r="BQ124" i="23"/>
  <c r="BQ126" i="23"/>
  <c r="BQ84" i="27"/>
  <c r="BQ82" i="27"/>
  <c r="BQ83" i="27"/>
  <c r="BQ103" i="22"/>
  <c r="BQ105" i="22"/>
  <c r="BQ104" i="22"/>
  <c r="BQ126" i="20"/>
  <c r="BQ124" i="20"/>
  <c r="BQ125" i="20"/>
  <c r="BQ124" i="25"/>
  <c r="BQ125" i="25"/>
  <c r="BQ126" i="25"/>
  <c r="BQ124" i="26"/>
  <c r="BQ126" i="26"/>
  <c r="BQ125" i="26"/>
  <c r="BQ61" i="29"/>
  <c r="BQ63" i="29"/>
  <c r="BQ62" i="29"/>
  <c r="BQ147" i="24"/>
  <c r="BQ145" i="24"/>
  <c r="BQ146" i="24"/>
  <c r="BQ84" i="20"/>
  <c r="BQ82" i="20"/>
  <c r="BQ83" i="20"/>
  <c r="BQ82" i="25"/>
  <c r="BQ83" i="25"/>
  <c r="BQ84" i="25"/>
  <c r="BQ145" i="22"/>
  <c r="BQ147" i="22"/>
  <c r="BQ146" i="22"/>
  <c r="BQ145" i="21"/>
  <c r="BQ146" i="21"/>
  <c r="BQ147" i="21"/>
  <c r="BQ41" i="14"/>
  <c r="BQ42" i="14"/>
  <c r="BQ40" i="14"/>
  <c r="H56" i="14"/>
  <c r="BP60" i="14" s="1"/>
  <c r="H77" i="14"/>
  <c r="BP81" i="14" s="1"/>
  <c r="BQ63" i="23"/>
  <c r="BQ61" i="23"/>
  <c r="BQ62" i="23"/>
  <c r="BQ105" i="25"/>
  <c r="BQ104" i="25"/>
  <c r="BQ103" i="25"/>
  <c r="BQ126" i="27"/>
  <c r="BQ125" i="27"/>
  <c r="BQ124" i="27"/>
  <c r="BQ63" i="24"/>
  <c r="BQ61" i="24"/>
  <c r="BQ62" i="24"/>
  <c r="BQ61" i="22"/>
  <c r="BQ63" i="22"/>
  <c r="BQ62" i="22"/>
  <c r="H98" i="14"/>
  <c r="BP102" i="14" s="1"/>
  <c r="BQ62" i="27"/>
  <c r="BQ61" i="27"/>
  <c r="BQ63" i="27"/>
  <c r="BQ83" i="22"/>
  <c r="BQ84" i="22"/>
  <c r="BQ82" i="22"/>
  <c r="H119" i="14"/>
  <c r="BP123" i="14" s="1"/>
  <c r="C104" i="14"/>
  <c r="AV144" i="24"/>
  <c r="AV81" i="20"/>
  <c r="BJ18" i="22"/>
  <c r="AV123" i="28"/>
  <c r="AV144" i="21"/>
  <c r="BJ81" i="29"/>
  <c r="BJ18" i="27"/>
  <c r="BK18" i="27" s="1"/>
  <c r="AV18" i="25"/>
  <c r="AV60" i="23"/>
  <c r="BJ18" i="23"/>
  <c r="BJ60" i="23"/>
  <c r="AV102" i="24"/>
  <c r="AV60" i="21"/>
  <c r="AV81" i="29"/>
  <c r="E80" i="21"/>
  <c r="AR70" i="25"/>
  <c r="E101" i="26"/>
  <c r="G101" i="26" s="1"/>
  <c r="G102" i="26" s="1"/>
  <c r="G103" i="26" s="1"/>
  <c r="BJ102" i="28"/>
  <c r="BJ39" i="29"/>
  <c r="AV123" i="24"/>
  <c r="AV39" i="21"/>
  <c r="AV60" i="28"/>
  <c r="BJ39" i="22"/>
  <c r="BJ39" i="23"/>
  <c r="BD102" i="14"/>
  <c r="AV144" i="25"/>
  <c r="AR28" i="23"/>
  <c r="AS28" i="23" s="1"/>
  <c r="AV123" i="23"/>
  <c r="AV81" i="21"/>
  <c r="BI123" i="14"/>
  <c r="BF144" i="14"/>
  <c r="BJ81" i="21"/>
  <c r="BJ144" i="26"/>
  <c r="AV18" i="22"/>
  <c r="BE81" i="14"/>
  <c r="E122" i="20"/>
  <c r="BJ144" i="28"/>
  <c r="AV18" i="23"/>
  <c r="AV144" i="23"/>
  <c r="BZ40" i="27"/>
  <c r="BV39" i="27" s="1"/>
  <c r="B44" i="27" s="1"/>
  <c r="E80" i="27"/>
  <c r="BJ60" i="25"/>
  <c r="BJ39" i="20"/>
  <c r="BK39" i="20" s="1"/>
  <c r="AV102" i="21"/>
  <c r="BJ123" i="28"/>
  <c r="AQ81" i="23"/>
  <c r="AQ92" i="23" s="1"/>
  <c r="AA103" i="29"/>
  <c r="Z62" i="25"/>
  <c r="BZ103" i="26"/>
  <c r="BV102" i="26" s="1"/>
  <c r="B107" i="26" s="1"/>
  <c r="Z25" i="21"/>
  <c r="Z23" i="21"/>
  <c r="Z146" i="20"/>
  <c r="Z24" i="21"/>
  <c r="Z132" i="24"/>
  <c r="Z24" i="24"/>
  <c r="AA62" i="26"/>
  <c r="Z88" i="21"/>
  <c r="Z41" i="28"/>
  <c r="G12" i="7"/>
  <c r="F5" i="18" s="1"/>
  <c r="G5" i="18" s="1"/>
  <c r="E12" i="23"/>
  <c r="AA82" i="20"/>
  <c r="Z47" i="22"/>
  <c r="AA109" i="29"/>
  <c r="AA41" i="22"/>
  <c r="E38" i="27"/>
  <c r="AA19" i="25"/>
  <c r="Z153" i="23"/>
  <c r="Z89" i="25"/>
  <c r="AA27" i="26"/>
  <c r="Z65" i="21"/>
  <c r="AA111" i="29"/>
  <c r="Z48" i="25"/>
  <c r="Z107" i="27"/>
  <c r="Z109" i="26"/>
  <c r="Z61" i="29"/>
  <c r="K75" i="7"/>
  <c r="AQ39" i="29"/>
  <c r="AA39" i="29" s="1"/>
  <c r="AA50" i="29" s="1"/>
  <c r="AA110" i="28"/>
  <c r="Z62" i="27"/>
  <c r="AA110" i="20"/>
  <c r="AA24" i="20"/>
  <c r="Z82" i="22"/>
  <c r="AA41" i="23"/>
  <c r="Z41" i="29"/>
  <c r="Z44" i="20"/>
  <c r="Z64" i="25"/>
  <c r="Z25" i="25"/>
  <c r="Z63" i="21"/>
  <c r="Z108" i="27"/>
  <c r="AA22" i="26"/>
  <c r="AA125" i="23"/>
  <c r="AR155" i="25"/>
  <c r="AR154" i="25" s="1"/>
  <c r="Z126" i="25"/>
  <c r="Z47" i="25"/>
  <c r="AV81" i="25"/>
  <c r="E12" i="24"/>
  <c r="AA151" i="20"/>
  <c r="Z61" i="22"/>
  <c r="AA129" i="24"/>
  <c r="Z67" i="26"/>
  <c r="Z111" i="22"/>
  <c r="Z123" i="27"/>
  <c r="Z134" i="27" s="1"/>
  <c r="DC143" i="14"/>
  <c r="CZ141" i="14" s="1"/>
  <c r="O138" i="14" s="1"/>
  <c r="AO113" i="14"/>
  <c r="DC101" i="14"/>
  <c r="CZ99" i="14" s="1"/>
  <c r="O96" i="14" s="1"/>
  <c r="AB81" i="14"/>
  <c r="AB92" i="14" s="1"/>
  <c r="DC80" i="14"/>
  <c r="CZ78" i="14" s="1"/>
  <c r="O75" i="14" s="1"/>
  <c r="AO134" i="14"/>
  <c r="DC122" i="14"/>
  <c r="CZ120" i="14" s="1"/>
  <c r="O117" i="14" s="1"/>
  <c r="BZ82" i="21"/>
  <c r="BV81" i="21" s="1"/>
  <c r="B86" i="21" s="1"/>
  <c r="AA46" i="20"/>
  <c r="Z40" i="22"/>
  <c r="AQ60" i="26"/>
  <c r="Z60" i="26" s="1"/>
  <c r="Z71" i="26" s="1"/>
  <c r="Z150" i="28"/>
  <c r="Z132" i="22"/>
  <c r="Z106" i="27"/>
  <c r="AA46" i="26"/>
  <c r="Z84" i="25"/>
  <c r="AA63" i="28"/>
  <c r="Z44" i="28"/>
  <c r="Z130" i="21"/>
  <c r="Z88" i="24"/>
  <c r="AA23" i="28"/>
  <c r="Z47" i="26"/>
  <c r="Z83" i="24"/>
  <c r="AA22" i="25"/>
  <c r="Z24" i="28"/>
  <c r="AA68" i="29"/>
  <c r="Z21" i="27"/>
  <c r="Z105" i="22"/>
  <c r="Z27" i="22"/>
  <c r="Z83" i="21"/>
  <c r="Z84" i="28"/>
  <c r="Z90" i="28"/>
  <c r="AA107" i="24"/>
  <c r="Z65" i="25"/>
  <c r="AA146" i="26"/>
  <c r="AA153" i="27"/>
  <c r="Z148" i="28"/>
  <c r="AA104" i="29"/>
  <c r="AA109" i="20"/>
  <c r="Z146" i="21"/>
  <c r="Z48" i="23"/>
  <c r="Z145" i="25"/>
  <c r="Z20" i="26"/>
  <c r="AA46" i="28"/>
  <c r="AR49" i="25"/>
  <c r="Z89" i="20"/>
  <c r="Z40" i="20"/>
  <c r="AQ39" i="25"/>
  <c r="Z39" i="25" s="1"/>
  <c r="Z50" i="25" s="1"/>
  <c r="AA150" i="27"/>
  <c r="AQ102" i="29"/>
  <c r="AQ113" i="29" s="1"/>
  <c r="Z105" i="28"/>
  <c r="AA150" i="20"/>
  <c r="AA149" i="26"/>
  <c r="Z104" i="23"/>
  <c r="Z83" i="26"/>
  <c r="Z130" i="29"/>
  <c r="AA43" i="21"/>
  <c r="AA85" i="27"/>
  <c r="AR50" i="23"/>
  <c r="Z44" i="27"/>
  <c r="AA45" i="29"/>
  <c r="Z106" i="24"/>
  <c r="AA81" i="27"/>
  <c r="AA92" i="27" s="1"/>
  <c r="Z111" i="24"/>
  <c r="AA62" i="21"/>
  <c r="Z103" i="26"/>
  <c r="AQ18" i="26"/>
  <c r="Z18" i="26" s="1"/>
  <c r="Z29" i="26" s="1"/>
  <c r="AQ134" i="27"/>
  <c r="AQ92" i="27"/>
  <c r="Z48" i="22"/>
  <c r="Z104" i="25"/>
  <c r="AA110" i="23"/>
  <c r="Z126" i="27"/>
  <c r="AA152" i="25"/>
  <c r="AA85" i="20"/>
  <c r="Z127" i="22"/>
  <c r="AR155" i="26"/>
  <c r="AA146" i="27"/>
  <c r="Z130" i="27"/>
  <c r="AA48" i="29"/>
  <c r="Z82" i="24"/>
  <c r="Z66" i="25"/>
  <c r="AA151" i="27"/>
  <c r="AR134" i="27"/>
  <c r="AR92" i="27"/>
  <c r="AQ60" i="28"/>
  <c r="AQ71" i="28" s="1"/>
  <c r="Z19" i="21"/>
  <c r="AQ102" i="22"/>
  <c r="AA102" i="22" s="1"/>
  <c r="AA113" i="22" s="1"/>
  <c r="Z153" i="29"/>
  <c r="Z103" i="20"/>
  <c r="Z128" i="21"/>
  <c r="AA104" i="22"/>
  <c r="Z20" i="25"/>
  <c r="Z67" i="24"/>
  <c r="AA108" i="24"/>
  <c r="Z150" i="21"/>
  <c r="AA106" i="25"/>
  <c r="Z131" i="21"/>
  <c r="AA88" i="22"/>
  <c r="AA126" i="29"/>
  <c r="Z84" i="20"/>
  <c r="AR92" i="20"/>
  <c r="Z66" i="21"/>
  <c r="AA109" i="22"/>
  <c r="Z126" i="24"/>
  <c r="AA27" i="25"/>
  <c r="Z48" i="26"/>
  <c r="Z146" i="29"/>
  <c r="Z105" i="20"/>
  <c r="Z47" i="23"/>
  <c r="AA44" i="24"/>
  <c r="Z65" i="26"/>
  <c r="Z131" i="29"/>
  <c r="Z85" i="24"/>
  <c r="AA43" i="24"/>
  <c r="AA149" i="20"/>
  <c r="Z132" i="26"/>
  <c r="AA111" i="21"/>
  <c r="AQ60" i="25"/>
  <c r="Z60" i="25" s="1"/>
  <c r="Z71" i="25" s="1"/>
  <c r="AA145" i="29"/>
  <c r="AA87" i="24"/>
  <c r="Z45" i="27"/>
  <c r="Z107" i="28"/>
  <c r="Z24" i="27"/>
  <c r="Z42" i="27"/>
  <c r="Z40" i="26"/>
  <c r="Z127" i="21"/>
  <c r="AA27" i="21"/>
  <c r="Z110" i="22"/>
  <c r="Z86" i="24"/>
  <c r="AA26" i="26"/>
  <c r="Z66" i="27"/>
  <c r="Z149" i="22"/>
  <c r="AQ81" i="22"/>
  <c r="AA81" i="22" s="1"/>
  <c r="AA92" i="22" s="1"/>
  <c r="AA85" i="25"/>
  <c r="Z108" i="20"/>
  <c r="Z46" i="24"/>
  <c r="Z150" i="25"/>
  <c r="Z132" i="20"/>
  <c r="AA69" i="26"/>
  <c r="Z65" i="27"/>
  <c r="AA47" i="21"/>
  <c r="Z26" i="28"/>
  <c r="Z104" i="27"/>
  <c r="AA26" i="22"/>
  <c r="Z132" i="25"/>
  <c r="AQ123" i="23"/>
  <c r="Z131" i="20"/>
  <c r="Z145" i="24"/>
  <c r="Z66" i="26"/>
  <c r="Z111" i="28"/>
  <c r="AA88" i="26"/>
  <c r="Z125" i="22"/>
  <c r="Z87" i="25"/>
  <c r="E12" i="27"/>
  <c r="E12" i="20"/>
  <c r="E12" i="22"/>
  <c r="X41" i="24"/>
  <c r="AA125" i="20"/>
  <c r="Z61" i="27"/>
  <c r="Z46" i="27"/>
  <c r="AA42" i="25"/>
  <c r="Z151" i="26"/>
  <c r="AA148" i="26"/>
  <c r="Z151" i="29"/>
  <c r="X125" i="24"/>
  <c r="Z127" i="26"/>
  <c r="AP35" i="24"/>
  <c r="Z105" i="21"/>
  <c r="Z22" i="21"/>
  <c r="AA26" i="20"/>
  <c r="Z108" i="28"/>
  <c r="Z149" i="21"/>
  <c r="AQ60" i="20"/>
  <c r="AQ71" i="20" s="1"/>
  <c r="Z63" i="20"/>
  <c r="Z149" i="24"/>
  <c r="Z124" i="25"/>
  <c r="Z146" i="28"/>
  <c r="Z43" i="28"/>
  <c r="Z111" i="25"/>
  <c r="Z153" i="26"/>
  <c r="AA63" i="27"/>
  <c r="AA67" i="27"/>
  <c r="AQ18" i="20"/>
  <c r="AA18" i="20" s="1"/>
  <c r="AA29" i="20" s="1"/>
  <c r="AR50" i="22"/>
  <c r="Z110" i="24"/>
  <c r="BZ82" i="27"/>
  <c r="BV81" i="27" s="1"/>
  <c r="B86" i="27" s="1"/>
  <c r="AA108" i="25"/>
  <c r="AA46" i="23"/>
  <c r="Z108" i="23"/>
  <c r="Z83" i="28"/>
  <c r="Z84" i="23"/>
  <c r="AA129" i="27"/>
  <c r="AA111" i="20"/>
  <c r="Z132" i="23"/>
  <c r="AA105" i="23"/>
  <c r="Z89" i="23"/>
  <c r="AA41" i="26"/>
  <c r="AR50" i="26"/>
  <c r="Z90" i="29"/>
  <c r="AP14" i="23"/>
  <c r="AA130" i="28"/>
  <c r="Z90" i="25"/>
  <c r="AA45" i="22"/>
  <c r="AQ18" i="23"/>
  <c r="AQ29" i="23" s="1"/>
  <c r="Z68" i="28"/>
  <c r="AP56" i="23"/>
  <c r="E59" i="23"/>
  <c r="Z128" i="25"/>
  <c r="Z124" i="27"/>
  <c r="BZ61" i="23"/>
  <c r="BV60" i="23" s="1"/>
  <c r="B65" i="23" s="1"/>
  <c r="E122" i="26"/>
  <c r="Z90" i="26"/>
  <c r="AA149" i="27"/>
  <c r="Z40" i="27"/>
  <c r="E38" i="28"/>
  <c r="Z110" i="29"/>
  <c r="Z127" i="24"/>
  <c r="BZ124" i="26"/>
  <c r="BV123" i="26" s="1"/>
  <c r="B128" i="26" s="1"/>
  <c r="BZ40" i="28"/>
  <c r="BV39" i="28" s="1"/>
  <c r="B44" i="28" s="1"/>
  <c r="Z88" i="27"/>
  <c r="Z20" i="27"/>
  <c r="Z26" i="21"/>
  <c r="Z103" i="23"/>
  <c r="Z129" i="25"/>
  <c r="Z22" i="28"/>
  <c r="Z148" i="25"/>
  <c r="Z23" i="24"/>
  <c r="C62" i="21"/>
  <c r="E58" i="21" s="1"/>
  <c r="G58" i="21" s="1"/>
  <c r="C104" i="21"/>
  <c r="C104" i="22"/>
  <c r="C62" i="24"/>
  <c r="C20" i="26"/>
  <c r="C20" i="28"/>
  <c r="C104" i="20"/>
  <c r="C125" i="21"/>
  <c r="C62" i="23"/>
  <c r="C146" i="24"/>
  <c r="C125" i="25"/>
  <c r="C20" i="25"/>
  <c r="E16" i="25" s="1"/>
  <c r="G16" i="25" s="1"/>
  <c r="C83" i="26"/>
  <c r="C146" i="27"/>
  <c r="C41" i="28"/>
  <c r="E37" i="28" s="1"/>
  <c r="G37" i="28" s="1"/>
  <c r="C146" i="28"/>
  <c r="C20" i="20"/>
  <c r="C125" i="20"/>
  <c r="C83" i="21"/>
  <c r="C146" i="21"/>
  <c r="C83" i="23"/>
  <c r="C146" i="25"/>
  <c r="C104" i="27"/>
  <c r="C104" i="29"/>
  <c r="C62" i="20"/>
  <c r="C146" i="22"/>
  <c r="C20" i="24"/>
  <c r="C62" i="25"/>
  <c r="C125" i="27"/>
  <c r="E12" i="28"/>
  <c r="C104" i="28"/>
  <c r="C41" i="20"/>
  <c r="C146" i="20"/>
  <c r="C125" i="22"/>
  <c r="C20" i="23"/>
  <c r="C125" i="23"/>
  <c r="C41" i="24"/>
  <c r="E37" i="24" s="1"/>
  <c r="G37" i="24" s="1"/>
  <c r="C83" i="24"/>
  <c r="C104" i="26"/>
  <c r="C83" i="29"/>
  <c r="C146" i="29"/>
  <c r="C20" i="21"/>
  <c r="C20" i="22"/>
  <c r="C41" i="22"/>
  <c r="E37" i="22" s="1"/>
  <c r="G37" i="22" s="1"/>
  <c r="C104" i="23"/>
  <c r="C41" i="25"/>
  <c r="E37" i="25" s="1"/>
  <c r="G37" i="25" s="1"/>
  <c r="C146" i="26"/>
  <c r="C41" i="27"/>
  <c r="C83" i="28"/>
  <c r="C125" i="29"/>
  <c r="C41" i="21"/>
  <c r="E37" i="21" s="1"/>
  <c r="G37" i="21" s="1"/>
  <c r="C62" i="22"/>
  <c r="C146" i="23"/>
  <c r="C104" i="24"/>
  <c r="C83" i="25"/>
  <c r="C62" i="26"/>
  <c r="E58" i="26" s="1"/>
  <c r="G58" i="26" s="1"/>
  <c r="C62" i="27"/>
  <c r="C41" i="29"/>
  <c r="E37" i="29" s="1"/>
  <c r="G37" i="29" s="1"/>
  <c r="C83" i="20"/>
  <c r="C83" i="22"/>
  <c r="C125" i="24"/>
  <c r="C104" i="25"/>
  <c r="C125" i="26"/>
  <c r="C41" i="26"/>
  <c r="E37" i="26" s="1"/>
  <c r="G37" i="26" s="1"/>
  <c r="C83" i="27"/>
  <c r="C62" i="28"/>
  <c r="E58" i="28" s="1"/>
  <c r="G58" i="28" s="1"/>
  <c r="C125" i="28"/>
  <c r="C62" i="29"/>
  <c r="F60" i="18"/>
  <c r="G60" i="18" s="1"/>
  <c r="F59" i="18"/>
  <c r="G59" i="18" s="1"/>
  <c r="F58" i="18"/>
  <c r="G58" i="18" s="1"/>
  <c r="F61" i="18"/>
  <c r="G61" i="18" s="1"/>
  <c r="F57" i="18"/>
  <c r="G57" i="18" s="1"/>
  <c r="F63" i="18"/>
  <c r="G63" i="18" s="1"/>
  <c r="F62" i="18"/>
  <c r="G62" i="18" s="1"/>
  <c r="F35" i="18"/>
  <c r="G35" i="18" s="1"/>
  <c r="F34" i="18"/>
  <c r="G34" i="18" s="1"/>
  <c r="F33" i="18"/>
  <c r="G33" i="18" s="1"/>
  <c r="F32" i="18"/>
  <c r="G32" i="18" s="1"/>
  <c r="F29" i="18"/>
  <c r="G29" i="18" s="1"/>
  <c r="F31" i="18"/>
  <c r="G31" i="18" s="1"/>
  <c r="F30" i="18"/>
  <c r="G30" i="18" s="1"/>
  <c r="F84" i="18"/>
  <c r="G84" i="18" s="1"/>
  <c r="F83" i="18"/>
  <c r="G83" i="18" s="1"/>
  <c r="F82" i="18"/>
  <c r="G82" i="18" s="1"/>
  <c r="F81" i="18"/>
  <c r="G81" i="18" s="1"/>
  <c r="F80" i="18"/>
  <c r="G80" i="18" s="1"/>
  <c r="F79" i="18"/>
  <c r="G79" i="18" s="1"/>
  <c r="F78" i="18"/>
  <c r="G78" i="18" s="1"/>
  <c r="F28" i="18"/>
  <c r="G28" i="18" s="1"/>
  <c r="F27" i="18"/>
  <c r="G27" i="18" s="1"/>
  <c r="F26" i="18"/>
  <c r="G26" i="18" s="1"/>
  <c r="F25" i="18"/>
  <c r="G25" i="18" s="1"/>
  <c r="F24" i="18"/>
  <c r="G24" i="18" s="1"/>
  <c r="F23" i="18"/>
  <c r="G23" i="18" s="1"/>
  <c r="F22" i="18"/>
  <c r="G22" i="18" s="1"/>
  <c r="F52" i="18"/>
  <c r="G52" i="18" s="1"/>
  <c r="F51" i="18"/>
  <c r="G51" i="18" s="1"/>
  <c r="F50" i="18"/>
  <c r="G50" i="18" s="1"/>
  <c r="F56" i="18"/>
  <c r="G56" i="18" s="1"/>
  <c r="F53" i="18"/>
  <c r="G53" i="18" s="1"/>
  <c r="F55" i="18"/>
  <c r="G55" i="18" s="1"/>
  <c r="F54" i="18"/>
  <c r="G54" i="18" s="1"/>
  <c r="F36" i="18"/>
  <c r="G36" i="18" s="1"/>
  <c r="F42" i="18"/>
  <c r="G42" i="18" s="1"/>
  <c r="F41" i="18"/>
  <c r="G41" i="18" s="1"/>
  <c r="F37" i="18"/>
  <c r="G37" i="18" s="1"/>
  <c r="F40" i="18"/>
  <c r="G40" i="18" s="1"/>
  <c r="F39" i="18"/>
  <c r="G39" i="18" s="1"/>
  <c r="F38" i="18"/>
  <c r="G38" i="18" s="1"/>
  <c r="F44" i="18"/>
  <c r="G44" i="18" s="1"/>
  <c r="F43" i="18"/>
  <c r="G43" i="18" s="1"/>
  <c r="F49" i="18"/>
  <c r="G49" i="18" s="1"/>
  <c r="F48" i="18"/>
  <c r="G48" i="18" s="1"/>
  <c r="F47" i="18"/>
  <c r="G47" i="18" s="1"/>
  <c r="F45" i="18"/>
  <c r="G45" i="18" s="1"/>
  <c r="F46" i="18"/>
  <c r="G46" i="18" s="1"/>
  <c r="F76" i="18"/>
  <c r="G76" i="18" s="1"/>
  <c r="F77" i="18"/>
  <c r="G77" i="18" s="1"/>
  <c r="F75" i="18"/>
  <c r="G75" i="18" s="1"/>
  <c r="F74" i="18"/>
  <c r="G74" i="18" s="1"/>
  <c r="F73" i="18"/>
  <c r="G73" i="18" s="1"/>
  <c r="F72" i="18"/>
  <c r="G72" i="18" s="1"/>
  <c r="F71" i="18"/>
  <c r="G71" i="18" s="1"/>
  <c r="F68" i="18"/>
  <c r="G68" i="18" s="1"/>
  <c r="F67" i="18"/>
  <c r="G67" i="18" s="1"/>
  <c r="F69" i="18"/>
  <c r="G69" i="18" s="1"/>
  <c r="F66" i="18"/>
  <c r="G66" i="18" s="1"/>
  <c r="F65" i="18"/>
  <c r="G65" i="18" s="1"/>
  <c r="F64" i="18"/>
  <c r="G64" i="18" s="1"/>
  <c r="F70" i="18"/>
  <c r="G70" i="18" s="1"/>
  <c r="F20" i="18"/>
  <c r="G20" i="18" s="1"/>
  <c r="F19" i="18"/>
  <c r="G19" i="18" s="1"/>
  <c r="F21" i="18"/>
  <c r="G21" i="18" s="1"/>
  <c r="F18" i="18"/>
  <c r="G18" i="18" s="1"/>
  <c r="F17" i="18"/>
  <c r="G17" i="18" s="1"/>
  <c r="F16" i="18"/>
  <c r="G16" i="18" s="1"/>
  <c r="F15" i="18"/>
  <c r="G15" i="18" s="1"/>
  <c r="AP14" i="29"/>
  <c r="E12" i="29"/>
  <c r="E12" i="21"/>
  <c r="E12" i="26"/>
  <c r="E37" i="23"/>
  <c r="G37" i="23" s="1"/>
  <c r="E37" i="20"/>
  <c r="G37" i="20" s="1"/>
  <c r="E79" i="21"/>
  <c r="G79" i="21" s="1"/>
  <c r="X104" i="25"/>
  <c r="AP140" i="24"/>
  <c r="K34" i="14"/>
  <c r="K13" i="29"/>
  <c r="Z124" i="20"/>
  <c r="Z41" i="21"/>
  <c r="Z67" i="21"/>
  <c r="Z21" i="21"/>
  <c r="AR155" i="22"/>
  <c r="Z42" i="26"/>
  <c r="Z43" i="27"/>
  <c r="AA63" i="29"/>
  <c r="AA44" i="29"/>
  <c r="X20" i="23"/>
  <c r="AA86" i="25"/>
  <c r="E101" i="27"/>
  <c r="AA125" i="28"/>
  <c r="AA40" i="28"/>
  <c r="AA150" i="26"/>
  <c r="Z25" i="22"/>
  <c r="AA25" i="22"/>
  <c r="Z40" i="21"/>
  <c r="AP56" i="22"/>
  <c r="Z86" i="27"/>
  <c r="BZ103" i="27"/>
  <c r="BV102" i="27" s="1"/>
  <c r="B107" i="27" s="1"/>
  <c r="AQ144" i="28"/>
  <c r="Z144" i="28" s="1"/>
  <c r="Z155" i="28" s="1"/>
  <c r="Z46" i="29"/>
  <c r="Z26" i="24"/>
  <c r="AA124" i="29"/>
  <c r="AR155" i="20"/>
  <c r="Z124" i="22"/>
  <c r="AA107" i="25"/>
  <c r="Z125" i="26"/>
  <c r="AR91" i="29"/>
  <c r="Z145" i="20"/>
  <c r="Z148" i="24"/>
  <c r="Z103" i="28"/>
  <c r="AR155" i="29"/>
  <c r="Z86" i="21"/>
  <c r="AQ81" i="29"/>
  <c r="AA81" i="29" s="1"/>
  <c r="AA92" i="29" s="1"/>
  <c r="Z45" i="21"/>
  <c r="AQ144" i="24"/>
  <c r="Z144" i="24" s="1"/>
  <c r="Z155" i="24" s="1"/>
  <c r="Z26" i="27"/>
  <c r="BJ123" i="26"/>
  <c r="BJ18" i="25"/>
  <c r="AA130" i="22"/>
  <c r="Z110" i="26"/>
  <c r="AA41" i="27"/>
  <c r="Z150" i="24"/>
  <c r="AR133" i="23"/>
  <c r="Z151" i="21"/>
  <c r="Z85" i="21"/>
  <c r="E38" i="21"/>
  <c r="AP35" i="25"/>
  <c r="Z64" i="26"/>
  <c r="AQ102" i="28"/>
  <c r="Z102" i="28" s="1"/>
  <c r="Z113" i="28" s="1"/>
  <c r="AA108" i="29"/>
  <c r="Z108" i="29"/>
  <c r="BJ144" i="24"/>
  <c r="AQ102" i="24"/>
  <c r="AR113" i="24"/>
  <c r="Z69" i="21"/>
  <c r="BZ40" i="21"/>
  <c r="BV39" i="21" s="1"/>
  <c r="B44" i="21" s="1"/>
  <c r="Z90" i="23"/>
  <c r="Z67" i="25"/>
  <c r="Z131" i="26"/>
  <c r="AA82" i="28"/>
  <c r="AA103" i="27"/>
  <c r="Z87" i="21"/>
  <c r="AA87" i="21"/>
  <c r="Z82" i="25"/>
  <c r="Z86" i="26"/>
  <c r="Z132" i="28"/>
  <c r="AA87" i="26"/>
  <c r="AA110" i="21"/>
  <c r="Z110" i="21"/>
  <c r="Z107" i="23"/>
  <c r="X62" i="29"/>
  <c r="AB103" i="14"/>
  <c r="AP140" i="29"/>
  <c r="AP119" i="29"/>
  <c r="X104" i="26"/>
  <c r="AB129" i="14"/>
  <c r="K33" i="14"/>
  <c r="K54" i="14" s="1"/>
  <c r="K12" i="29"/>
  <c r="K12" i="28" s="1"/>
  <c r="AR49" i="20"/>
  <c r="Z45" i="20"/>
  <c r="BK18" i="20"/>
  <c r="AR133" i="20"/>
  <c r="AR28" i="20"/>
  <c r="Z90" i="20"/>
  <c r="BJ81" i="20"/>
  <c r="Z87" i="20"/>
  <c r="AA87" i="20"/>
  <c r="X125" i="20"/>
  <c r="X146" i="20"/>
  <c r="BJ102" i="20"/>
  <c r="AV18" i="20"/>
  <c r="BJ123" i="20"/>
  <c r="Z148" i="20"/>
  <c r="AA148" i="20"/>
  <c r="AV39" i="20"/>
  <c r="AV144" i="20"/>
  <c r="AR70" i="20"/>
  <c r="AQ39" i="20"/>
  <c r="AQ50" i="20" s="1"/>
  <c r="AV102" i="20"/>
  <c r="BJ144" i="20"/>
  <c r="BJ60" i="20"/>
  <c r="AA43" i="20"/>
  <c r="Z43" i="20"/>
  <c r="AV60" i="20"/>
  <c r="BJ60" i="21"/>
  <c r="AA84" i="21"/>
  <c r="Z84" i="21"/>
  <c r="AV18" i="21"/>
  <c r="AR155" i="21"/>
  <c r="AQ144" i="21"/>
  <c r="BJ144" i="21"/>
  <c r="AV123" i="21"/>
  <c r="BJ39" i="21"/>
  <c r="BJ18" i="21"/>
  <c r="BJ123" i="21"/>
  <c r="AR70" i="21"/>
  <c r="BJ102" i="21"/>
  <c r="BJ123" i="22"/>
  <c r="AR112" i="22"/>
  <c r="BJ60" i="22"/>
  <c r="AA19" i="22"/>
  <c r="Z19" i="22"/>
  <c r="Z66" i="22"/>
  <c r="AA66" i="22"/>
  <c r="AV144" i="22"/>
  <c r="AV123" i="22"/>
  <c r="AR91" i="22"/>
  <c r="BJ102" i="22"/>
  <c r="AV81" i="22"/>
  <c r="Z43" i="22"/>
  <c r="AA43" i="22"/>
  <c r="AV102" i="22"/>
  <c r="AV60" i="22"/>
  <c r="AA42" i="22"/>
  <c r="Z42" i="22"/>
  <c r="AV39" i="22"/>
  <c r="Z150" i="22"/>
  <c r="AA150" i="22"/>
  <c r="AA44" i="22"/>
  <c r="Z148" i="22"/>
  <c r="AA148" i="22"/>
  <c r="AR28" i="22"/>
  <c r="BJ81" i="22"/>
  <c r="BJ144" i="23"/>
  <c r="BJ81" i="23"/>
  <c r="AA40" i="23"/>
  <c r="Z40" i="23"/>
  <c r="AR91" i="23"/>
  <c r="BJ123" i="23"/>
  <c r="AA106" i="23"/>
  <c r="Z106" i="23"/>
  <c r="AA69" i="23"/>
  <c r="Z69" i="23"/>
  <c r="AV39" i="23"/>
  <c r="Z26" i="23"/>
  <c r="AA26" i="23"/>
  <c r="AV102" i="23"/>
  <c r="Z130" i="23"/>
  <c r="AA130" i="23"/>
  <c r="AV81" i="23"/>
  <c r="BJ102" i="23"/>
  <c r="AA82" i="23"/>
  <c r="Z82" i="23"/>
  <c r="Z127" i="23"/>
  <c r="AA127" i="23"/>
  <c r="AA145" i="23"/>
  <c r="Z145" i="23"/>
  <c r="BJ60" i="24"/>
  <c r="BJ18" i="24"/>
  <c r="AA69" i="24"/>
  <c r="Z69" i="24"/>
  <c r="Z130" i="24"/>
  <c r="AA130" i="24"/>
  <c r="AA22" i="24"/>
  <c r="Z22" i="24"/>
  <c r="BJ123" i="24"/>
  <c r="AR154" i="24"/>
  <c r="BJ81" i="24"/>
  <c r="BJ39" i="24"/>
  <c r="AV18" i="24"/>
  <c r="AV81" i="24"/>
  <c r="AV60" i="24"/>
  <c r="BJ102" i="24"/>
  <c r="AR133" i="24"/>
  <c r="AV123" i="25"/>
  <c r="AA149" i="25"/>
  <c r="Z149" i="25"/>
  <c r="AV60" i="25"/>
  <c r="BJ81" i="25"/>
  <c r="AR91" i="25"/>
  <c r="Z40" i="25"/>
  <c r="AA40" i="25"/>
  <c r="AV102" i="25"/>
  <c r="AV39" i="25"/>
  <c r="BJ123" i="25"/>
  <c r="Z103" i="25"/>
  <c r="AA103" i="25"/>
  <c r="BJ39" i="25"/>
  <c r="BJ102" i="25"/>
  <c r="X41" i="25"/>
  <c r="BJ144" i="25"/>
  <c r="BJ102" i="26"/>
  <c r="AR28" i="26"/>
  <c r="Z82" i="26"/>
  <c r="AA82" i="26"/>
  <c r="BJ60" i="26"/>
  <c r="BJ18" i="26"/>
  <c r="AV39" i="26"/>
  <c r="BJ39" i="26"/>
  <c r="Z23" i="26"/>
  <c r="AA23" i="26"/>
  <c r="AV60" i="26"/>
  <c r="BJ81" i="26"/>
  <c r="AV102" i="26"/>
  <c r="AV81" i="26"/>
  <c r="AV18" i="26"/>
  <c r="AR70" i="26"/>
  <c r="AV144" i="26"/>
  <c r="AA85" i="26"/>
  <c r="Z85" i="26"/>
  <c r="AV123" i="26"/>
  <c r="AA145" i="26"/>
  <c r="Z145" i="26"/>
  <c r="AA111" i="27"/>
  <c r="BJ60" i="27"/>
  <c r="AV144" i="27"/>
  <c r="BJ144" i="27"/>
  <c r="AV39" i="27"/>
  <c r="AV123" i="27"/>
  <c r="X125" i="27"/>
  <c r="AV102" i="27"/>
  <c r="BJ39" i="27"/>
  <c r="AV60" i="27"/>
  <c r="AR154" i="27"/>
  <c r="BK81" i="27"/>
  <c r="Z89" i="27"/>
  <c r="BJ102" i="27"/>
  <c r="BJ123" i="27"/>
  <c r="AV18" i="27"/>
  <c r="AV81" i="27"/>
  <c r="AP140" i="28"/>
  <c r="AV102" i="28"/>
  <c r="AV39" i="28"/>
  <c r="AA85" i="28"/>
  <c r="Z85" i="28"/>
  <c r="BJ81" i="28"/>
  <c r="AA149" i="28"/>
  <c r="Z149" i="28"/>
  <c r="AR70" i="28"/>
  <c r="AV18" i="28"/>
  <c r="AR112" i="28"/>
  <c r="BJ18" i="28"/>
  <c r="AR154" i="28"/>
  <c r="AV81" i="28"/>
  <c r="BJ39" i="28"/>
  <c r="BJ60" i="28"/>
  <c r="AV144" i="28"/>
  <c r="Z26" i="29"/>
  <c r="AP140" i="22"/>
  <c r="X20" i="22"/>
  <c r="X83" i="26"/>
  <c r="X104" i="22"/>
  <c r="X62" i="27"/>
  <c r="BZ103" i="24"/>
  <c r="BV102" i="24" s="1"/>
  <c r="B107" i="24" s="1"/>
  <c r="E101" i="24"/>
  <c r="AB65" i="14"/>
  <c r="AC66" i="14"/>
  <c r="AP119" i="20"/>
  <c r="X146" i="21"/>
  <c r="X62" i="25"/>
  <c r="BZ61" i="27"/>
  <c r="BV60" i="27" s="1"/>
  <c r="B65" i="27" s="1"/>
  <c r="E59" i="27"/>
  <c r="BZ124" i="20"/>
  <c r="BV123" i="20" s="1"/>
  <c r="B128" i="20" s="1"/>
  <c r="X41" i="21"/>
  <c r="AP98" i="22"/>
  <c r="AP14" i="22"/>
  <c r="AB104" i="14"/>
  <c r="AB108" i="14"/>
  <c r="X146" i="24"/>
  <c r="AP119" i="27"/>
  <c r="AP77" i="27"/>
  <c r="AP35" i="28"/>
  <c r="X104" i="21"/>
  <c r="X146" i="22"/>
  <c r="AP119" i="24"/>
  <c r="BJ123" i="29"/>
  <c r="AV39" i="29"/>
  <c r="AV144" i="29"/>
  <c r="X125" i="29"/>
  <c r="BJ18" i="29"/>
  <c r="AV18" i="29"/>
  <c r="Z132" i="29"/>
  <c r="AA132" i="29"/>
  <c r="BJ102" i="29"/>
  <c r="AV60" i="29"/>
  <c r="BJ60" i="29"/>
  <c r="AS49" i="29"/>
  <c r="AV123" i="29"/>
  <c r="BJ144" i="29"/>
  <c r="Z84" i="29"/>
  <c r="AA84" i="29"/>
  <c r="AR112" i="29"/>
  <c r="B95" i="39"/>
  <c r="S73" i="39"/>
  <c r="B95" i="38"/>
  <c r="S73" i="38"/>
  <c r="B95" i="37"/>
  <c r="S73" i="37"/>
  <c r="B95" i="36"/>
  <c r="S73" i="36"/>
  <c r="B72" i="35"/>
  <c r="S50" i="35"/>
  <c r="S73" i="34"/>
  <c r="B95" i="34"/>
  <c r="B95" i="33"/>
  <c r="S73" i="33"/>
  <c r="B95" i="32"/>
  <c r="S73" i="32"/>
  <c r="B72" i="31"/>
  <c r="S50" i="31"/>
  <c r="B72" i="30"/>
  <c r="S50" i="30"/>
  <c r="X146" i="29"/>
  <c r="AA105" i="29"/>
  <c r="Z105" i="29"/>
  <c r="AA127" i="29"/>
  <c r="Z127" i="29"/>
  <c r="AA62" i="29"/>
  <c r="Z62" i="29"/>
  <c r="CG52" i="29"/>
  <c r="CG53" i="29" s="1"/>
  <c r="CG54" i="29" s="1"/>
  <c r="CG55" i="29" s="1"/>
  <c r="CG56" i="29" s="1"/>
  <c r="CG57" i="29" s="1"/>
  <c r="CG58" i="29" s="1"/>
  <c r="CG59" i="29" s="1"/>
  <c r="CG60" i="29" s="1"/>
  <c r="CG61" i="29" s="1"/>
  <c r="CG62" i="29" s="1"/>
  <c r="CG63" i="29" s="1"/>
  <c r="CG64" i="29" s="1"/>
  <c r="CG65" i="29" s="1"/>
  <c r="CG66" i="29" s="1"/>
  <c r="CG67" i="29" s="1"/>
  <c r="CG68" i="29" s="1"/>
  <c r="CG69" i="29" s="1"/>
  <c r="CG70" i="29" s="1"/>
  <c r="CG71" i="29" s="1"/>
  <c r="CG72" i="29" s="1"/>
  <c r="BM73" i="29"/>
  <c r="BN14" i="29"/>
  <c r="A14" i="29" s="1"/>
  <c r="AA88" i="29"/>
  <c r="Z88" i="29"/>
  <c r="E59" i="29"/>
  <c r="BZ61" i="29"/>
  <c r="AA85" i="29"/>
  <c r="Z85" i="29"/>
  <c r="AA69" i="29"/>
  <c r="Z69" i="29"/>
  <c r="AA87" i="29"/>
  <c r="Z87" i="29"/>
  <c r="AP101" i="29"/>
  <c r="T103" i="29"/>
  <c r="G97" i="29"/>
  <c r="R103" i="29"/>
  <c r="AA20" i="29"/>
  <c r="Z20" i="29"/>
  <c r="AA147" i="29"/>
  <c r="Z147" i="29"/>
  <c r="Z150" i="29"/>
  <c r="AA150" i="29"/>
  <c r="Z129" i="29"/>
  <c r="AA129" i="29"/>
  <c r="AA19" i="29"/>
  <c r="Z19" i="29"/>
  <c r="G76" i="29"/>
  <c r="AP80" i="29"/>
  <c r="T82" i="29"/>
  <c r="R82" i="29"/>
  <c r="AA23" i="29"/>
  <c r="Z23" i="29"/>
  <c r="CL7" i="29"/>
  <c r="Z148" i="29"/>
  <c r="AA148" i="29"/>
  <c r="Z149" i="29"/>
  <c r="AA149" i="29"/>
  <c r="AR134" i="29"/>
  <c r="AQ123" i="29"/>
  <c r="AP92" i="29"/>
  <c r="X83" i="29"/>
  <c r="AP77" i="29"/>
  <c r="AA21" i="29"/>
  <c r="Z21" i="29"/>
  <c r="AP17" i="29"/>
  <c r="G13" i="29"/>
  <c r="R19" i="29"/>
  <c r="CB1" i="29"/>
  <c r="T19" i="29"/>
  <c r="T124" i="29"/>
  <c r="R124" i="29"/>
  <c r="AP122" i="29"/>
  <c r="G118" i="29"/>
  <c r="AA40" i="29"/>
  <c r="Z40" i="29"/>
  <c r="AP50" i="29"/>
  <c r="AP35" i="29"/>
  <c r="X41" i="29"/>
  <c r="AA152" i="29"/>
  <c r="Z152" i="29"/>
  <c r="AQ60" i="29"/>
  <c r="AR71" i="29"/>
  <c r="AP56" i="29"/>
  <c r="AA67" i="29"/>
  <c r="Z67" i="29"/>
  <c r="AA66" i="29"/>
  <c r="Z66" i="29"/>
  <c r="AA22" i="29"/>
  <c r="Z22" i="29"/>
  <c r="AA24" i="29"/>
  <c r="Z24" i="29"/>
  <c r="AR29" i="29"/>
  <c r="AQ18" i="29"/>
  <c r="X20" i="29"/>
  <c r="BN40" i="29"/>
  <c r="A40" i="29" s="1"/>
  <c r="BZ145" i="29"/>
  <c r="E143" i="29"/>
  <c r="AA144" i="29"/>
  <c r="AA155" i="29" s="1"/>
  <c r="AQ155" i="29"/>
  <c r="Z144" i="29"/>
  <c r="Z155" i="29" s="1"/>
  <c r="AP113" i="29"/>
  <c r="AP98" i="29"/>
  <c r="X104" i="29"/>
  <c r="AA125" i="29"/>
  <c r="Z125" i="29"/>
  <c r="AA65" i="29"/>
  <c r="Z65" i="29"/>
  <c r="AA82" i="29"/>
  <c r="Z82" i="29"/>
  <c r="AA83" i="29"/>
  <c r="Z83" i="29"/>
  <c r="AA25" i="29"/>
  <c r="Z25" i="29"/>
  <c r="R61" i="29"/>
  <c r="T61" i="29"/>
  <c r="G55" i="29"/>
  <c r="AP59" i="29"/>
  <c r="Z128" i="29"/>
  <c r="AA128" i="29"/>
  <c r="BZ124" i="29"/>
  <c r="E122" i="29"/>
  <c r="Z106" i="29"/>
  <c r="AA106" i="29"/>
  <c r="AA86" i="29"/>
  <c r="Z86" i="29"/>
  <c r="AA64" i="29"/>
  <c r="Z64" i="29"/>
  <c r="AA47" i="29"/>
  <c r="Z47" i="29"/>
  <c r="AA42" i="29"/>
  <c r="Z42" i="29"/>
  <c r="AP38" i="29"/>
  <c r="G34" i="29"/>
  <c r="T40" i="29"/>
  <c r="R40" i="29"/>
  <c r="T145" i="29"/>
  <c r="G139" i="29"/>
  <c r="R145" i="29"/>
  <c r="AP143" i="29"/>
  <c r="BZ19" i="29"/>
  <c r="E17" i="29"/>
  <c r="AA27" i="29"/>
  <c r="Z27" i="29"/>
  <c r="X146" i="28"/>
  <c r="AA66" i="28"/>
  <c r="Z66" i="28"/>
  <c r="AA64" i="28"/>
  <c r="Z64" i="28"/>
  <c r="AA65" i="28"/>
  <c r="Z65" i="28"/>
  <c r="X41" i="28"/>
  <c r="Z20" i="28"/>
  <c r="AA20" i="28"/>
  <c r="BN36" i="28"/>
  <c r="A36" i="28" s="1"/>
  <c r="AA152" i="28"/>
  <c r="Z152" i="28"/>
  <c r="Z147" i="28"/>
  <c r="AA147" i="28"/>
  <c r="AQ123" i="28"/>
  <c r="AR134" i="28"/>
  <c r="BZ145" i="28"/>
  <c r="E143" i="28"/>
  <c r="AP92" i="28"/>
  <c r="X83" i="28"/>
  <c r="AP77" i="28"/>
  <c r="AA25" i="28"/>
  <c r="Z25" i="28"/>
  <c r="R40" i="28"/>
  <c r="T40" i="28"/>
  <c r="AP38" i="28"/>
  <c r="G34" i="28"/>
  <c r="AP101" i="28"/>
  <c r="T103" i="28"/>
  <c r="G97" i="28"/>
  <c r="R103" i="28"/>
  <c r="AA131" i="28"/>
  <c r="Z131" i="28"/>
  <c r="AA61" i="28"/>
  <c r="Z61" i="28"/>
  <c r="AR92" i="28"/>
  <c r="AQ81" i="28"/>
  <c r="Z62" i="28"/>
  <c r="AA62" i="28"/>
  <c r="AA19" i="28"/>
  <c r="Z19" i="28"/>
  <c r="T19" i="28"/>
  <c r="R19" i="28"/>
  <c r="AP17" i="28"/>
  <c r="G13" i="28"/>
  <c r="CB1" i="28"/>
  <c r="CL7" i="28"/>
  <c r="AA109" i="28"/>
  <c r="Z109" i="28"/>
  <c r="Z86" i="28"/>
  <c r="AA86" i="28"/>
  <c r="AP71" i="28"/>
  <c r="X62" i="28"/>
  <c r="AP56" i="28"/>
  <c r="Z69" i="28"/>
  <c r="AA69" i="28"/>
  <c r="T124" i="28"/>
  <c r="G118" i="28"/>
  <c r="R124" i="28"/>
  <c r="AP122" i="28"/>
  <c r="AA126" i="28"/>
  <c r="Z126" i="28"/>
  <c r="AA128" i="28"/>
  <c r="Z128" i="28"/>
  <c r="AP134" i="28"/>
  <c r="X125" i="28"/>
  <c r="AP119" i="28"/>
  <c r="Z104" i="28"/>
  <c r="AA104" i="28"/>
  <c r="Z89" i="28"/>
  <c r="AA89" i="28"/>
  <c r="AA45" i="28"/>
  <c r="Z45" i="28"/>
  <c r="Z21" i="28"/>
  <c r="AA21" i="28"/>
  <c r="Z87" i="28"/>
  <c r="AA87" i="28"/>
  <c r="AA27" i="28"/>
  <c r="Z27" i="28"/>
  <c r="G76" i="28"/>
  <c r="R82" i="28"/>
  <c r="AP80" i="28"/>
  <c r="T82" i="28"/>
  <c r="AP143" i="28"/>
  <c r="R145" i="28"/>
  <c r="T145" i="28"/>
  <c r="G139" i="28"/>
  <c r="Z88" i="28"/>
  <c r="AA88" i="28"/>
  <c r="Z42" i="28"/>
  <c r="AA42" i="28"/>
  <c r="BM73" i="28"/>
  <c r="CG52" i="28"/>
  <c r="CG53" i="28" s="1"/>
  <c r="CG54" i="28" s="1"/>
  <c r="CG55" i="28" s="1"/>
  <c r="CG56" i="28" s="1"/>
  <c r="CG57" i="28" s="1"/>
  <c r="CG58" i="28" s="1"/>
  <c r="CG59" i="28" s="1"/>
  <c r="CG60" i="28" s="1"/>
  <c r="CG61" i="28" s="1"/>
  <c r="CG62" i="28" s="1"/>
  <c r="CG63" i="28" s="1"/>
  <c r="CG64" i="28" s="1"/>
  <c r="CG65" i="28" s="1"/>
  <c r="CG66" i="28" s="1"/>
  <c r="CG67" i="28" s="1"/>
  <c r="CG68" i="28" s="1"/>
  <c r="CG69" i="28" s="1"/>
  <c r="CG70" i="28" s="1"/>
  <c r="CG71" i="28" s="1"/>
  <c r="CG72" i="28" s="1"/>
  <c r="Z47" i="28"/>
  <c r="AA47" i="28"/>
  <c r="AA151" i="28"/>
  <c r="Z151" i="28"/>
  <c r="AA153" i="28"/>
  <c r="Z153" i="28"/>
  <c r="AA129" i="28"/>
  <c r="Z129" i="28"/>
  <c r="AA106" i="28"/>
  <c r="Z106" i="28"/>
  <c r="AA127" i="28"/>
  <c r="Z127" i="28"/>
  <c r="X104" i="28"/>
  <c r="AP98" i="28"/>
  <c r="AP113" i="28"/>
  <c r="AA67" i="28"/>
  <c r="Z67" i="28"/>
  <c r="AA48" i="28"/>
  <c r="Z48" i="28"/>
  <c r="AR29" i="28"/>
  <c r="AQ18" i="28"/>
  <c r="X20" i="28"/>
  <c r="AP14" i="28"/>
  <c r="AP29" i="28"/>
  <c r="AR50" i="28"/>
  <c r="AQ39" i="28"/>
  <c r="T61" i="28"/>
  <c r="R61" i="28"/>
  <c r="G55" i="28"/>
  <c r="AP59" i="28"/>
  <c r="BN15" i="28"/>
  <c r="A15" i="28" s="1"/>
  <c r="Z90" i="27"/>
  <c r="AA90" i="27"/>
  <c r="AA84" i="27"/>
  <c r="Z84" i="27"/>
  <c r="X41" i="27"/>
  <c r="AP35" i="27"/>
  <c r="R103" i="27"/>
  <c r="T103" i="27"/>
  <c r="G97" i="27"/>
  <c r="AP101" i="27"/>
  <c r="Z19" i="27"/>
  <c r="AA19" i="27"/>
  <c r="AQ29" i="27"/>
  <c r="AA18" i="27"/>
  <c r="AA29" i="27" s="1"/>
  <c r="Z18" i="27"/>
  <c r="Z29" i="27" s="1"/>
  <c r="AR71" i="27"/>
  <c r="AQ60" i="27"/>
  <c r="BM73" i="27"/>
  <c r="CG52" i="27"/>
  <c r="CG53" i="27" s="1"/>
  <c r="CG54" i="27" s="1"/>
  <c r="CG55" i="27" s="1"/>
  <c r="CG56" i="27" s="1"/>
  <c r="CG57" i="27" s="1"/>
  <c r="CG58" i="27" s="1"/>
  <c r="CG59" i="27" s="1"/>
  <c r="CG60" i="27" s="1"/>
  <c r="CG61" i="27" s="1"/>
  <c r="CG62" i="27" s="1"/>
  <c r="CG63" i="27" s="1"/>
  <c r="CG64" i="27" s="1"/>
  <c r="CG65" i="27" s="1"/>
  <c r="CG66" i="27" s="1"/>
  <c r="CG67" i="27" s="1"/>
  <c r="CG68" i="27" s="1"/>
  <c r="CG69" i="27" s="1"/>
  <c r="CG70" i="27" s="1"/>
  <c r="CG71" i="27" s="1"/>
  <c r="CG72" i="27" s="1"/>
  <c r="AP17" i="27"/>
  <c r="G13" i="27"/>
  <c r="T19" i="27"/>
  <c r="R19" i="27"/>
  <c r="CB1" i="27"/>
  <c r="AA145" i="27"/>
  <c r="Z145" i="27"/>
  <c r="Z109" i="27"/>
  <c r="AA109" i="27"/>
  <c r="X83" i="27"/>
  <c r="AA25" i="27"/>
  <c r="Z25" i="27"/>
  <c r="AR50" i="27"/>
  <c r="AQ39" i="27"/>
  <c r="AA127" i="27"/>
  <c r="Z127" i="27"/>
  <c r="AR113" i="27"/>
  <c r="AQ102" i="27"/>
  <c r="Z68" i="27"/>
  <c r="AA68" i="27"/>
  <c r="AA27" i="27"/>
  <c r="Z27" i="27"/>
  <c r="X20" i="27"/>
  <c r="AP29" i="27"/>
  <c r="AP14" i="27"/>
  <c r="T124" i="27"/>
  <c r="AP122" i="27"/>
  <c r="R124" i="27"/>
  <c r="G118" i="27"/>
  <c r="AA147" i="27"/>
  <c r="Z147" i="27"/>
  <c r="AA132" i="27"/>
  <c r="Z132" i="27"/>
  <c r="Z144" i="27"/>
  <c r="Z155" i="27" s="1"/>
  <c r="AQ155" i="27"/>
  <c r="AA144" i="27"/>
  <c r="AA155" i="27" s="1"/>
  <c r="AA110" i="27"/>
  <c r="Z110" i="27"/>
  <c r="AA82" i="27"/>
  <c r="Z82" i="27"/>
  <c r="AA23" i="27"/>
  <c r="Z23" i="27"/>
  <c r="Z48" i="27"/>
  <c r="AA48" i="27"/>
  <c r="AP56" i="27"/>
  <c r="AP155" i="27"/>
  <c r="X146" i="27"/>
  <c r="AP140" i="27"/>
  <c r="AP98" i="27"/>
  <c r="AA47" i="27"/>
  <c r="Z47" i="27"/>
  <c r="X104" i="27"/>
  <c r="AA152" i="27"/>
  <c r="Z152" i="27"/>
  <c r="AA125" i="27"/>
  <c r="Z125" i="27"/>
  <c r="AA69" i="27"/>
  <c r="Z69" i="27"/>
  <c r="E37" i="27"/>
  <c r="G37" i="27" s="1"/>
  <c r="AP38" i="27"/>
  <c r="G34" i="27"/>
  <c r="T40" i="27"/>
  <c r="R40" i="27"/>
  <c r="Z131" i="27"/>
  <c r="AA131" i="27"/>
  <c r="AA128" i="27"/>
  <c r="Z128" i="27"/>
  <c r="BZ124" i="27"/>
  <c r="E122" i="27"/>
  <c r="E54" i="27"/>
  <c r="AA22" i="27"/>
  <c r="Z22" i="27"/>
  <c r="R61" i="27"/>
  <c r="G55" i="27"/>
  <c r="T61" i="27"/>
  <c r="AP59" i="27"/>
  <c r="AP80" i="27"/>
  <c r="G76" i="27"/>
  <c r="R82" i="27"/>
  <c r="T82" i="27"/>
  <c r="AP143" i="27"/>
  <c r="G139" i="27"/>
  <c r="T145" i="27"/>
  <c r="R145" i="27"/>
  <c r="CL6" i="27"/>
  <c r="AP17" i="26"/>
  <c r="G13" i="26"/>
  <c r="T19" i="26"/>
  <c r="CB1" i="26"/>
  <c r="R19" i="26"/>
  <c r="AA152" i="26"/>
  <c r="Z152" i="26"/>
  <c r="X41" i="26"/>
  <c r="AP35" i="26"/>
  <c r="AP50" i="26"/>
  <c r="AA19" i="26"/>
  <c r="Z19" i="26"/>
  <c r="X20" i="26"/>
  <c r="AP14" i="26"/>
  <c r="AP29" i="26"/>
  <c r="G97" i="26"/>
  <c r="R103" i="26"/>
  <c r="AP101" i="26"/>
  <c r="T103" i="26"/>
  <c r="AA128" i="26"/>
  <c r="Z128" i="26"/>
  <c r="AP119" i="26"/>
  <c r="X125" i="26"/>
  <c r="AA24" i="26"/>
  <c r="Z24" i="26"/>
  <c r="AR134" i="26"/>
  <c r="AQ123" i="26"/>
  <c r="AA107" i="26"/>
  <c r="Z107" i="26"/>
  <c r="X146" i="26"/>
  <c r="AP140" i="26"/>
  <c r="AP155" i="26"/>
  <c r="AA111" i="26"/>
  <c r="Z111" i="26"/>
  <c r="AR113" i="26"/>
  <c r="AQ102" i="26"/>
  <c r="AA105" i="26"/>
  <c r="Z105" i="26"/>
  <c r="AP71" i="26"/>
  <c r="AP56" i="26"/>
  <c r="X62" i="26"/>
  <c r="AP77" i="26"/>
  <c r="AA63" i="26"/>
  <c r="Z63" i="26"/>
  <c r="Z44" i="26"/>
  <c r="AA44" i="26"/>
  <c r="R124" i="26"/>
  <c r="AP122" i="26"/>
  <c r="G118" i="26"/>
  <c r="T124" i="26"/>
  <c r="AA130" i="26"/>
  <c r="Z130" i="26"/>
  <c r="AA124" i="26"/>
  <c r="Z124" i="26"/>
  <c r="AP98" i="26"/>
  <c r="AR92" i="26"/>
  <c r="AQ81" i="26"/>
  <c r="BZ82" i="26"/>
  <c r="E80" i="26"/>
  <c r="AA68" i="26"/>
  <c r="Z68" i="26"/>
  <c r="AA25" i="26"/>
  <c r="Z25" i="26"/>
  <c r="AP38" i="26"/>
  <c r="T40" i="26"/>
  <c r="G34" i="26"/>
  <c r="R40" i="26"/>
  <c r="AA144" i="26"/>
  <c r="AA155" i="26" s="1"/>
  <c r="Z144" i="26"/>
  <c r="Z155" i="26" s="1"/>
  <c r="AQ155" i="26"/>
  <c r="AA104" i="26"/>
  <c r="Z104" i="26"/>
  <c r="AA84" i="26"/>
  <c r="Z84" i="26"/>
  <c r="G55" i="26"/>
  <c r="R61" i="26"/>
  <c r="AP59" i="26"/>
  <c r="T61" i="26"/>
  <c r="AP143" i="26"/>
  <c r="T145" i="26"/>
  <c r="G139" i="26"/>
  <c r="R145" i="26"/>
  <c r="AA147" i="26"/>
  <c r="Z147" i="26"/>
  <c r="Z126" i="26"/>
  <c r="AA126" i="26"/>
  <c r="AA129" i="26"/>
  <c r="Z129" i="26"/>
  <c r="CL7" i="26"/>
  <c r="BM73" i="26"/>
  <c r="CG52" i="26"/>
  <c r="CG53" i="26" s="1"/>
  <c r="CG54" i="26" s="1"/>
  <c r="CG55" i="26" s="1"/>
  <c r="CG56" i="26" s="1"/>
  <c r="CG57" i="26" s="1"/>
  <c r="CG58" i="26" s="1"/>
  <c r="CG59" i="26" s="1"/>
  <c r="CG60" i="26" s="1"/>
  <c r="CG61" i="26" s="1"/>
  <c r="CG62" i="26" s="1"/>
  <c r="CG63" i="26" s="1"/>
  <c r="CG64" i="26" s="1"/>
  <c r="CG65" i="26" s="1"/>
  <c r="CG66" i="26" s="1"/>
  <c r="CG67" i="26" s="1"/>
  <c r="CG68" i="26" s="1"/>
  <c r="CG69" i="26" s="1"/>
  <c r="CG70" i="26" s="1"/>
  <c r="CG71" i="26" s="1"/>
  <c r="CG72" i="26" s="1"/>
  <c r="BN43" i="26"/>
  <c r="A43" i="26" s="1"/>
  <c r="Z106" i="26"/>
  <c r="AA106" i="26"/>
  <c r="AA89" i="26"/>
  <c r="Z89" i="26"/>
  <c r="Z61" i="26"/>
  <c r="AA61" i="26"/>
  <c r="Z45" i="26"/>
  <c r="AA45" i="26"/>
  <c r="Z43" i="26"/>
  <c r="AA43" i="26"/>
  <c r="T82" i="26"/>
  <c r="R82" i="26"/>
  <c r="AP80" i="26"/>
  <c r="G76" i="26"/>
  <c r="AQ50" i="26"/>
  <c r="AA39" i="26"/>
  <c r="AA50" i="26" s="1"/>
  <c r="Z39" i="26"/>
  <c r="Z50" i="26" s="1"/>
  <c r="AA88" i="25"/>
  <c r="Z88" i="25"/>
  <c r="AP98" i="25"/>
  <c r="AA68" i="25"/>
  <c r="Z68" i="25"/>
  <c r="AA63" i="25"/>
  <c r="Z63" i="25"/>
  <c r="Z23" i="25"/>
  <c r="AA23" i="25"/>
  <c r="T19" i="25"/>
  <c r="R19" i="25"/>
  <c r="CB1" i="25"/>
  <c r="AP17" i="25"/>
  <c r="G13" i="25"/>
  <c r="T124" i="25"/>
  <c r="G118" i="25"/>
  <c r="R124" i="25"/>
  <c r="AP122" i="25"/>
  <c r="BN35" i="25"/>
  <c r="A35" i="25" s="1"/>
  <c r="Z110" i="25"/>
  <c r="AA110" i="25"/>
  <c r="AA127" i="25"/>
  <c r="Z127" i="25"/>
  <c r="AA46" i="25"/>
  <c r="Z46" i="25"/>
  <c r="Z43" i="25"/>
  <c r="AA43" i="25"/>
  <c r="CG52" i="25"/>
  <c r="CG53" i="25" s="1"/>
  <c r="CG54" i="25" s="1"/>
  <c r="CG55" i="25" s="1"/>
  <c r="CG56" i="25" s="1"/>
  <c r="CG57" i="25" s="1"/>
  <c r="CG58" i="25" s="1"/>
  <c r="CG59" i="25" s="1"/>
  <c r="CG60" i="25" s="1"/>
  <c r="CG61" i="25" s="1"/>
  <c r="CG62" i="25" s="1"/>
  <c r="CG63" i="25" s="1"/>
  <c r="CG64" i="25" s="1"/>
  <c r="CG65" i="25" s="1"/>
  <c r="CG66" i="25" s="1"/>
  <c r="CG67" i="25" s="1"/>
  <c r="CG68" i="25" s="1"/>
  <c r="CG69" i="25" s="1"/>
  <c r="CG70" i="25" s="1"/>
  <c r="CG71" i="25" s="1"/>
  <c r="CG72" i="25" s="1"/>
  <c r="BM73" i="25"/>
  <c r="T40" i="25"/>
  <c r="R40" i="25"/>
  <c r="AP38" i="25"/>
  <c r="G34" i="25"/>
  <c r="AA153" i="25"/>
  <c r="Z153" i="25"/>
  <c r="AA125" i="25"/>
  <c r="Z125" i="25"/>
  <c r="X125" i="25"/>
  <c r="AP119" i="25"/>
  <c r="AP134" i="25"/>
  <c r="BZ61" i="25"/>
  <c r="E59" i="25"/>
  <c r="Z45" i="25"/>
  <c r="AA45" i="25"/>
  <c r="AA21" i="25"/>
  <c r="Z21" i="25"/>
  <c r="AA83" i="25"/>
  <c r="Z83" i="25"/>
  <c r="AP56" i="25"/>
  <c r="Z24" i="25"/>
  <c r="AA24" i="25"/>
  <c r="AQ92" i="25"/>
  <c r="AA81" i="25"/>
  <c r="AA92" i="25" s="1"/>
  <c r="Z81" i="25"/>
  <c r="Z92" i="25" s="1"/>
  <c r="AP59" i="25"/>
  <c r="T61" i="25"/>
  <c r="G55" i="25"/>
  <c r="R61" i="25"/>
  <c r="T103" i="25"/>
  <c r="G97" i="25"/>
  <c r="R103" i="25"/>
  <c r="AP101" i="25"/>
  <c r="BN14" i="25"/>
  <c r="A14" i="25" s="1"/>
  <c r="Z146" i="25"/>
  <c r="AA146" i="25"/>
  <c r="Z130" i="25"/>
  <c r="AA130" i="25"/>
  <c r="Z44" i="25"/>
  <c r="AA44" i="25"/>
  <c r="AA69" i="25"/>
  <c r="Z69" i="25"/>
  <c r="AP29" i="25"/>
  <c r="X20" i="25"/>
  <c r="AP14" i="25"/>
  <c r="Z131" i="25"/>
  <c r="AA131" i="25"/>
  <c r="AA109" i="25"/>
  <c r="Z109" i="25"/>
  <c r="AR113" i="25"/>
  <c r="AQ102" i="25"/>
  <c r="AA41" i="25"/>
  <c r="Z41" i="25"/>
  <c r="E38" i="25"/>
  <c r="BZ40" i="25"/>
  <c r="AQ18" i="25"/>
  <c r="AR29" i="25"/>
  <c r="E54" i="25"/>
  <c r="Z147" i="25"/>
  <c r="AA147" i="25"/>
  <c r="AA144" i="25"/>
  <c r="AA155" i="25" s="1"/>
  <c r="Z144" i="25"/>
  <c r="Z155" i="25" s="1"/>
  <c r="AQ155" i="25"/>
  <c r="X146" i="25"/>
  <c r="AP140" i="25"/>
  <c r="AP155" i="25"/>
  <c r="AP92" i="25"/>
  <c r="X83" i="25"/>
  <c r="AP77" i="25"/>
  <c r="AA105" i="25"/>
  <c r="Z105" i="25"/>
  <c r="AA26" i="25"/>
  <c r="Z26" i="25"/>
  <c r="CL6" i="25"/>
  <c r="AP143" i="25"/>
  <c r="T145" i="25"/>
  <c r="R145" i="25"/>
  <c r="G139" i="25"/>
  <c r="AA151" i="25"/>
  <c r="Z151" i="25"/>
  <c r="AR134" i="25"/>
  <c r="AQ123" i="25"/>
  <c r="BZ103" i="25"/>
  <c r="E101" i="25"/>
  <c r="R82" i="25"/>
  <c r="AP80" i="25"/>
  <c r="T82" i="25"/>
  <c r="G76" i="25"/>
  <c r="Z153" i="24"/>
  <c r="AA153" i="24"/>
  <c r="AA124" i="24"/>
  <c r="Z124" i="24"/>
  <c r="Z65" i="24"/>
  <c r="AA65" i="24"/>
  <c r="AA25" i="24"/>
  <c r="Z25" i="24"/>
  <c r="X62" i="24"/>
  <c r="AP56" i="24"/>
  <c r="AP71" i="24"/>
  <c r="AA151" i="24"/>
  <c r="Z151" i="24"/>
  <c r="AA48" i="24"/>
  <c r="Z48" i="24"/>
  <c r="AR50" i="24"/>
  <c r="AQ39" i="24"/>
  <c r="Z40" i="24"/>
  <c r="AA40" i="24"/>
  <c r="AA41" i="24"/>
  <c r="Z41" i="24"/>
  <c r="T40" i="24"/>
  <c r="G34" i="24"/>
  <c r="R40" i="24"/>
  <c r="AP38" i="24"/>
  <c r="AA147" i="24"/>
  <c r="Z147" i="24"/>
  <c r="BZ145" i="24"/>
  <c r="E143" i="24"/>
  <c r="AP98" i="24"/>
  <c r="X104" i="24"/>
  <c r="AR71" i="24"/>
  <c r="AQ60" i="24"/>
  <c r="T124" i="24"/>
  <c r="R124" i="24"/>
  <c r="AP122" i="24"/>
  <c r="G118" i="24"/>
  <c r="BN36" i="24"/>
  <c r="A36" i="24" s="1"/>
  <c r="Z131" i="24"/>
  <c r="AA131" i="24"/>
  <c r="BZ124" i="24"/>
  <c r="E122" i="24"/>
  <c r="AA104" i="24"/>
  <c r="Z104" i="24"/>
  <c r="Z90" i="24"/>
  <c r="AA90" i="24"/>
  <c r="Z68" i="24"/>
  <c r="AA68" i="24"/>
  <c r="AA42" i="24"/>
  <c r="Z42" i="24"/>
  <c r="AP14" i="24"/>
  <c r="AA20" i="24"/>
  <c r="Z20" i="24"/>
  <c r="BZ40" i="24"/>
  <c r="E38" i="24"/>
  <c r="Z146" i="24"/>
  <c r="AA146" i="24"/>
  <c r="Z66" i="24"/>
  <c r="AA66" i="24"/>
  <c r="AA64" i="24"/>
  <c r="Z64" i="24"/>
  <c r="AR92" i="24"/>
  <c r="AQ81" i="24"/>
  <c r="AA84" i="24"/>
  <c r="Z84" i="24"/>
  <c r="X20" i="24"/>
  <c r="T19" i="24"/>
  <c r="CB1" i="24"/>
  <c r="AP17" i="24"/>
  <c r="G13" i="24"/>
  <c r="R19" i="24"/>
  <c r="AP143" i="24"/>
  <c r="G139" i="24"/>
  <c r="R145" i="24"/>
  <c r="T145" i="24"/>
  <c r="CL6" i="24"/>
  <c r="Z125" i="24"/>
  <c r="AA125" i="24"/>
  <c r="AA109" i="24"/>
  <c r="Z109" i="24"/>
  <c r="AA63" i="24"/>
  <c r="Z63" i="24"/>
  <c r="Z27" i="24"/>
  <c r="AA27" i="24"/>
  <c r="E17" i="24"/>
  <c r="BZ19" i="24"/>
  <c r="T82" i="24"/>
  <c r="R82" i="24"/>
  <c r="AP80" i="24"/>
  <c r="G76" i="24"/>
  <c r="AA21" i="24"/>
  <c r="Z21" i="24"/>
  <c r="AQ134" i="24"/>
  <c r="Z123" i="24"/>
  <c r="Z134" i="24" s="1"/>
  <c r="BM73" i="24"/>
  <c r="CG52" i="24"/>
  <c r="CG53" i="24" s="1"/>
  <c r="CG54" i="24" s="1"/>
  <c r="CG55" i="24" s="1"/>
  <c r="CG56" i="24" s="1"/>
  <c r="CG57" i="24" s="1"/>
  <c r="CG58" i="24" s="1"/>
  <c r="CG59" i="24" s="1"/>
  <c r="CG60" i="24" s="1"/>
  <c r="CG61" i="24" s="1"/>
  <c r="CG62" i="24" s="1"/>
  <c r="CG63" i="24" s="1"/>
  <c r="CG64" i="24" s="1"/>
  <c r="CG65" i="24" s="1"/>
  <c r="CG66" i="24" s="1"/>
  <c r="CG67" i="24" s="1"/>
  <c r="CG68" i="24" s="1"/>
  <c r="CG69" i="24" s="1"/>
  <c r="CG70" i="24" s="1"/>
  <c r="CG71" i="24" s="1"/>
  <c r="CG72" i="24" s="1"/>
  <c r="AA89" i="24"/>
  <c r="Z89" i="24"/>
  <c r="AA47" i="24"/>
  <c r="Z47" i="24"/>
  <c r="AA19" i="24"/>
  <c r="Z19" i="24"/>
  <c r="Z45" i="24"/>
  <c r="AA45" i="24"/>
  <c r="AA152" i="24"/>
  <c r="Z152" i="24"/>
  <c r="AA103" i="24"/>
  <c r="Z103" i="24"/>
  <c r="AA61" i="24"/>
  <c r="Z61" i="24"/>
  <c r="AP92" i="24"/>
  <c r="AP77" i="24"/>
  <c r="X83" i="24"/>
  <c r="AQ18" i="24"/>
  <c r="AR29" i="24"/>
  <c r="BN15" i="24"/>
  <c r="A15" i="24" s="1"/>
  <c r="T61" i="24"/>
  <c r="AP59" i="24"/>
  <c r="G55" i="24"/>
  <c r="R61" i="24"/>
  <c r="AP101" i="24"/>
  <c r="T103" i="24"/>
  <c r="G97" i="24"/>
  <c r="R103" i="24"/>
  <c r="AA62" i="24"/>
  <c r="Z62" i="24"/>
  <c r="Z83" i="23"/>
  <c r="AA83" i="23"/>
  <c r="Z85" i="23"/>
  <c r="AA85" i="23"/>
  <c r="AP134" i="23"/>
  <c r="X125" i="23"/>
  <c r="AP119" i="23"/>
  <c r="X62" i="23"/>
  <c r="AA24" i="23"/>
  <c r="Z24" i="23"/>
  <c r="Z151" i="23"/>
  <c r="AA151" i="23"/>
  <c r="AA152" i="23"/>
  <c r="Z152" i="23"/>
  <c r="AA21" i="23"/>
  <c r="Z21" i="23"/>
  <c r="AA88" i="23"/>
  <c r="Z88" i="23"/>
  <c r="Z19" i="23"/>
  <c r="AA19" i="23"/>
  <c r="AP38" i="23"/>
  <c r="T40" i="23"/>
  <c r="G34" i="23"/>
  <c r="R40" i="23"/>
  <c r="AP122" i="23"/>
  <c r="R124" i="23"/>
  <c r="T124" i="23"/>
  <c r="G118" i="23"/>
  <c r="Z150" i="23"/>
  <c r="AA150" i="23"/>
  <c r="Z148" i="23"/>
  <c r="AA148" i="23"/>
  <c r="Z111" i="23"/>
  <c r="AA111" i="23"/>
  <c r="Z61" i="23"/>
  <c r="AA61" i="23"/>
  <c r="BM73" i="23"/>
  <c r="CG52" i="23"/>
  <c r="CG53" i="23" s="1"/>
  <c r="CG54" i="23" s="1"/>
  <c r="CG55" i="23" s="1"/>
  <c r="CG56" i="23" s="1"/>
  <c r="CG57" i="23" s="1"/>
  <c r="CG58" i="23" s="1"/>
  <c r="CG59" i="23" s="1"/>
  <c r="CG60" i="23" s="1"/>
  <c r="CG61" i="23" s="1"/>
  <c r="CG62" i="23" s="1"/>
  <c r="CG63" i="23" s="1"/>
  <c r="CG64" i="23" s="1"/>
  <c r="CG65" i="23" s="1"/>
  <c r="CG66" i="23" s="1"/>
  <c r="CG67" i="23" s="1"/>
  <c r="CG68" i="23" s="1"/>
  <c r="CG69" i="23" s="1"/>
  <c r="CG70" i="23" s="1"/>
  <c r="CG71" i="23" s="1"/>
  <c r="CG72" i="23" s="1"/>
  <c r="AP50" i="23"/>
  <c r="X41" i="23"/>
  <c r="AP35" i="23"/>
  <c r="G97" i="23"/>
  <c r="R103" i="23"/>
  <c r="AP101" i="23"/>
  <c r="T103" i="23"/>
  <c r="T145" i="23"/>
  <c r="G139" i="23"/>
  <c r="R145" i="23"/>
  <c r="AP143" i="23"/>
  <c r="AA144" i="23"/>
  <c r="AA155" i="23" s="1"/>
  <c r="Z144" i="23"/>
  <c r="Z155" i="23" s="1"/>
  <c r="AQ155" i="23"/>
  <c r="Z68" i="23"/>
  <c r="AA68" i="23"/>
  <c r="AA124" i="23"/>
  <c r="Z124" i="23"/>
  <c r="AA20" i="23"/>
  <c r="Z20" i="23"/>
  <c r="AA45" i="23"/>
  <c r="Z45" i="23"/>
  <c r="AA43" i="23"/>
  <c r="Z43" i="23"/>
  <c r="Z131" i="23"/>
  <c r="AA131" i="23"/>
  <c r="AP113" i="23"/>
  <c r="X104" i="23"/>
  <c r="AP98" i="23"/>
  <c r="AR71" i="23"/>
  <c r="AQ60" i="23"/>
  <c r="Z86" i="23"/>
  <c r="AA86" i="23"/>
  <c r="AP92" i="23"/>
  <c r="X83" i="23"/>
  <c r="AP77" i="23"/>
  <c r="BZ19" i="23"/>
  <c r="E17" i="23"/>
  <c r="AP80" i="23"/>
  <c r="T82" i="23"/>
  <c r="G76" i="23"/>
  <c r="R82" i="23"/>
  <c r="E54" i="23"/>
  <c r="AA147" i="23"/>
  <c r="Z147" i="23"/>
  <c r="Z63" i="23"/>
  <c r="AA63" i="23"/>
  <c r="AA64" i="23"/>
  <c r="Z64" i="23"/>
  <c r="R61" i="23"/>
  <c r="AP59" i="23"/>
  <c r="T61" i="23"/>
  <c r="G55" i="23"/>
  <c r="Z146" i="23"/>
  <c r="AA146" i="23"/>
  <c r="Z149" i="23"/>
  <c r="AA149" i="23"/>
  <c r="X146" i="23"/>
  <c r="AP140" i="23"/>
  <c r="AP155" i="23"/>
  <c r="AA126" i="23"/>
  <c r="Z126" i="23"/>
  <c r="AA109" i="23"/>
  <c r="Z109" i="23"/>
  <c r="AQ102" i="23"/>
  <c r="AR113" i="23"/>
  <c r="Z67" i="23"/>
  <c r="AA67" i="23"/>
  <c r="Z62" i="23"/>
  <c r="AA62" i="23"/>
  <c r="AA65" i="23"/>
  <c r="Z65" i="23"/>
  <c r="CL8" i="23"/>
  <c r="AA42" i="23"/>
  <c r="Z42" i="23"/>
  <c r="AA44" i="23"/>
  <c r="Z44" i="23"/>
  <c r="AA66" i="23"/>
  <c r="Z66" i="23"/>
  <c r="Z87" i="23"/>
  <c r="AA87" i="23"/>
  <c r="AA23" i="23"/>
  <c r="Z23" i="23"/>
  <c r="R19" i="23"/>
  <c r="AP17" i="23"/>
  <c r="G13" i="23"/>
  <c r="T19" i="23"/>
  <c r="CB1" i="23"/>
  <c r="AA22" i="23"/>
  <c r="Z22" i="23"/>
  <c r="AA39" i="23"/>
  <c r="AA50" i="23" s="1"/>
  <c r="Z39" i="23"/>
  <c r="Z50" i="23" s="1"/>
  <c r="AQ50" i="23"/>
  <c r="Z25" i="23"/>
  <c r="AA25" i="23"/>
  <c r="AA63" i="22"/>
  <c r="Z63" i="22"/>
  <c r="AA151" i="22"/>
  <c r="Z151" i="22"/>
  <c r="Z128" i="22"/>
  <c r="AA128" i="22"/>
  <c r="AA90" i="22"/>
  <c r="Z90" i="22"/>
  <c r="AA67" i="22"/>
  <c r="Z67" i="22"/>
  <c r="Z65" i="22"/>
  <c r="AA65" i="22"/>
  <c r="AA46" i="22"/>
  <c r="Z46" i="22"/>
  <c r="AA24" i="22"/>
  <c r="Z24" i="22"/>
  <c r="AP101" i="22"/>
  <c r="T103" i="22"/>
  <c r="R103" i="22"/>
  <c r="G97" i="22"/>
  <c r="AA129" i="22"/>
  <c r="Z129" i="22"/>
  <c r="BZ103" i="22"/>
  <c r="E101" i="22"/>
  <c r="AA68" i="22"/>
  <c r="Z68" i="22"/>
  <c r="AA86" i="22"/>
  <c r="Z86" i="22"/>
  <c r="X41" i="22"/>
  <c r="AP35" i="22"/>
  <c r="AP50" i="22"/>
  <c r="AA20" i="22"/>
  <c r="Z20" i="22"/>
  <c r="T61" i="22"/>
  <c r="G55" i="22"/>
  <c r="R61" i="22"/>
  <c r="AP59" i="22"/>
  <c r="AA131" i="22"/>
  <c r="Z131" i="22"/>
  <c r="AA84" i="22"/>
  <c r="Z84" i="22"/>
  <c r="AA146" i="22"/>
  <c r="Z146" i="22"/>
  <c r="AA152" i="22"/>
  <c r="Z152" i="22"/>
  <c r="AA147" i="22"/>
  <c r="Z147" i="22"/>
  <c r="AA107" i="22"/>
  <c r="Z107" i="22"/>
  <c r="AA106" i="22"/>
  <c r="Z106" i="22"/>
  <c r="AA23" i="22"/>
  <c r="Z23" i="22"/>
  <c r="T19" i="22"/>
  <c r="CB1" i="22"/>
  <c r="R19" i="22"/>
  <c r="AP17" i="22"/>
  <c r="G13" i="22"/>
  <c r="AA103" i="22"/>
  <c r="Z103" i="22"/>
  <c r="X83" i="22"/>
  <c r="AP92" i="22"/>
  <c r="AP77" i="22"/>
  <c r="BZ61" i="22"/>
  <c r="E59" i="22"/>
  <c r="G76" i="22"/>
  <c r="T82" i="22"/>
  <c r="AP80" i="22"/>
  <c r="R82" i="22"/>
  <c r="AP143" i="22"/>
  <c r="T145" i="22"/>
  <c r="G139" i="22"/>
  <c r="R145" i="22"/>
  <c r="AA153" i="22"/>
  <c r="Z153" i="22"/>
  <c r="AP134" i="22"/>
  <c r="X125" i="22"/>
  <c r="AP119" i="22"/>
  <c r="AA85" i="22"/>
  <c r="Z85" i="22"/>
  <c r="X62" i="22"/>
  <c r="AA22" i="22"/>
  <c r="Z22" i="22"/>
  <c r="Z62" i="22"/>
  <c r="AA62" i="22"/>
  <c r="AR71" i="22"/>
  <c r="AQ60" i="22"/>
  <c r="BZ19" i="22"/>
  <c r="E17" i="22"/>
  <c r="AP38" i="22"/>
  <c r="T40" i="22"/>
  <c r="G34" i="22"/>
  <c r="R40" i="22"/>
  <c r="BZ145" i="22"/>
  <c r="E143" i="22"/>
  <c r="AR134" i="22"/>
  <c r="AQ123" i="22"/>
  <c r="T124" i="22"/>
  <c r="G118" i="22"/>
  <c r="R124" i="22"/>
  <c r="AP122" i="22"/>
  <c r="AA144" i="22"/>
  <c r="AA155" i="22" s="1"/>
  <c r="Z144" i="22"/>
  <c r="Z155" i="22" s="1"/>
  <c r="AQ155" i="22"/>
  <c r="AA89" i="22"/>
  <c r="Z89" i="22"/>
  <c r="Z64" i="22"/>
  <c r="AA64" i="22"/>
  <c r="BM73" i="22"/>
  <c r="CG52" i="22"/>
  <c r="CG53" i="22" s="1"/>
  <c r="CG54" i="22" s="1"/>
  <c r="CG55" i="22" s="1"/>
  <c r="CG56" i="22" s="1"/>
  <c r="CG57" i="22" s="1"/>
  <c r="CG58" i="22" s="1"/>
  <c r="CG59" i="22" s="1"/>
  <c r="CG60" i="22" s="1"/>
  <c r="CG61" i="22" s="1"/>
  <c r="CG62" i="22" s="1"/>
  <c r="CG63" i="22" s="1"/>
  <c r="CG64" i="22" s="1"/>
  <c r="CG65" i="22" s="1"/>
  <c r="CG66" i="22" s="1"/>
  <c r="CG67" i="22" s="1"/>
  <c r="CG68" i="22" s="1"/>
  <c r="CG69" i="22" s="1"/>
  <c r="CG70" i="22" s="1"/>
  <c r="CG71" i="22" s="1"/>
  <c r="CG72" i="22" s="1"/>
  <c r="Z87" i="22"/>
  <c r="AA87" i="22"/>
  <c r="AA39" i="22"/>
  <c r="AA50" i="22" s="1"/>
  <c r="Z39" i="22"/>
  <c r="Z50" i="22" s="1"/>
  <c r="AQ50" i="22"/>
  <c r="AA108" i="22"/>
  <c r="Z108" i="22"/>
  <c r="CL7" i="22"/>
  <c r="AA21" i="22"/>
  <c r="Z21" i="22"/>
  <c r="AA124" i="21"/>
  <c r="Z124" i="21"/>
  <c r="AA108" i="21"/>
  <c r="Z108" i="21"/>
  <c r="Z126" i="21"/>
  <c r="AA126" i="21"/>
  <c r="AP140" i="21"/>
  <c r="AR113" i="21"/>
  <c r="AQ102" i="21"/>
  <c r="AA103" i="21"/>
  <c r="Z103" i="21"/>
  <c r="AP98" i="21"/>
  <c r="BN35" i="21"/>
  <c r="A35" i="21" s="1"/>
  <c r="AP35" i="21"/>
  <c r="AP29" i="21"/>
  <c r="X20" i="21"/>
  <c r="AP14" i="21"/>
  <c r="AA125" i="21"/>
  <c r="Z125" i="21"/>
  <c r="AA104" i="21"/>
  <c r="Z104" i="21"/>
  <c r="AA46" i="21"/>
  <c r="Z46" i="21"/>
  <c r="AQ18" i="21"/>
  <c r="AR29" i="21"/>
  <c r="R145" i="21"/>
  <c r="T145" i="21"/>
  <c r="AP143" i="21"/>
  <c r="G139" i="21"/>
  <c r="Z20" i="21"/>
  <c r="AA20" i="21"/>
  <c r="BN13" i="21"/>
  <c r="A13" i="21" s="1"/>
  <c r="AP134" i="21"/>
  <c r="AP119" i="21"/>
  <c r="X125" i="21"/>
  <c r="AA106" i="21"/>
  <c r="Z106" i="21"/>
  <c r="BZ145" i="21"/>
  <c r="E143" i="21"/>
  <c r="AA64" i="21"/>
  <c r="Z64" i="21"/>
  <c r="AP71" i="21"/>
  <c r="AP56" i="21"/>
  <c r="X62" i="21"/>
  <c r="E101" i="21"/>
  <c r="BZ103" i="21"/>
  <c r="AA61" i="21"/>
  <c r="Z61" i="21"/>
  <c r="AQ39" i="21"/>
  <c r="AR50" i="21"/>
  <c r="T19" i="21"/>
  <c r="AP17" i="21"/>
  <c r="CB1" i="21"/>
  <c r="R19" i="21"/>
  <c r="G13" i="21"/>
  <c r="AA153" i="21"/>
  <c r="Z153" i="21"/>
  <c r="AA89" i="21"/>
  <c r="Z89" i="21"/>
  <c r="Z90" i="21"/>
  <c r="AA90" i="21"/>
  <c r="AA42" i="21"/>
  <c r="Z42" i="21"/>
  <c r="G55" i="21"/>
  <c r="T61" i="21"/>
  <c r="AP59" i="21"/>
  <c r="R61" i="21"/>
  <c r="AA129" i="21"/>
  <c r="Z129" i="21"/>
  <c r="Z147" i="21"/>
  <c r="AA147" i="21"/>
  <c r="AP77" i="21"/>
  <c r="X83" i="21"/>
  <c r="G97" i="21"/>
  <c r="R103" i="21"/>
  <c r="T103" i="21"/>
  <c r="AP101" i="21"/>
  <c r="Z152" i="21"/>
  <c r="AA152" i="21"/>
  <c r="Z145" i="21"/>
  <c r="AA145" i="21"/>
  <c r="AA109" i="21"/>
  <c r="Z109" i="21"/>
  <c r="AA107" i="21"/>
  <c r="Z107" i="21"/>
  <c r="AR92" i="21"/>
  <c r="AQ81" i="21"/>
  <c r="AP80" i="21"/>
  <c r="G76" i="21"/>
  <c r="T82" i="21"/>
  <c r="R82" i="21"/>
  <c r="AP122" i="21"/>
  <c r="G118" i="21"/>
  <c r="T124" i="21"/>
  <c r="R124" i="21"/>
  <c r="CG73" i="21"/>
  <c r="CG74" i="21" s="1"/>
  <c r="CG75" i="21" s="1"/>
  <c r="CG76" i="21" s="1"/>
  <c r="CG77" i="21" s="1"/>
  <c r="CG78" i="21" s="1"/>
  <c r="CG79" i="21" s="1"/>
  <c r="CG80" i="21" s="1"/>
  <c r="CG81" i="21" s="1"/>
  <c r="CG82" i="21" s="1"/>
  <c r="CG83" i="21" s="1"/>
  <c r="CG84" i="21" s="1"/>
  <c r="CG85" i="21" s="1"/>
  <c r="CG86" i="21" s="1"/>
  <c r="CG87" i="21" s="1"/>
  <c r="CG88" i="21" s="1"/>
  <c r="CG89" i="21" s="1"/>
  <c r="CG90" i="21" s="1"/>
  <c r="CG91" i="21" s="1"/>
  <c r="CG92" i="21" s="1"/>
  <c r="CG93" i="21" s="1"/>
  <c r="BM94" i="21"/>
  <c r="CL8" i="21"/>
  <c r="Z132" i="21"/>
  <c r="AA132" i="21"/>
  <c r="AR134" i="21"/>
  <c r="AQ123" i="21"/>
  <c r="Z48" i="21"/>
  <c r="AA48" i="21"/>
  <c r="AP38" i="21"/>
  <c r="T40" i="21"/>
  <c r="G34" i="21"/>
  <c r="R40" i="21"/>
  <c r="BZ145" i="20"/>
  <c r="E143" i="20"/>
  <c r="AP140" i="20"/>
  <c r="AA129" i="20"/>
  <c r="Z129" i="20"/>
  <c r="AA128" i="20"/>
  <c r="Z128" i="20"/>
  <c r="AA69" i="20"/>
  <c r="Z69" i="20"/>
  <c r="AA65" i="20"/>
  <c r="Z65" i="20"/>
  <c r="AA88" i="20"/>
  <c r="Z88" i="20"/>
  <c r="AA21" i="20"/>
  <c r="Z21" i="20"/>
  <c r="AA107" i="20"/>
  <c r="Z107" i="20"/>
  <c r="Z67" i="20"/>
  <c r="AA67" i="20"/>
  <c r="AA64" i="20"/>
  <c r="Z64" i="20"/>
  <c r="AA62" i="20"/>
  <c r="Z62" i="20"/>
  <c r="AP71" i="20"/>
  <c r="X62" i="20"/>
  <c r="AP56" i="20"/>
  <c r="G55" i="20"/>
  <c r="AP59" i="20"/>
  <c r="R61" i="20"/>
  <c r="T61" i="20"/>
  <c r="AP80" i="20"/>
  <c r="T82" i="20"/>
  <c r="R82" i="20"/>
  <c r="G76" i="20"/>
  <c r="AA20" i="20"/>
  <c r="Z20" i="20"/>
  <c r="AA66" i="20"/>
  <c r="Z66" i="20"/>
  <c r="AA42" i="20"/>
  <c r="Z42" i="20"/>
  <c r="AA22" i="20"/>
  <c r="Z22" i="20"/>
  <c r="AP17" i="20"/>
  <c r="G13" i="20"/>
  <c r="CB1" i="20"/>
  <c r="T19" i="20"/>
  <c r="R19" i="20"/>
  <c r="AA152" i="20"/>
  <c r="Z152" i="20"/>
  <c r="AA147" i="20"/>
  <c r="Z147" i="20"/>
  <c r="Z130" i="20"/>
  <c r="AA130" i="20"/>
  <c r="AA144" i="20"/>
  <c r="AA155" i="20" s="1"/>
  <c r="Z144" i="20"/>
  <c r="Z155" i="20" s="1"/>
  <c r="AQ155" i="20"/>
  <c r="AA126" i="20"/>
  <c r="Z126" i="20"/>
  <c r="Z48" i="20"/>
  <c r="AA48" i="20"/>
  <c r="Z19" i="20"/>
  <c r="AA19" i="20"/>
  <c r="Z27" i="20"/>
  <c r="AA27" i="20"/>
  <c r="BM73" i="20"/>
  <c r="CG52" i="20"/>
  <c r="CG53" i="20" s="1"/>
  <c r="CG54" i="20" s="1"/>
  <c r="CG55" i="20" s="1"/>
  <c r="CG56" i="20" s="1"/>
  <c r="CG57" i="20" s="1"/>
  <c r="CG58" i="20" s="1"/>
  <c r="CG59" i="20" s="1"/>
  <c r="CG60" i="20" s="1"/>
  <c r="CG61" i="20" s="1"/>
  <c r="CG62" i="20" s="1"/>
  <c r="CG63" i="20" s="1"/>
  <c r="CG64" i="20" s="1"/>
  <c r="CG65" i="20" s="1"/>
  <c r="CG66" i="20" s="1"/>
  <c r="CG67" i="20" s="1"/>
  <c r="CG68" i="20" s="1"/>
  <c r="CG69" i="20" s="1"/>
  <c r="CG70" i="20" s="1"/>
  <c r="CG71" i="20" s="1"/>
  <c r="CG72" i="20" s="1"/>
  <c r="X83" i="20"/>
  <c r="AP77" i="20"/>
  <c r="AP92" i="20"/>
  <c r="AA68" i="20"/>
  <c r="Z68" i="20"/>
  <c r="AR113" i="20"/>
  <c r="AQ102" i="20"/>
  <c r="Z61" i="20"/>
  <c r="AA61" i="20"/>
  <c r="AA47" i="20"/>
  <c r="Z47" i="20"/>
  <c r="AP122" i="20"/>
  <c r="T124" i="20"/>
  <c r="G118" i="20"/>
  <c r="R124" i="20"/>
  <c r="AA153" i="20"/>
  <c r="Z153" i="20"/>
  <c r="AP113" i="20"/>
  <c r="X104" i="20"/>
  <c r="AP98" i="20"/>
  <c r="AA25" i="20"/>
  <c r="Z25" i="20"/>
  <c r="T103" i="20"/>
  <c r="G97" i="20"/>
  <c r="R103" i="20"/>
  <c r="AP101" i="20"/>
  <c r="AA127" i="20"/>
  <c r="Z127" i="20"/>
  <c r="AA83" i="20"/>
  <c r="Z83" i="20"/>
  <c r="AA81" i="20"/>
  <c r="AA92" i="20" s="1"/>
  <c r="Z81" i="20"/>
  <c r="Z92" i="20" s="1"/>
  <c r="AQ92" i="20"/>
  <c r="AP50" i="20"/>
  <c r="X41" i="20"/>
  <c r="AP35" i="20"/>
  <c r="E54" i="20"/>
  <c r="AA23" i="20"/>
  <c r="Z23" i="20"/>
  <c r="AP29" i="20"/>
  <c r="X20" i="20"/>
  <c r="AP14" i="20"/>
  <c r="G34" i="20"/>
  <c r="R40" i="20"/>
  <c r="AP38" i="20"/>
  <c r="T40" i="20"/>
  <c r="AP143" i="20"/>
  <c r="T145" i="20"/>
  <c r="G139" i="20"/>
  <c r="R145" i="20"/>
  <c r="CL9" i="20"/>
  <c r="AB153" i="14"/>
  <c r="AC86" i="14"/>
  <c r="AC107" i="14"/>
  <c r="AC146" i="14"/>
  <c r="X115" i="16"/>
  <c r="G54" i="7"/>
  <c r="G117" i="7"/>
  <c r="E118" i="7"/>
  <c r="DE4" i="14"/>
  <c r="DM6" i="14"/>
  <c r="G33" i="14"/>
  <c r="DC3" i="14"/>
  <c r="O5" i="14"/>
  <c r="G75" i="7"/>
  <c r="E139" i="7"/>
  <c r="DG2" i="14"/>
  <c r="DM5" i="14"/>
  <c r="DK6" i="14"/>
  <c r="DK7" i="14"/>
  <c r="DM8" i="14"/>
  <c r="E76" i="7"/>
  <c r="G54" i="14"/>
  <c r="E76" i="14"/>
  <c r="DI2" i="14"/>
  <c r="DG3" i="14"/>
  <c r="DG4" i="14"/>
  <c r="G12" i="14"/>
  <c r="E55" i="14"/>
  <c r="DE3" i="14"/>
  <c r="DM7" i="14"/>
  <c r="G138" i="14"/>
  <c r="DA2" i="14"/>
  <c r="DI3" i="14"/>
  <c r="DG5" i="14"/>
  <c r="E13" i="14"/>
  <c r="E55" i="7"/>
  <c r="E34" i="14"/>
  <c r="G117" i="14"/>
  <c r="E139" i="14"/>
  <c r="DK2" i="14"/>
  <c r="DK3" i="14"/>
  <c r="DI4" i="14"/>
  <c r="G96" i="7"/>
  <c r="G96" i="14"/>
  <c r="DC2" i="14"/>
  <c r="E97" i="7"/>
  <c r="E118" i="14"/>
  <c r="DM3" i="14"/>
  <c r="DM4" i="14"/>
  <c r="DK5" i="14"/>
  <c r="DI6" i="14"/>
  <c r="G138" i="7"/>
  <c r="G75" i="14"/>
  <c r="AB132" i="14"/>
  <c r="AP129" i="14"/>
  <c r="AC132" i="14"/>
  <c r="AP126" i="14"/>
  <c r="AC126" i="14"/>
  <c r="AP104" i="14"/>
  <c r="AP108" i="14"/>
  <c r="AB106" i="14"/>
  <c r="AP81" i="14"/>
  <c r="AP92" i="14" s="1"/>
  <c r="AB83" i="14"/>
  <c r="AP64" i="14"/>
  <c r="AB68" i="14"/>
  <c r="AP65" i="14"/>
  <c r="AP68" i="14"/>
  <c r="AB64" i="14"/>
  <c r="AP66" i="14"/>
  <c r="AP84" i="14"/>
  <c r="AP102" i="14"/>
  <c r="AP113" i="14" s="1"/>
  <c r="AC105" i="14"/>
  <c r="AC106" i="14"/>
  <c r="AP123" i="14"/>
  <c r="AP134" i="14" s="1"/>
  <c r="AP145" i="14"/>
  <c r="AC153" i="14"/>
  <c r="AB84" i="14"/>
  <c r="AC81" i="14"/>
  <c r="AC92" i="14" s="1"/>
  <c r="AP130" i="14"/>
  <c r="AP131" i="14"/>
  <c r="AC151" i="14"/>
  <c r="AP151" i="14"/>
  <c r="AP107" i="14"/>
  <c r="AC127" i="14"/>
  <c r="AP128" i="14"/>
  <c r="AC87" i="14"/>
  <c r="AB145" i="14"/>
  <c r="AP83" i="14"/>
  <c r="AB89" i="14"/>
  <c r="AP89" i="14"/>
  <c r="AB130" i="14"/>
  <c r="AC102" i="14"/>
  <c r="AC113" i="14" s="1"/>
  <c r="AC123" i="14"/>
  <c r="AC134" i="14" s="1"/>
  <c r="AB128" i="14"/>
  <c r="AC131" i="14"/>
  <c r="AP146" i="14"/>
  <c r="AD99" i="16"/>
  <c r="E13" i="7"/>
  <c r="G33" i="7"/>
  <c r="E34" i="7"/>
  <c r="DE2" i="14"/>
  <c r="DM2" i="14"/>
  <c r="DK4" i="14"/>
  <c r="DI5" i="14"/>
  <c r="F3" i="18"/>
  <c r="G3" i="18" s="1"/>
  <c r="F2" i="18"/>
  <c r="G2" i="18" s="1"/>
  <c r="Z252" i="16"/>
  <c r="Z244" i="16"/>
  <c r="Z236" i="16"/>
  <c r="Z228" i="16"/>
  <c r="Z220" i="16"/>
  <c r="Z212" i="16"/>
  <c r="Z143" i="16"/>
  <c r="Z135" i="16"/>
  <c r="Z127" i="16"/>
  <c r="Z119" i="16"/>
  <c r="Z111" i="16"/>
  <c r="AB90" i="16"/>
  <c r="X208" i="16"/>
  <c r="X209" i="16"/>
  <c r="X210" i="16"/>
  <c r="X211" i="16"/>
  <c r="X212" i="16"/>
  <c r="X216" i="16"/>
  <c r="X224" i="16"/>
  <c r="X217" i="16"/>
  <c r="X225" i="16"/>
  <c r="X233" i="16"/>
  <c r="X241" i="16"/>
  <c r="X249" i="16"/>
  <c r="X218" i="16"/>
  <c r="X226" i="16"/>
  <c r="X234" i="16"/>
  <c r="X242" i="16"/>
  <c r="X250" i="16"/>
  <c r="X240" i="16"/>
  <c r="X219" i="16"/>
  <c r="X227" i="16"/>
  <c r="X235" i="16"/>
  <c r="X243" i="16"/>
  <c r="X251" i="16"/>
  <c r="X220" i="16"/>
  <c r="X228" i="16"/>
  <c r="X236" i="16"/>
  <c r="X244" i="16"/>
  <c r="X252" i="16"/>
  <c r="X213" i="16"/>
  <c r="X221" i="16"/>
  <c r="X229" i="16"/>
  <c r="X237" i="16"/>
  <c r="X245" i="16"/>
  <c r="X253" i="16"/>
  <c r="X248" i="16"/>
  <c r="X214" i="16"/>
  <c r="X222" i="16"/>
  <c r="X230" i="16"/>
  <c r="X238" i="16"/>
  <c r="X246" i="16"/>
  <c r="X254" i="16"/>
  <c r="X232" i="16"/>
  <c r="X215" i="16"/>
  <c r="X223" i="16"/>
  <c r="X231" i="16"/>
  <c r="X239" i="16"/>
  <c r="X247" i="16"/>
  <c r="X108" i="16"/>
  <c r="X110" i="16"/>
  <c r="X111" i="16"/>
  <c r="X107" i="16"/>
  <c r="X112" i="16"/>
  <c r="X113" i="16"/>
  <c r="X109" i="16"/>
  <c r="X114" i="16"/>
  <c r="BI104" i="14"/>
  <c r="BI88" i="14"/>
  <c r="BQ130" i="7"/>
  <c r="BQ46" i="7"/>
  <c r="BQ88" i="7"/>
  <c r="BR46" i="7"/>
  <c r="BR88" i="7"/>
  <c r="BR130" i="7"/>
  <c r="BS46" i="7"/>
  <c r="BS88" i="7"/>
  <c r="BS130" i="7"/>
  <c r="BT46" i="7"/>
  <c r="BT88" i="7"/>
  <c r="BT130" i="7"/>
  <c r="BQ25" i="7"/>
  <c r="BQ67" i="7"/>
  <c r="BQ109" i="7"/>
  <c r="BQ151" i="7"/>
  <c r="BR25" i="7"/>
  <c r="BR67" i="7"/>
  <c r="BR109" i="7"/>
  <c r="BR151" i="7"/>
  <c r="BS25" i="7"/>
  <c r="BS67" i="7"/>
  <c r="BS109" i="7"/>
  <c r="BS151" i="7"/>
  <c r="DI6" i="7"/>
  <c r="BT25" i="7"/>
  <c r="BT67" i="7"/>
  <c r="BT109" i="7"/>
  <c r="BT151" i="7"/>
  <c r="O5" i="7"/>
  <c r="DM2" i="7"/>
  <c r="DK3" i="7"/>
  <c r="DG3" i="7"/>
  <c r="AT88" i="14"/>
  <c r="AU88" i="14"/>
  <c r="DM3" i="7"/>
  <c r="DK4" i="7"/>
  <c r="DG4" i="7"/>
  <c r="DM4" i="7"/>
  <c r="DK5" i="7"/>
  <c r="DG5" i="7"/>
  <c r="DM5" i="7"/>
  <c r="DI2" i="7"/>
  <c r="DC3" i="7"/>
  <c r="DE2" i="7"/>
  <c r="DI3" i="7"/>
  <c r="DM6" i="7"/>
  <c r="DI4" i="7"/>
  <c r="DA2" i="7"/>
  <c r="DC2" i="7"/>
  <c r="DM7" i="7"/>
  <c r="DI5" i="7"/>
  <c r="DE3" i="7"/>
  <c r="DK6" i="7"/>
  <c r="DM8" i="7"/>
  <c r="DE4" i="7"/>
  <c r="DK7" i="7"/>
  <c r="DK2" i="7"/>
  <c r="DG2" i="7"/>
  <c r="AZ88" i="14"/>
  <c r="BA88" i="14"/>
  <c r="AU90" i="14"/>
  <c r="BC88" i="14"/>
  <c r="AV90" i="14"/>
  <c r="BK84" i="14"/>
  <c r="BE88" i="14"/>
  <c r="BB130" i="14"/>
  <c r="AT86" i="14"/>
  <c r="BJ130" i="14"/>
  <c r="AW132" i="14"/>
  <c r="AU148" i="14"/>
  <c r="BK149" i="14"/>
  <c r="BI127" i="14"/>
  <c r="AV149" i="14"/>
  <c r="BE150" i="14"/>
  <c r="AS66" i="14"/>
  <c r="AR66" i="14" s="1"/>
  <c r="AQ66" i="14" s="1"/>
  <c r="AA66" i="14" s="1"/>
  <c r="AY102" i="14"/>
  <c r="BJ127" i="14"/>
  <c r="AY149" i="14"/>
  <c r="BJ150" i="14"/>
  <c r="AY65" i="14"/>
  <c r="AS88" i="14"/>
  <c r="AR88" i="14" s="1"/>
  <c r="AQ88" i="14" s="1"/>
  <c r="AA88" i="14" s="1"/>
  <c r="BF88" i="14"/>
  <c r="BC90" i="14"/>
  <c r="BI132" i="14"/>
  <c r="AX150" i="14"/>
  <c r="AW85" i="14"/>
  <c r="AY150" i="14"/>
  <c r="AS150" i="14"/>
  <c r="AR150" i="14" s="1"/>
  <c r="AQ150" i="14" s="1"/>
  <c r="AA150" i="14" s="1"/>
  <c r="AT127" i="14"/>
  <c r="AX145" i="14"/>
  <c r="BA150" i="14"/>
  <c r="AX64" i="14"/>
  <c r="AX84" i="14"/>
  <c r="AW88" i="14"/>
  <c r="AV127" i="14"/>
  <c r="BB145" i="14"/>
  <c r="AU149" i="14"/>
  <c r="BD150" i="14"/>
  <c r="AY64" i="14"/>
  <c r="AW82" i="14"/>
  <c r="BG83" i="14"/>
  <c r="BA84" i="14"/>
  <c r="AT85" i="14"/>
  <c r="AX88" i="14"/>
  <c r="BK88" i="14"/>
  <c r="AY90" i="14"/>
  <c r="BG103" i="14"/>
  <c r="BD106" i="14"/>
  <c r="AU125" i="14"/>
  <c r="BA127" i="14"/>
  <c r="BD130" i="14"/>
  <c r="AY144" i="14"/>
  <c r="BE82" i="14"/>
  <c r="BI83" i="14"/>
  <c r="BI84" i="14"/>
  <c r="AV85" i="14"/>
  <c r="AZ90" i="14"/>
  <c r="BH103" i="14"/>
  <c r="AX125" i="14"/>
  <c r="BB127" i="14"/>
  <c r="BF130" i="14"/>
  <c r="AX149" i="14"/>
  <c r="AT150" i="14"/>
  <c r="AW83" i="14"/>
  <c r="BB85" i="14"/>
  <c r="BB88" i="14"/>
  <c r="BG90" i="14"/>
  <c r="AS103" i="14"/>
  <c r="AR103" i="14" s="1"/>
  <c r="AQ103" i="14" s="1"/>
  <c r="AA103" i="14" s="1"/>
  <c r="AX132" i="14"/>
  <c r="AV148" i="14"/>
  <c r="BB149" i="14"/>
  <c r="BD81" i="14"/>
  <c r="AX83" i="14"/>
  <c r="BD85" i="14"/>
  <c r="BH90" i="14"/>
  <c r="AU103" i="14"/>
  <c r="BG110" i="14"/>
  <c r="AT130" i="14"/>
  <c r="AZ132" i="14"/>
  <c r="BC148" i="14"/>
  <c r="BC149" i="14"/>
  <c r="BD151" i="14"/>
  <c r="BF81" i="14"/>
  <c r="AY83" i="14"/>
  <c r="AS84" i="14"/>
  <c r="AR84" i="14" s="1"/>
  <c r="AQ84" i="14" s="1"/>
  <c r="AA84" i="14" s="1"/>
  <c r="BE85" i="14"/>
  <c r="BD89" i="14"/>
  <c r="BK90" i="14"/>
  <c r="AX103" i="14"/>
  <c r="AU130" i="14"/>
  <c r="BA132" i="14"/>
  <c r="BD148" i="14"/>
  <c r="BG149" i="14"/>
  <c r="BJ151" i="14"/>
  <c r="AT83" i="14"/>
  <c r="AS64" i="14"/>
  <c r="AR64" i="14" s="1"/>
  <c r="AQ64" i="14" s="1"/>
  <c r="Z64" i="14" s="1"/>
  <c r="BC83" i="14"/>
  <c r="AY103" i="14"/>
  <c r="AS104" i="14"/>
  <c r="AR104" i="14" s="1"/>
  <c r="AQ104" i="14" s="1"/>
  <c r="AA104" i="14" s="1"/>
  <c r="AU127" i="14"/>
  <c r="AZ130" i="14"/>
  <c r="BB132" i="14"/>
  <c r="BK148" i="14"/>
  <c r="BJ149" i="14"/>
  <c r="AV82" i="14"/>
  <c r="BF83" i="14"/>
  <c r="AZ84" i="14"/>
  <c r="AS85" i="14"/>
  <c r="AR85" i="14" s="1"/>
  <c r="AQ85" i="14" s="1"/>
  <c r="Z85" i="14" s="1"/>
  <c r="BC103" i="14"/>
  <c r="BA104" i="14"/>
  <c r="AY106" i="14"/>
  <c r="AX108" i="14"/>
  <c r="AV86" i="14"/>
  <c r="BF102" i="14"/>
  <c r="AY108" i="14"/>
  <c r="AT109" i="14"/>
  <c r="AY125" i="14"/>
  <c r="BK130" i="14"/>
  <c r="BD132" i="14"/>
  <c r="AZ144" i="14"/>
  <c r="BC145" i="14"/>
  <c r="BD149" i="14"/>
  <c r="AV150" i="14"/>
  <c r="BF150" i="14"/>
  <c r="AT151" i="14"/>
  <c r="BA64" i="14"/>
  <c r="BG82" i="14"/>
  <c r="BA83" i="14"/>
  <c r="BJ83" i="14"/>
  <c r="BI85" i="14"/>
  <c r="AY86" i="14"/>
  <c r="BG102" i="14"/>
  <c r="AZ103" i="14"/>
  <c r="BI103" i="14"/>
  <c r="AV104" i="14"/>
  <c r="AZ108" i="14"/>
  <c r="AZ109" i="14"/>
  <c r="AV110" i="14"/>
  <c r="BB125" i="14"/>
  <c r="AU128" i="14"/>
  <c r="AS132" i="14"/>
  <c r="AR132" i="14" s="1"/>
  <c r="AQ132" i="14" s="1"/>
  <c r="AA132" i="14" s="1"/>
  <c r="BF132" i="14"/>
  <c r="BE144" i="14"/>
  <c r="BH145" i="14"/>
  <c r="AV147" i="14"/>
  <c r="AT149" i="14"/>
  <c r="BF149" i="14"/>
  <c r="AW150" i="14"/>
  <c r="BG150" i="14"/>
  <c r="AV151" i="14"/>
  <c r="BD64" i="14"/>
  <c r="AT68" i="14"/>
  <c r="AX81" i="14"/>
  <c r="AS83" i="14"/>
  <c r="AR83" i="14" s="1"/>
  <c r="AQ83" i="14" s="1"/>
  <c r="AA83" i="14" s="1"/>
  <c r="BB83" i="14"/>
  <c r="BK83" i="14"/>
  <c r="BJ85" i="14"/>
  <c r="BA86" i="14"/>
  <c r="BA103" i="14"/>
  <c r="BJ103" i="14"/>
  <c r="AX104" i="14"/>
  <c r="BA108" i="14"/>
  <c r="BB109" i="14"/>
  <c r="AY110" i="14"/>
  <c r="BC125" i="14"/>
  <c r="AX128" i="14"/>
  <c r="AY130" i="14"/>
  <c r="AV132" i="14"/>
  <c r="BH132" i="14"/>
  <c r="BG144" i="14"/>
  <c r="BI145" i="14"/>
  <c r="BB147" i="14"/>
  <c r="BI150" i="14"/>
  <c r="BF64" i="14"/>
  <c r="BB86" i="14"/>
  <c r="AV88" i="14"/>
  <c r="BD88" i="14"/>
  <c r="AT103" i="14"/>
  <c r="BB103" i="14"/>
  <c r="BK103" i="14"/>
  <c r="AZ104" i="14"/>
  <c r="BD108" i="14"/>
  <c r="BE109" i="14"/>
  <c r="BD110" i="14"/>
  <c r="BF125" i="14"/>
  <c r="AY128" i="14"/>
  <c r="AU83" i="14"/>
  <c r="BD83" i="14"/>
  <c r="AY85" i="14"/>
  <c r="BD86" i="14"/>
  <c r="BG108" i="14"/>
  <c r="BG125" i="14"/>
  <c r="BF128" i="14"/>
  <c r="BJ132" i="14"/>
  <c r="AS145" i="14"/>
  <c r="AR145" i="14" s="1"/>
  <c r="AQ145" i="14" s="1"/>
  <c r="AA145" i="14" s="1"/>
  <c r="AV83" i="14"/>
  <c r="BE83" i="14"/>
  <c r="BA85" i="14"/>
  <c r="BG86" i="14"/>
  <c r="AV89" i="14"/>
  <c r="BD90" i="14"/>
  <c r="AV103" i="14"/>
  <c r="BD103" i="14"/>
  <c r="BF104" i="14"/>
  <c r="AS108" i="14"/>
  <c r="AR108" i="14" s="1"/>
  <c r="AQ108" i="14" s="1"/>
  <c r="AA108" i="14" s="1"/>
  <c r="BH108" i="14"/>
  <c r="AT111" i="14"/>
  <c r="AS123" i="14"/>
  <c r="AR123" i="14" s="1"/>
  <c r="AR134" i="14" s="1"/>
  <c r="AT125" i="14"/>
  <c r="BK125" i="14"/>
  <c r="BH128" i="14"/>
  <c r="BB129" i="14"/>
  <c r="AV145" i="14"/>
  <c r="BB150" i="14"/>
  <c r="BB152" i="14"/>
  <c r="AV64" i="14"/>
  <c r="BI86" i="14"/>
  <c r="AY88" i="14"/>
  <c r="BH88" i="14"/>
  <c r="AX89" i="14"/>
  <c r="AW103" i="14"/>
  <c r="BF103" i="14"/>
  <c r="BH104" i="14"/>
  <c r="AV108" i="14"/>
  <c r="BI108" i="14"/>
  <c r="BE111" i="14"/>
  <c r="BJ128" i="14"/>
  <c r="BC129" i="14"/>
  <c r="BJ152" i="14"/>
  <c r="BB87" i="14"/>
  <c r="BE67" i="14"/>
  <c r="BG68" i="14"/>
  <c r="BJ67" i="14"/>
  <c r="BJ68" i="14"/>
  <c r="AY82" i="14"/>
  <c r="AZ87" i="14"/>
  <c r="BI87" i="14"/>
  <c r="AZ89" i="14"/>
  <c r="AS90" i="14"/>
  <c r="AR90" i="14" s="1"/>
  <c r="AQ90" i="14" s="1"/>
  <c r="Z90" i="14" s="1"/>
  <c r="BA90" i="14"/>
  <c r="BI90" i="14"/>
  <c r="AZ106" i="14"/>
  <c r="AY107" i="14"/>
  <c r="BC109" i="14"/>
  <c r="AW110" i="14"/>
  <c r="BE110" i="14"/>
  <c r="AW111" i="14"/>
  <c r="BB124" i="14"/>
  <c r="AZ125" i="14"/>
  <c r="BH125" i="14"/>
  <c r="AZ126" i="14"/>
  <c r="BJ126" i="14"/>
  <c r="BA131" i="14"/>
  <c r="BJ131" i="14"/>
  <c r="BA144" i="14"/>
  <c r="AT145" i="14"/>
  <c r="BD145" i="14"/>
  <c r="AX146" i="14"/>
  <c r="BJ146" i="14"/>
  <c r="AS148" i="14"/>
  <c r="AR148" i="14" s="1"/>
  <c r="AQ148" i="14" s="1"/>
  <c r="AA148" i="14" s="1"/>
  <c r="BA148" i="14"/>
  <c r="BI148" i="14"/>
  <c r="BG151" i="14"/>
  <c r="BD152" i="14"/>
  <c r="AV65" i="14"/>
  <c r="BK67" i="14"/>
  <c r="BK68" i="14"/>
  <c r="BD82" i="14"/>
  <c r="BF84" i="14"/>
  <c r="BG85" i="14"/>
  <c r="AS86" i="14"/>
  <c r="AR86" i="14" s="1"/>
  <c r="AQ86" i="14" s="1"/>
  <c r="Z86" i="14" s="1"/>
  <c r="BE86" i="14"/>
  <c r="AS87" i="14"/>
  <c r="AR87" i="14" s="1"/>
  <c r="AQ87" i="14" s="1"/>
  <c r="Z87" i="14" s="1"/>
  <c r="BA87" i="14"/>
  <c r="BJ87" i="14"/>
  <c r="BA89" i="14"/>
  <c r="AT90" i="14"/>
  <c r="BB90" i="14"/>
  <c r="BJ90" i="14"/>
  <c r="BD104" i="14"/>
  <c r="BA106" i="14"/>
  <c r="BD107" i="14"/>
  <c r="BD109" i="14"/>
  <c r="AX110" i="14"/>
  <c r="BF110" i="14"/>
  <c r="BD111" i="14"/>
  <c r="BD124" i="14"/>
  <c r="AS125" i="14"/>
  <c r="AR125" i="14" s="1"/>
  <c r="AQ125" i="14" s="1"/>
  <c r="AA125" i="14" s="1"/>
  <c r="BA125" i="14"/>
  <c r="BI125" i="14"/>
  <c r="BA126" i="14"/>
  <c r="BK126" i="14"/>
  <c r="AY127" i="14"/>
  <c r="BC130" i="14"/>
  <c r="AS131" i="14"/>
  <c r="AR131" i="14" s="1"/>
  <c r="AQ131" i="14" s="1"/>
  <c r="AA131" i="14" s="1"/>
  <c r="BB131" i="14"/>
  <c r="BK131" i="14"/>
  <c r="BD144" i="14"/>
  <c r="AU145" i="14"/>
  <c r="BF145" i="14"/>
  <c r="AY146" i="14"/>
  <c r="BK146" i="14"/>
  <c r="AT148" i="14"/>
  <c r="BB148" i="14"/>
  <c r="BJ148" i="14"/>
  <c r="AW149" i="14"/>
  <c r="BE149" i="14"/>
  <c r="AZ150" i="14"/>
  <c r="BH150" i="14"/>
  <c r="AS151" i="14"/>
  <c r="AR151" i="14" s="1"/>
  <c r="AQ151" i="14" s="1"/>
  <c r="Z151" i="14" s="1"/>
  <c r="BI151" i="14"/>
  <c r="BE152" i="14"/>
  <c r="BC131" i="14"/>
  <c r="BA146" i="14"/>
  <c r="AV66" i="14"/>
  <c r="AT67" i="14"/>
  <c r="AX68" i="14"/>
  <c r="AU87" i="14"/>
  <c r="BD87" i="14"/>
  <c r="BF89" i="14"/>
  <c r="BF106" i="14"/>
  <c r="AU109" i="14"/>
  <c r="BH109" i="14"/>
  <c r="AZ110" i="14"/>
  <c r="BH110" i="14"/>
  <c r="AS126" i="14"/>
  <c r="AR126" i="14" s="1"/>
  <c r="AQ126" i="14" s="1"/>
  <c r="AA126" i="14" s="1"/>
  <c r="BC126" i="14"/>
  <c r="AU131" i="14"/>
  <c r="BD131" i="14"/>
  <c r="BB146" i="14"/>
  <c r="AT131" i="14"/>
  <c r="BI64" i="14"/>
  <c r="BF65" i="14"/>
  <c r="BD66" i="14"/>
  <c r="AV67" i="14"/>
  <c r="AZ68" i="14"/>
  <c r="AW86" i="14"/>
  <c r="BJ86" i="14"/>
  <c r="AV87" i="14"/>
  <c r="BE87" i="14"/>
  <c r="BH89" i="14"/>
  <c r="AW90" i="14"/>
  <c r="BE90" i="14"/>
  <c r="AS106" i="14"/>
  <c r="AR106" i="14" s="1"/>
  <c r="AQ106" i="14" s="1"/>
  <c r="AA106" i="14" s="1"/>
  <c r="BG106" i="14"/>
  <c r="AV109" i="14"/>
  <c r="BJ109" i="14"/>
  <c r="AS110" i="14"/>
  <c r="AR110" i="14" s="1"/>
  <c r="AQ110" i="14" s="1"/>
  <c r="AA110" i="14" s="1"/>
  <c r="BA110" i="14"/>
  <c r="BI110" i="14"/>
  <c r="BA123" i="14"/>
  <c r="AV125" i="14"/>
  <c r="BD125" i="14"/>
  <c r="AT126" i="14"/>
  <c r="BD126" i="14"/>
  <c r="BD127" i="14"/>
  <c r="AZ128" i="14"/>
  <c r="AV130" i="14"/>
  <c r="BG130" i="14"/>
  <c r="AV131" i="14"/>
  <c r="BE131" i="14"/>
  <c r="AT132" i="14"/>
  <c r="BE132" i="14"/>
  <c r="AS144" i="14"/>
  <c r="AR144" i="14" s="1"/>
  <c r="AR155" i="14" s="1"/>
  <c r="BH144" i="14"/>
  <c r="AZ145" i="14"/>
  <c r="BJ145" i="14"/>
  <c r="AS146" i="14"/>
  <c r="AR146" i="14" s="1"/>
  <c r="AQ146" i="14" s="1"/>
  <c r="AA146" i="14" s="1"/>
  <c r="BC146" i="14"/>
  <c r="BD147" i="14"/>
  <c r="AW148" i="14"/>
  <c r="BE148" i="14"/>
  <c r="AZ149" i="14"/>
  <c r="BH149" i="14"/>
  <c r="AU150" i="14"/>
  <c r="BC150" i="14"/>
  <c r="AY151" i="14"/>
  <c r="AT152" i="14"/>
  <c r="BD65" i="14"/>
  <c r="BG65" i="14"/>
  <c r="BG66" i="14"/>
  <c r="AW67" i="14"/>
  <c r="BB68" i="14"/>
  <c r="AZ83" i="14"/>
  <c r="AV84" i="14"/>
  <c r="AW87" i="14"/>
  <c r="BF87" i="14"/>
  <c r="AS89" i="14"/>
  <c r="AR89" i="14" s="1"/>
  <c r="AQ89" i="14" s="1"/>
  <c r="AA89" i="14" s="1"/>
  <c r="BI89" i="14"/>
  <c r="AX90" i="14"/>
  <c r="AV106" i="14"/>
  <c r="BH106" i="14"/>
  <c r="AW109" i="14"/>
  <c r="BK109" i="14"/>
  <c r="AT110" i="14"/>
  <c r="BB110" i="14"/>
  <c r="BJ110" i="14"/>
  <c r="AW125" i="14"/>
  <c r="BE125" i="14"/>
  <c r="AU126" i="14"/>
  <c r="BF126" i="14"/>
  <c r="AS127" i="14"/>
  <c r="AR127" i="14" s="1"/>
  <c r="AQ127" i="14" s="1"/>
  <c r="AA127" i="14" s="1"/>
  <c r="BG127" i="14"/>
  <c r="BB128" i="14"/>
  <c r="AX130" i="14"/>
  <c r="AW131" i="14"/>
  <c r="BF131" i="14"/>
  <c r="AW144" i="14"/>
  <c r="BI144" i="14"/>
  <c r="BA145" i="14"/>
  <c r="BK145" i="14"/>
  <c r="AT146" i="14"/>
  <c r="BD146" i="14"/>
  <c r="BE147" i="14"/>
  <c r="AX148" i="14"/>
  <c r="BF148" i="14"/>
  <c r="AS149" i="14"/>
  <c r="AR149" i="14" s="1"/>
  <c r="AQ149" i="14" s="1"/>
  <c r="AA149" i="14" s="1"/>
  <c r="BA149" i="14"/>
  <c r="BA151" i="14"/>
  <c r="AV152" i="14"/>
  <c r="BI66" i="14"/>
  <c r="AZ67" i="14"/>
  <c r="BC68" i="14"/>
  <c r="AX87" i="14"/>
  <c r="BG87" i="14"/>
  <c r="AX106" i="14"/>
  <c r="AU110" i="14"/>
  <c r="BC110" i="14"/>
  <c r="AV126" i="14"/>
  <c r="BH126" i="14"/>
  <c r="AX131" i="14"/>
  <c r="BG131" i="14"/>
  <c r="AU146" i="14"/>
  <c r="BG146" i="14"/>
  <c r="AY148" i="14"/>
  <c r="BG148" i="14"/>
  <c r="BB151" i="14"/>
  <c r="AW152" i="14"/>
  <c r="AT87" i="14"/>
  <c r="BB126" i="14"/>
  <c r="AY87" i="14"/>
  <c r="BH87" i="14"/>
  <c r="AV124" i="14"/>
  <c r="AX126" i="14"/>
  <c r="BI126" i="14"/>
  <c r="AY131" i="14"/>
  <c r="BI131" i="14"/>
  <c r="AV146" i="14"/>
  <c r="BI146" i="14"/>
  <c r="AZ148" i="14"/>
  <c r="AS116" i="16"/>
  <c r="X116" i="16" s="1"/>
  <c r="AS65" i="14"/>
  <c r="AR65" i="14" s="1"/>
  <c r="AQ65" i="14" s="1"/>
  <c r="AA65" i="14" s="1"/>
  <c r="BI65" i="14"/>
  <c r="AX66" i="14"/>
  <c r="BB67" i="14"/>
  <c r="AU68" i="14"/>
  <c r="BD68" i="14"/>
  <c r="AV69" i="14"/>
  <c r="AY66" i="14"/>
  <c r="BC67" i="14"/>
  <c r="AV68" i="14"/>
  <c r="BE68" i="14"/>
  <c r="AW69" i="14"/>
  <c r="BG64" i="14"/>
  <c r="AX65" i="14"/>
  <c r="BA66" i="14"/>
  <c r="BD67" i="14"/>
  <c r="AW68" i="14"/>
  <c r="BF68" i="14"/>
  <c r="AY69" i="14"/>
  <c r="BD69" i="14"/>
  <c r="BA65" i="14"/>
  <c r="BF66" i="14"/>
  <c r="AU67" i="14"/>
  <c r="BH67" i="14"/>
  <c r="AY68" i="14"/>
  <c r="BH68" i="14"/>
  <c r="BE69" i="14"/>
  <c r="BG69" i="14"/>
  <c r="BN56" i="14"/>
  <c r="BN57" i="14" s="1"/>
  <c r="BN58" i="14" s="1"/>
  <c r="BN59" i="14" s="1"/>
  <c r="AC67" i="14"/>
  <c r="AB67" i="14"/>
  <c r="AP67" i="14"/>
  <c r="AT64" i="14"/>
  <c r="BB64" i="14"/>
  <c r="BJ64" i="14"/>
  <c r="AT65" i="14"/>
  <c r="BB65" i="14"/>
  <c r="BJ65" i="14"/>
  <c r="AT66" i="14"/>
  <c r="BB66" i="14"/>
  <c r="BJ66" i="14"/>
  <c r="AX67" i="14"/>
  <c r="BF67" i="14"/>
  <c r="AS68" i="14"/>
  <c r="AR68" i="14" s="1"/>
  <c r="AQ68" i="14" s="1"/>
  <c r="BA68" i="14"/>
  <c r="AB69" i="14"/>
  <c r="AZ69" i="14"/>
  <c r="BH69" i="14"/>
  <c r="AY81" i="14"/>
  <c r="BG81" i="14"/>
  <c r="AB82" i="14"/>
  <c r="AZ82" i="14"/>
  <c r="BH82" i="14"/>
  <c r="BC84" i="14"/>
  <c r="AO92" i="14"/>
  <c r="AV105" i="14"/>
  <c r="AU64" i="14"/>
  <c r="BC64" i="14"/>
  <c r="BK64" i="14"/>
  <c r="AU65" i="14"/>
  <c r="BC65" i="14"/>
  <c r="BK65" i="14"/>
  <c r="AU66" i="14"/>
  <c r="BC66" i="14"/>
  <c r="BK66" i="14"/>
  <c r="AY67" i="14"/>
  <c r="BG67" i="14"/>
  <c r="AC69" i="14"/>
  <c r="AS69" i="14"/>
  <c r="AR69" i="14" s="1"/>
  <c r="AQ69" i="14" s="1"/>
  <c r="BA69" i="14"/>
  <c r="BI69" i="14"/>
  <c r="AZ81" i="14"/>
  <c r="BH81" i="14"/>
  <c r="AC82" i="14"/>
  <c r="AS82" i="14"/>
  <c r="AR82" i="14" s="1"/>
  <c r="AQ82" i="14" s="1"/>
  <c r="BA82" i="14"/>
  <c r="BI82" i="14"/>
  <c r="BD84" i="14"/>
  <c r="AX102" i="14"/>
  <c r="AT69" i="14"/>
  <c r="BB69" i="14"/>
  <c r="BJ69" i="14"/>
  <c r="AS81" i="14"/>
  <c r="AR81" i="14" s="1"/>
  <c r="BA81" i="14"/>
  <c r="BI81" i="14"/>
  <c r="AT82" i="14"/>
  <c r="BB82" i="14"/>
  <c r="BJ82" i="14"/>
  <c r="AB85" i="14"/>
  <c r="AP85" i="14"/>
  <c r="BK105" i="14"/>
  <c r="BC105" i="14"/>
  <c r="AU105" i="14"/>
  <c r="BJ105" i="14"/>
  <c r="BB105" i="14"/>
  <c r="AT105" i="14"/>
  <c r="BI105" i="14"/>
  <c r="BA105" i="14"/>
  <c r="AS105" i="14"/>
  <c r="AR105" i="14" s="1"/>
  <c r="AQ105" i="14" s="1"/>
  <c r="BH105" i="14"/>
  <c r="AZ105" i="14"/>
  <c r="BG105" i="14"/>
  <c r="AY105" i="14"/>
  <c r="BF105" i="14"/>
  <c r="AX105" i="14"/>
  <c r="BE105" i="14"/>
  <c r="AW105" i="14"/>
  <c r="AW64" i="14"/>
  <c r="BE64" i="14"/>
  <c r="AW65" i="14"/>
  <c r="BE65" i="14"/>
  <c r="AW66" i="14"/>
  <c r="BE66" i="14"/>
  <c r="AS67" i="14"/>
  <c r="AR67" i="14" s="1"/>
  <c r="AQ67" i="14" s="1"/>
  <c r="BA67" i="14"/>
  <c r="AU69" i="14"/>
  <c r="BC69" i="14"/>
  <c r="BK69" i="14"/>
  <c r="AT81" i="14"/>
  <c r="BB81" i="14"/>
  <c r="AU82" i="14"/>
  <c r="BC82" i="14"/>
  <c r="BK82" i="14"/>
  <c r="AU84" i="14"/>
  <c r="AC88" i="14"/>
  <c r="AB88" i="14"/>
  <c r="AP90" i="14"/>
  <c r="AC90" i="14"/>
  <c r="AC110" i="14"/>
  <c r="AB110" i="14"/>
  <c r="AP110" i="14"/>
  <c r="AU81" i="14"/>
  <c r="BC81" i="14"/>
  <c r="AZ64" i="14"/>
  <c r="AZ65" i="14"/>
  <c r="AZ66" i="14"/>
  <c r="AX69" i="14"/>
  <c r="AW81" i="14"/>
  <c r="AX82" i="14"/>
  <c r="BG84" i="14"/>
  <c r="AY84" i="14"/>
  <c r="BE84" i="14"/>
  <c r="AW84" i="14"/>
  <c r="BJ84" i="14"/>
  <c r="BB84" i="14"/>
  <c r="AT84" i="14"/>
  <c r="BE102" i="14"/>
  <c r="AW102" i="14"/>
  <c r="BC102" i="14"/>
  <c r="AU102" i="14"/>
  <c r="BB102" i="14"/>
  <c r="AT102" i="14"/>
  <c r="BI102" i="14"/>
  <c r="BA102" i="14"/>
  <c r="AS102" i="14"/>
  <c r="AR102" i="14" s="1"/>
  <c r="BH102" i="14"/>
  <c r="AZ102" i="14"/>
  <c r="AU85" i="14"/>
  <c r="BC85" i="14"/>
  <c r="BK85" i="14"/>
  <c r="AU86" i="14"/>
  <c r="BC86" i="14"/>
  <c r="BK86" i="14"/>
  <c r="BC87" i="14"/>
  <c r="BG88" i="14"/>
  <c r="AT89" i="14"/>
  <c r="BB89" i="14"/>
  <c r="BJ89" i="14"/>
  <c r="AB102" i="14"/>
  <c r="AB113" i="14" s="1"/>
  <c r="AC103" i="14"/>
  <c r="AT104" i="14"/>
  <c r="BB104" i="14"/>
  <c r="BJ104" i="14"/>
  <c r="BF107" i="14"/>
  <c r="BC123" i="14"/>
  <c r="BE124" i="14"/>
  <c r="AC125" i="14"/>
  <c r="AB125" i="14"/>
  <c r="AU89" i="14"/>
  <c r="BC89" i="14"/>
  <c r="BK89" i="14"/>
  <c r="AU104" i="14"/>
  <c r="BC104" i="14"/>
  <c r="BK104" i="14"/>
  <c r="AP105" i="14"/>
  <c r="AS107" i="14"/>
  <c r="AR107" i="14" s="1"/>
  <c r="AQ107" i="14" s="1"/>
  <c r="BG107" i="14"/>
  <c r="AC111" i="14"/>
  <c r="AB111" i="14"/>
  <c r="AP111" i="14"/>
  <c r="BK111" i="14"/>
  <c r="BC111" i="14"/>
  <c r="AU111" i="14"/>
  <c r="BI111" i="14"/>
  <c r="BA111" i="14"/>
  <c r="AS111" i="14"/>
  <c r="AR111" i="14" s="1"/>
  <c r="AQ111" i="14" s="1"/>
  <c r="BH111" i="14"/>
  <c r="AZ111" i="14"/>
  <c r="BG111" i="14"/>
  <c r="AY111" i="14"/>
  <c r="BF111" i="14"/>
  <c r="AX111" i="14"/>
  <c r="BD123" i="14"/>
  <c r="AP125" i="14"/>
  <c r="AV107" i="14"/>
  <c r="BH107" i="14"/>
  <c r="AC124" i="14"/>
  <c r="AB124" i="14"/>
  <c r="AP124" i="14"/>
  <c r="BK124" i="14"/>
  <c r="BC124" i="14"/>
  <c r="AU124" i="14"/>
  <c r="BI124" i="14"/>
  <c r="BA124" i="14"/>
  <c r="AS124" i="14"/>
  <c r="AR124" i="14" s="1"/>
  <c r="AQ124" i="14" s="1"/>
  <c r="BH124" i="14"/>
  <c r="AZ124" i="14"/>
  <c r="BG124" i="14"/>
  <c r="AY124" i="14"/>
  <c r="BF124" i="14"/>
  <c r="AX124" i="14"/>
  <c r="AX85" i="14"/>
  <c r="BF85" i="14"/>
  <c r="AP86" i="14"/>
  <c r="AX86" i="14"/>
  <c r="BF86" i="14"/>
  <c r="AP87" i="14"/>
  <c r="AW89" i="14"/>
  <c r="BE89" i="14"/>
  <c r="AW104" i="14"/>
  <c r="BE104" i="14"/>
  <c r="BE106" i="14"/>
  <c r="AW106" i="14"/>
  <c r="BK106" i="14"/>
  <c r="BC106" i="14"/>
  <c r="AU106" i="14"/>
  <c r="BJ106" i="14"/>
  <c r="BB106" i="14"/>
  <c r="AT106" i="14"/>
  <c r="AX107" i="14"/>
  <c r="AC109" i="14"/>
  <c r="AP109" i="14"/>
  <c r="AV111" i="14"/>
  <c r="AT124" i="14"/>
  <c r="BE107" i="14"/>
  <c r="AW107" i="14"/>
  <c r="BK107" i="14"/>
  <c r="BC107" i="14"/>
  <c r="AU107" i="14"/>
  <c r="BJ107" i="14"/>
  <c r="BB107" i="14"/>
  <c r="AT107" i="14"/>
  <c r="BB123" i="14"/>
  <c r="AT123" i="14"/>
  <c r="BH123" i="14"/>
  <c r="AZ123" i="14"/>
  <c r="BG123" i="14"/>
  <c r="AY123" i="14"/>
  <c r="BF123" i="14"/>
  <c r="AX123" i="14"/>
  <c r="BE123" i="14"/>
  <c r="AW123" i="14"/>
  <c r="AZ85" i="14"/>
  <c r="AZ86" i="14"/>
  <c r="AY89" i="14"/>
  <c r="AY104" i="14"/>
  <c r="AZ107" i="14"/>
  <c r="BE108" i="14"/>
  <c r="AW108" i="14"/>
  <c r="BK108" i="14"/>
  <c r="BC108" i="14"/>
  <c r="AU108" i="14"/>
  <c r="BJ108" i="14"/>
  <c r="BB108" i="14"/>
  <c r="AT108" i="14"/>
  <c r="BB111" i="14"/>
  <c r="AU123" i="14"/>
  <c r="AW124" i="14"/>
  <c r="AC152" i="14"/>
  <c r="AB152" i="14"/>
  <c r="AP152" i="14"/>
  <c r="BA107" i="14"/>
  <c r="BC127" i="14"/>
  <c r="BK127" i="14"/>
  <c r="AT129" i="14"/>
  <c r="BD129" i="14"/>
  <c r="BI128" i="14"/>
  <c r="BA128" i="14"/>
  <c r="AS128" i="14"/>
  <c r="AR128" i="14" s="1"/>
  <c r="AQ128" i="14" s="1"/>
  <c r="BE128" i="14"/>
  <c r="AW128" i="14"/>
  <c r="AU129" i="14"/>
  <c r="BF129" i="14"/>
  <c r="AP144" i="14"/>
  <c r="AO155" i="14"/>
  <c r="AC144" i="14"/>
  <c r="AC155" i="14" s="1"/>
  <c r="AX109" i="14"/>
  <c r="BF109" i="14"/>
  <c r="AW127" i="14"/>
  <c r="BE127" i="14"/>
  <c r="BC128" i="14"/>
  <c r="AV129" i="14"/>
  <c r="BG129" i="14"/>
  <c r="BE130" i="14"/>
  <c r="AW130" i="14"/>
  <c r="BI130" i="14"/>
  <c r="BA130" i="14"/>
  <c r="AS130" i="14"/>
  <c r="AR130" i="14" s="1"/>
  <c r="AQ130" i="14" s="1"/>
  <c r="AC147" i="14"/>
  <c r="AB147" i="14"/>
  <c r="AP147" i="14"/>
  <c r="BK147" i="14"/>
  <c r="BC147" i="14"/>
  <c r="AU147" i="14"/>
  <c r="BI147" i="14"/>
  <c r="BA147" i="14"/>
  <c r="AS147" i="14"/>
  <c r="AR147" i="14" s="1"/>
  <c r="AQ147" i="14" s="1"/>
  <c r="BH147" i="14"/>
  <c r="AZ147" i="14"/>
  <c r="BG147" i="14"/>
  <c r="AY147" i="14"/>
  <c r="BF147" i="14"/>
  <c r="AX147" i="14"/>
  <c r="AV153" i="14"/>
  <c r="AY109" i="14"/>
  <c r="BG109" i="14"/>
  <c r="AB123" i="14"/>
  <c r="AB134" i="14" s="1"/>
  <c r="AW126" i="14"/>
  <c r="BE126" i="14"/>
  <c r="AP127" i="14"/>
  <c r="AX127" i="14"/>
  <c r="BF127" i="14"/>
  <c r="AT128" i="14"/>
  <c r="BD128" i="14"/>
  <c r="AX129" i="14"/>
  <c r="BH129" i="14"/>
  <c r="AT147" i="14"/>
  <c r="AY129" i="14"/>
  <c r="BJ129" i="14"/>
  <c r="BK153" i="14"/>
  <c r="BC153" i="14"/>
  <c r="AU153" i="14"/>
  <c r="BJ153" i="14"/>
  <c r="BB153" i="14"/>
  <c r="AT153" i="14"/>
  <c r="BI153" i="14"/>
  <c r="BA153" i="14"/>
  <c r="AS153" i="14"/>
  <c r="AR153" i="14" s="1"/>
  <c r="AQ153" i="14" s="1"/>
  <c r="BH153" i="14"/>
  <c r="AZ153" i="14"/>
  <c r="BG153" i="14"/>
  <c r="AY153" i="14"/>
  <c r="BF153" i="14"/>
  <c r="AX153" i="14"/>
  <c r="BE153" i="14"/>
  <c r="AW153" i="14"/>
  <c r="AS109" i="14"/>
  <c r="AR109" i="14" s="1"/>
  <c r="AQ109" i="14" s="1"/>
  <c r="BA109" i="14"/>
  <c r="AY126" i="14"/>
  <c r="AZ127" i="14"/>
  <c r="AV128" i="14"/>
  <c r="BG128" i="14"/>
  <c r="AZ129" i="14"/>
  <c r="AB144" i="14"/>
  <c r="AB155" i="14" s="1"/>
  <c r="AW147" i="14"/>
  <c r="BI129" i="14"/>
  <c r="BA129" i="14"/>
  <c r="AS129" i="14"/>
  <c r="AR129" i="14" s="1"/>
  <c r="AQ129" i="14" s="1"/>
  <c r="BE129" i="14"/>
  <c r="AW129" i="14"/>
  <c r="AC148" i="14"/>
  <c r="AB148" i="14"/>
  <c r="AC149" i="14"/>
  <c r="AB149" i="14"/>
  <c r="AC150" i="14"/>
  <c r="AB150" i="14"/>
  <c r="AU151" i="14"/>
  <c r="BC151" i="14"/>
  <c r="BK151" i="14"/>
  <c r="AX152" i="14"/>
  <c r="BF152" i="14"/>
  <c r="AU132" i="14"/>
  <c r="BC132" i="14"/>
  <c r="BK132" i="14"/>
  <c r="AT144" i="14"/>
  <c r="BB144" i="14"/>
  <c r="AY152" i="14"/>
  <c r="BG152" i="14"/>
  <c r="AU144" i="14"/>
  <c r="BC144" i="14"/>
  <c r="AW146" i="14"/>
  <c r="BE146" i="14"/>
  <c r="AW151" i="14"/>
  <c r="BE151" i="14"/>
  <c r="AZ152" i="14"/>
  <c r="BH152" i="14"/>
  <c r="AW145" i="14"/>
  <c r="BE145" i="14"/>
  <c r="BF146" i="14"/>
  <c r="AX151" i="14"/>
  <c r="BF151" i="14"/>
  <c r="AS152" i="14"/>
  <c r="AR152" i="14" s="1"/>
  <c r="AQ152" i="14" s="1"/>
  <c r="BA152" i="14"/>
  <c r="BI152" i="14"/>
  <c r="AZ131" i="14"/>
  <c r="AY132" i="14"/>
  <c r="AX144" i="14"/>
  <c r="AY145" i="14"/>
  <c r="AZ146" i="14"/>
  <c r="AZ151" i="14"/>
  <c r="AU152" i="14"/>
  <c r="BC152" i="14"/>
  <c r="Z104" i="16"/>
  <c r="AA123" i="20" l="1"/>
  <c r="AA134" i="20" s="1"/>
  <c r="AA50" i="1"/>
  <c r="AF51" i="1"/>
  <c r="Z123" i="20"/>
  <c r="Z134" i="20" s="1"/>
  <c r="E58" i="22"/>
  <c r="G58" i="22" s="1"/>
  <c r="E58" i="29"/>
  <c r="G58" i="29" s="1"/>
  <c r="E58" i="24"/>
  <c r="G58" i="24" s="1"/>
  <c r="A13" i="23"/>
  <c r="BN14" i="23"/>
  <c r="A92" i="22"/>
  <c r="A78" i="22"/>
  <c r="A91" i="22"/>
  <c r="A87" i="22"/>
  <c r="A83" i="22"/>
  <c r="A77" i="22"/>
  <c r="A76" i="22"/>
  <c r="A90" i="22"/>
  <c r="A86" i="22"/>
  <c r="A82" i="22"/>
  <c r="A75" i="22"/>
  <c r="A74" i="22"/>
  <c r="A89" i="22"/>
  <c r="A85" i="22"/>
  <c r="A81" i="22"/>
  <c r="B73" i="22"/>
  <c r="A80" i="22"/>
  <c r="A73" i="22"/>
  <c r="A84" i="22"/>
  <c r="A88" i="22"/>
  <c r="A79" i="22"/>
  <c r="A111" i="21"/>
  <c r="A107" i="21"/>
  <c r="A103" i="21"/>
  <c r="A96" i="21"/>
  <c r="A95" i="21"/>
  <c r="A110" i="21"/>
  <c r="A106" i="21"/>
  <c r="A102" i="21"/>
  <c r="B94" i="21"/>
  <c r="A101" i="21"/>
  <c r="A94" i="21"/>
  <c r="A109" i="21"/>
  <c r="A105" i="21"/>
  <c r="A100" i="21"/>
  <c r="A113" i="21"/>
  <c r="A99" i="21"/>
  <c r="A112" i="21"/>
  <c r="A108" i="21"/>
  <c r="A104" i="21"/>
  <c r="A98" i="21"/>
  <c r="A97" i="21"/>
  <c r="A88" i="24"/>
  <c r="A84" i="24"/>
  <c r="A79" i="24"/>
  <c r="A92" i="24"/>
  <c r="A78" i="24"/>
  <c r="A91" i="24"/>
  <c r="A87" i="24"/>
  <c r="A83" i="24"/>
  <c r="A77" i="24"/>
  <c r="A76" i="24"/>
  <c r="A90" i="24"/>
  <c r="A86" i="24"/>
  <c r="A82" i="24"/>
  <c r="A75" i="24"/>
  <c r="A89" i="24"/>
  <c r="A85" i="24"/>
  <c r="A81" i="24"/>
  <c r="B73" i="24"/>
  <c r="A80" i="24"/>
  <c r="A73" i="24"/>
  <c r="A74" i="24"/>
  <c r="A90" i="25"/>
  <c r="A86" i="25"/>
  <c r="A82" i="25"/>
  <c r="A75" i="25"/>
  <c r="A74" i="25"/>
  <c r="A89" i="25"/>
  <c r="A85" i="25"/>
  <c r="A81" i="25"/>
  <c r="B73" i="25"/>
  <c r="A80" i="25"/>
  <c r="A73" i="25"/>
  <c r="A88" i="25"/>
  <c r="A84" i="25"/>
  <c r="A79" i="25"/>
  <c r="A91" i="25"/>
  <c r="A87" i="25"/>
  <c r="A83" i="25"/>
  <c r="A77" i="25"/>
  <c r="A76" i="25"/>
  <c r="A92" i="25"/>
  <c r="A78" i="25"/>
  <c r="A88" i="26"/>
  <c r="A84" i="26"/>
  <c r="A79" i="26"/>
  <c r="A92" i="26"/>
  <c r="A78" i="26"/>
  <c r="A91" i="26"/>
  <c r="A87" i="26"/>
  <c r="A83" i="26"/>
  <c r="A77" i="26"/>
  <c r="A76" i="26"/>
  <c r="A90" i="26"/>
  <c r="A86" i="26"/>
  <c r="A82" i="26"/>
  <c r="A75" i="26"/>
  <c r="A89" i="26"/>
  <c r="A85" i="26"/>
  <c r="A81" i="26"/>
  <c r="B73" i="26"/>
  <c r="A80" i="26"/>
  <c r="A73" i="26"/>
  <c r="A74" i="26"/>
  <c r="A91" i="27"/>
  <c r="A87" i="27"/>
  <c r="A83" i="27"/>
  <c r="A77" i="27"/>
  <c r="A76" i="27"/>
  <c r="A90" i="27"/>
  <c r="A86" i="27"/>
  <c r="A82" i="27"/>
  <c r="A75" i="27"/>
  <c r="A74" i="27"/>
  <c r="A89" i="27"/>
  <c r="A85" i="27"/>
  <c r="A81" i="27"/>
  <c r="B73" i="27"/>
  <c r="A88" i="27"/>
  <c r="A84" i="27"/>
  <c r="A79" i="27"/>
  <c r="A92" i="27"/>
  <c r="A78" i="27"/>
  <c r="A80" i="27"/>
  <c r="A73" i="27"/>
  <c r="A92" i="20"/>
  <c r="A78" i="20"/>
  <c r="A91" i="20"/>
  <c r="A87" i="20"/>
  <c r="A83" i="20"/>
  <c r="A77" i="20"/>
  <c r="A76" i="20"/>
  <c r="A90" i="20"/>
  <c r="A86" i="20"/>
  <c r="A82" i="20"/>
  <c r="A75" i="20"/>
  <c r="A74" i="20"/>
  <c r="A89" i="20"/>
  <c r="A85" i="20"/>
  <c r="A81" i="20"/>
  <c r="B73" i="20"/>
  <c r="A80" i="20"/>
  <c r="A73" i="20"/>
  <c r="A84" i="20"/>
  <c r="A88" i="20"/>
  <c r="A79" i="20"/>
  <c r="A90" i="23"/>
  <c r="A86" i="23"/>
  <c r="A82" i="23"/>
  <c r="A75" i="23"/>
  <c r="A74" i="23"/>
  <c r="A89" i="23"/>
  <c r="A85" i="23"/>
  <c r="A81" i="23"/>
  <c r="B73" i="23"/>
  <c r="A80" i="23"/>
  <c r="A73" i="23"/>
  <c r="A88" i="23"/>
  <c r="A84" i="23"/>
  <c r="A79" i="23"/>
  <c r="A91" i="23"/>
  <c r="A87" i="23"/>
  <c r="A83" i="23"/>
  <c r="A77" i="23"/>
  <c r="A76" i="23"/>
  <c r="A78" i="23"/>
  <c r="A92" i="23"/>
  <c r="A91" i="29"/>
  <c r="A87" i="29"/>
  <c r="A83" i="29"/>
  <c r="A77" i="29"/>
  <c r="A76" i="29"/>
  <c r="A90" i="29"/>
  <c r="A86" i="29"/>
  <c r="A82" i="29"/>
  <c r="A75" i="29"/>
  <c r="A74" i="29"/>
  <c r="A89" i="29"/>
  <c r="A85" i="29"/>
  <c r="A81" i="29"/>
  <c r="B73" i="29"/>
  <c r="A88" i="29"/>
  <c r="A84" i="29"/>
  <c r="A79" i="29"/>
  <c r="A92" i="29"/>
  <c r="A78" i="29"/>
  <c r="A80" i="29"/>
  <c r="A73" i="29"/>
  <c r="A89" i="28"/>
  <c r="A85" i="28"/>
  <c r="A81" i="28"/>
  <c r="B73" i="28"/>
  <c r="A80" i="28"/>
  <c r="A73" i="28"/>
  <c r="A88" i="28"/>
  <c r="A84" i="28"/>
  <c r="A79" i="28"/>
  <c r="A92" i="28"/>
  <c r="A78" i="28"/>
  <c r="A91" i="28"/>
  <c r="A87" i="28"/>
  <c r="A83" i="28"/>
  <c r="A77" i="28"/>
  <c r="A90" i="28"/>
  <c r="A86" i="28"/>
  <c r="A82" i="28"/>
  <c r="A75" i="28"/>
  <c r="A74" i="28"/>
  <c r="A76" i="28"/>
  <c r="D6" i="33"/>
  <c r="D20" i="33" s="1"/>
  <c r="I20" i="33" s="1"/>
  <c r="D6" i="36"/>
  <c r="D20" i="36" s="1"/>
  <c r="I20" i="36" s="1"/>
  <c r="BN44" i="20"/>
  <c r="A43" i="20"/>
  <c r="D6" i="30"/>
  <c r="K6" i="30" s="1"/>
  <c r="A13" i="20"/>
  <c r="BN14" i="20"/>
  <c r="BN37" i="22"/>
  <c r="A36" i="22"/>
  <c r="D6" i="32"/>
  <c r="I6" i="32" s="1"/>
  <c r="A13" i="26"/>
  <c r="BN14" i="26"/>
  <c r="A13" i="22"/>
  <c r="BN14" i="22"/>
  <c r="A13" i="27"/>
  <c r="BN14" i="27"/>
  <c r="BK39" i="29"/>
  <c r="BK144" i="22"/>
  <c r="AA60" i="26"/>
  <c r="AA71" i="26" s="1"/>
  <c r="AQ71" i="26"/>
  <c r="BK81" i="29"/>
  <c r="BK18" i="23"/>
  <c r="AS70" i="25"/>
  <c r="Z81" i="23"/>
  <c r="Z92" i="23" s="1"/>
  <c r="AQ29" i="22"/>
  <c r="AA81" i="23"/>
  <c r="AA92" i="23" s="1"/>
  <c r="BK144" i="26"/>
  <c r="Z18" i="22"/>
  <c r="Z29" i="22" s="1"/>
  <c r="K55" i="14"/>
  <c r="S44" i="14"/>
  <c r="S45" i="14"/>
  <c r="K76" i="7"/>
  <c r="S87" i="7" s="1"/>
  <c r="BV46" i="28"/>
  <c r="O43" i="28"/>
  <c r="Q59" i="28"/>
  <c r="Q40" i="28"/>
  <c r="Q41" i="28" s="1"/>
  <c r="S40" i="28"/>
  <c r="S41" i="28" s="1"/>
  <c r="Q17" i="26"/>
  <c r="Q38" i="27"/>
  <c r="S19" i="27"/>
  <c r="S20" i="27" s="1"/>
  <c r="BV25" i="27"/>
  <c r="O22" i="27"/>
  <c r="Q19" i="27"/>
  <c r="Q20" i="27" s="1"/>
  <c r="K13" i="28"/>
  <c r="K13" i="27" s="1"/>
  <c r="S24" i="29"/>
  <c r="S23" i="29"/>
  <c r="BQ103" i="14"/>
  <c r="BQ105" i="14"/>
  <c r="BQ104" i="14"/>
  <c r="BQ83" i="14"/>
  <c r="BQ84" i="14"/>
  <c r="BQ82" i="14"/>
  <c r="BQ125" i="14"/>
  <c r="BQ126" i="14"/>
  <c r="BQ124" i="14"/>
  <c r="BQ61" i="14"/>
  <c r="BQ63" i="14"/>
  <c r="BQ62" i="14"/>
  <c r="BQ145" i="14"/>
  <c r="BQ147" i="14"/>
  <c r="BQ146" i="14"/>
  <c r="E124" i="20"/>
  <c r="E123" i="20"/>
  <c r="G122" i="20"/>
  <c r="G123" i="20" s="1"/>
  <c r="G124" i="20" s="1"/>
  <c r="E82" i="27"/>
  <c r="E103" i="26"/>
  <c r="E102" i="26"/>
  <c r="E82" i="21"/>
  <c r="E81" i="21"/>
  <c r="G80" i="21"/>
  <c r="G81" i="21" s="1"/>
  <c r="G82" i="21" s="1"/>
  <c r="E81" i="27"/>
  <c r="E83" i="27" s="1"/>
  <c r="E16" i="29"/>
  <c r="G16" i="29" s="1"/>
  <c r="C125" i="14"/>
  <c r="C146" i="14"/>
  <c r="G139" i="14"/>
  <c r="C83" i="14"/>
  <c r="G118" i="7"/>
  <c r="G80" i="27"/>
  <c r="G81" i="27" s="1"/>
  <c r="G82" i="27" s="1"/>
  <c r="G118" i="14"/>
  <c r="G55" i="7"/>
  <c r="E16" i="28"/>
  <c r="G16" i="28" s="1"/>
  <c r="AG99" i="16"/>
  <c r="R82" i="14"/>
  <c r="C41" i="14"/>
  <c r="G139" i="7"/>
  <c r="T103" i="14"/>
  <c r="C62" i="14"/>
  <c r="E16" i="27"/>
  <c r="G16" i="27" s="1"/>
  <c r="G76" i="7"/>
  <c r="G34" i="7"/>
  <c r="G97" i="7"/>
  <c r="G34" i="14"/>
  <c r="E16" i="24"/>
  <c r="G16" i="24" s="1"/>
  <c r="BK123" i="28"/>
  <c r="BK144" i="28"/>
  <c r="AV102" i="14"/>
  <c r="M6" i="34"/>
  <c r="AV144" i="14"/>
  <c r="AV123" i="14"/>
  <c r="BJ81" i="14"/>
  <c r="BJ144" i="14"/>
  <c r="BK60" i="25"/>
  <c r="AV81" i="14"/>
  <c r="AR133" i="14"/>
  <c r="BK81" i="21"/>
  <c r="M6" i="35"/>
  <c r="M6" i="38"/>
  <c r="M6" i="39"/>
  <c r="BK39" i="23"/>
  <c r="BK39" i="22"/>
  <c r="BK102" i="28"/>
  <c r="AS91" i="29"/>
  <c r="BJ123" i="14"/>
  <c r="BK18" i="22"/>
  <c r="BJ102" i="14"/>
  <c r="AR154" i="14"/>
  <c r="BK60" i="23"/>
  <c r="G101" i="27"/>
  <c r="G102" i="27" s="1"/>
  <c r="G103" i="27" s="1"/>
  <c r="E40" i="28"/>
  <c r="E61" i="23"/>
  <c r="E19" i="29"/>
  <c r="F4" i="18"/>
  <c r="G4" i="18" s="1"/>
  <c r="F7" i="18"/>
  <c r="G7" i="18" s="1"/>
  <c r="F1" i="18"/>
  <c r="F6" i="18"/>
  <c r="G6" i="18" s="1"/>
  <c r="AG59" i="16"/>
  <c r="E16" i="23"/>
  <c r="G16" i="23" s="1"/>
  <c r="E16" i="21"/>
  <c r="G16" i="21" s="1"/>
  <c r="E16" i="20"/>
  <c r="G16" i="20" s="1"/>
  <c r="Z39" i="29"/>
  <c r="Z50" i="29" s="1"/>
  <c r="AQ50" i="29"/>
  <c r="E40" i="27"/>
  <c r="G38" i="27"/>
  <c r="G39" i="27" s="1"/>
  <c r="G40" i="27" s="1"/>
  <c r="E39" i="27"/>
  <c r="E16" i="22"/>
  <c r="G16" i="22" s="1"/>
  <c r="AR49" i="26"/>
  <c r="K96" i="7"/>
  <c r="K75" i="14"/>
  <c r="AQ92" i="22"/>
  <c r="AA18" i="23"/>
  <c r="AA29" i="23" s="1"/>
  <c r="AR49" i="23"/>
  <c r="AS49" i="23" s="1"/>
  <c r="AQ113" i="22"/>
  <c r="E16" i="26"/>
  <c r="G16" i="26" s="1"/>
  <c r="E60" i="23"/>
  <c r="AR91" i="20"/>
  <c r="AR133" i="27"/>
  <c r="AP13" i="29"/>
  <c r="G59" i="23"/>
  <c r="G60" i="23" s="1"/>
  <c r="G61" i="23" s="1"/>
  <c r="AP34" i="24"/>
  <c r="AA39" i="25"/>
  <c r="AA50" i="25" s="1"/>
  <c r="AP139" i="24"/>
  <c r="AR154" i="26"/>
  <c r="AQ50" i="25"/>
  <c r="AR91" i="27"/>
  <c r="G38" i="28"/>
  <c r="G39" i="28" s="1"/>
  <c r="G40" i="28" s="1"/>
  <c r="E39" i="28"/>
  <c r="AA18" i="26"/>
  <c r="AA29" i="26" s="1"/>
  <c r="AQ29" i="26"/>
  <c r="AP13" i="23"/>
  <c r="AS49" i="25"/>
  <c r="Z102" i="22"/>
  <c r="Z113" i="22" s="1"/>
  <c r="AQ71" i="25"/>
  <c r="AA60" i="25"/>
  <c r="AA71" i="25" s="1"/>
  <c r="AR154" i="20"/>
  <c r="AA102" i="29"/>
  <c r="AA113" i="29" s="1"/>
  <c r="AQ29" i="20"/>
  <c r="Z102" i="29"/>
  <c r="Z113" i="29" s="1"/>
  <c r="AR154" i="29"/>
  <c r="AP55" i="22"/>
  <c r="Z60" i="28"/>
  <c r="Z71" i="28" s="1"/>
  <c r="Z18" i="20"/>
  <c r="Z29" i="20" s="1"/>
  <c r="AA60" i="28"/>
  <c r="AA71" i="28" s="1"/>
  <c r="AP55" i="23"/>
  <c r="E124" i="26"/>
  <c r="Z81" i="22"/>
  <c r="Z92" i="22" s="1"/>
  <c r="Z60" i="20"/>
  <c r="Z71" i="20" s="1"/>
  <c r="AA102" i="28"/>
  <c r="AA113" i="28" s="1"/>
  <c r="AA60" i="20"/>
  <c r="AA71" i="20" s="1"/>
  <c r="AQ113" i="28"/>
  <c r="Z81" i="29"/>
  <c r="Z92" i="29" s="1"/>
  <c r="AQ134" i="23"/>
  <c r="AA123" i="23"/>
  <c r="AA134" i="23" s="1"/>
  <c r="Z123" i="23"/>
  <c r="Z134" i="23" s="1"/>
  <c r="R124" i="14"/>
  <c r="AA144" i="24"/>
  <c r="AA155" i="24" s="1"/>
  <c r="AA144" i="28"/>
  <c r="AA155" i="28" s="1"/>
  <c r="AQ155" i="24"/>
  <c r="AQ155" i="28"/>
  <c r="G122" i="26"/>
  <c r="G123" i="26" s="1"/>
  <c r="G124" i="26" s="1"/>
  <c r="E123" i="26"/>
  <c r="Z18" i="23"/>
  <c r="Z29" i="23" s="1"/>
  <c r="AP118" i="29"/>
  <c r="AR49" i="22"/>
  <c r="AQ92" i="29"/>
  <c r="K6" i="38"/>
  <c r="D20" i="38"/>
  <c r="I20" i="38" s="1"/>
  <c r="I6" i="38"/>
  <c r="I6" i="37"/>
  <c r="K6" i="37"/>
  <c r="D20" i="37"/>
  <c r="I20" i="37" s="1"/>
  <c r="D20" i="34"/>
  <c r="I20" i="34" s="1"/>
  <c r="I6" i="34"/>
  <c r="K6" i="34"/>
  <c r="D20" i="39"/>
  <c r="I20" i="39" s="1"/>
  <c r="I6" i="39"/>
  <c r="K6" i="39"/>
  <c r="K6" i="31"/>
  <c r="I6" i="31"/>
  <c r="D20" i="31"/>
  <c r="I20" i="31" s="1"/>
  <c r="I6" i="35"/>
  <c r="D20" i="35"/>
  <c r="I20" i="35" s="1"/>
  <c r="K6" i="35"/>
  <c r="E58" i="25"/>
  <c r="G58" i="25" s="1"/>
  <c r="E58" i="27"/>
  <c r="G58" i="27" s="1"/>
  <c r="E58" i="20"/>
  <c r="G58" i="20" s="1"/>
  <c r="E58" i="23"/>
  <c r="G58" i="23" s="1"/>
  <c r="E103" i="21"/>
  <c r="E145" i="22"/>
  <c r="E103" i="24"/>
  <c r="E40" i="21"/>
  <c r="E145" i="28"/>
  <c r="E124" i="29"/>
  <c r="E61" i="25"/>
  <c r="Z39" i="20"/>
  <c r="Z50" i="20" s="1"/>
  <c r="E145" i="20"/>
  <c r="E145" i="21"/>
  <c r="E19" i="22"/>
  <c r="E124" i="27"/>
  <c r="E61" i="29"/>
  <c r="E19" i="24"/>
  <c r="E103" i="27"/>
  <c r="E103" i="22"/>
  <c r="E19" i="23"/>
  <c r="E40" i="24"/>
  <c r="E145" i="24"/>
  <c r="E103" i="25"/>
  <c r="E102" i="27"/>
  <c r="E82" i="26"/>
  <c r="E145" i="29"/>
  <c r="E61" i="27"/>
  <c r="E124" i="24"/>
  <c r="E61" i="22"/>
  <c r="E40" i="25"/>
  <c r="E39" i="21"/>
  <c r="AR154" i="22"/>
  <c r="G38" i="21"/>
  <c r="G39" i="21" s="1"/>
  <c r="G40" i="21" s="1"/>
  <c r="AP34" i="25"/>
  <c r="AA39" i="20"/>
  <c r="AA50" i="20" s="1"/>
  <c r="AR112" i="24"/>
  <c r="BK18" i="25"/>
  <c r="AS133" i="23"/>
  <c r="AP139" i="29"/>
  <c r="BK144" i="24"/>
  <c r="BK123" i="26"/>
  <c r="AA102" i="24"/>
  <c r="AA113" i="24" s="1"/>
  <c r="Z102" i="24"/>
  <c r="Z113" i="24" s="1"/>
  <c r="AQ113" i="24"/>
  <c r="AP139" i="28"/>
  <c r="K12" i="27"/>
  <c r="K33" i="28"/>
  <c r="K54" i="28" s="1"/>
  <c r="BK123" i="20"/>
  <c r="BK144" i="20"/>
  <c r="AS28" i="20"/>
  <c r="AS70" i="20"/>
  <c r="AR112" i="20"/>
  <c r="BK102" i="20"/>
  <c r="AS133" i="20"/>
  <c r="BK81" i="20"/>
  <c r="BK60" i="20"/>
  <c r="AS49" i="20"/>
  <c r="AR91" i="21"/>
  <c r="Z144" i="21"/>
  <c r="Z155" i="21" s="1"/>
  <c r="AQ155" i="21"/>
  <c r="AA144" i="21"/>
  <c r="AA155" i="21" s="1"/>
  <c r="AR28" i="21"/>
  <c r="BK18" i="21"/>
  <c r="AR154" i="21"/>
  <c r="BK102" i="21"/>
  <c r="BK39" i="21"/>
  <c r="AR133" i="21"/>
  <c r="AR112" i="21"/>
  <c r="AS70" i="21"/>
  <c r="AR49" i="21"/>
  <c r="BK123" i="21"/>
  <c r="BK144" i="21"/>
  <c r="BK60" i="21"/>
  <c r="AR70" i="22"/>
  <c r="AS91" i="22"/>
  <c r="AR133" i="22"/>
  <c r="BK60" i="22"/>
  <c r="BK81" i="22"/>
  <c r="BK102" i="22"/>
  <c r="AS112" i="22"/>
  <c r="AS28" i="22"/>
  <c r="BK123" i="22"/>
  <c r="AS154" i="23"/>
  <c r="AS91" i="23"/>
  <c r="BK102" i="23"/>
  <c r="AR112" i="23"/>
  <c r="BK81" i="23"/>
  <c r="AR70" i="23"/>
  <c r="BK123" i="23"/>
  <c r="BK144" i="23"/>
  <c r="BK81" i="24"/>
  <c r="AR70" i="24"/>
  <c r="AS133" i="24"/>
  <c r="AS154" i="24"/>
  <c r="BK123" i="24"/>
  <c r="AR28" i="24"/>
  <c r="BK18" i="24"/>
  <c r="AR91" i="24"/>
  <c r="AR49" i="24"/>
  <c r="BK102" i="24"/>
  <c r="BK39" i="24"/>
  <c r="BK60" i="24"/>
  <c r="AR112" i="25"/>
  <c r="BK39" i="25"/>
  <c r="BK144" i="25"/>
  <c r="AS154" i="25"/>
  <c r="AR133" i="25"/>
  <c r="BK123" i="25"/>
  <c r="AS91" i="25"/>
  <c r="AR28" i="25"/>
  <c r="BK102" i="25"/>
  <c r="BK81" i="25"/>
  <c r="AR112" i="26"/>
  <c r="AR91" i="26"/>
  <c r="AR133" i="26"/>
  <c r="AS70" i="26"/>
  <c r="BK81" i="26"/>
  <c r="BK18" i="26"/>
  <c r="AS28" i="26"/>
  <c r="BK39" i="26"/>
  <c r="BK60" i="26"/>
  <c r="BK102" i="26"/>
  <c r="AR70" i="27"/>
  <c r="AS28" i="27"/>
  <c r="BK39" i="27"/>
  <c r="AR49" i="27"/>
  <c r="BK123" i="27"/>
  <c r="BK60" i="27"/>
  <c r="BK144" i="27"/>
  <c r="BK102" i="27"/>
  <c r="AR112" i="27"/>
  <c r="AS154" i="27"/>
  <c r="BK39" i="28"/>
  <c r="AS112" i="28"/>
  <c r="BK81" i="28"/>
  <c r="AR91" i="28"/>
  <c r="AR133" i="28"/>
  <c r="AR28" i="28"/>
  <c r="AS154" i="28"/>
  <c r="AS70" i="28"/>
  <c r="AR49" i="28"/>
  <c r="BK60" i="28"/>
  <c r="BK18" i="28"/>
  <c r="AP139" i="20"/>
  <c r="AP13" i="21"/>
  <c r="AP76" i="25"/>
  <c r="AP139" i="25"/>
  <c r="AP55" i="25"/>
  <c r="AP139" i="26"/>
  <c r="AP139" i="27"/>
  <c r="AP34" i="28"/>
  <c r="AP76" i="21"/>
  <c r="AP139" i="23"/>
  <c r="AP76" i="23"/>
  <c r="AP118" i="23"/>
  <c r="AP13" i="24"/>
  <c r="AP118" i="26"/>
  <c r="AP13" i="26"/>
  <c r="AP76" i="28"/>
  <c r="AP76" i="27"/>
  <c r="AP34" i="23"/>
  <c r="AP55" i="24"/>
  <c r="AP97" i="26"/>
  <c r="AP13" i="27"/>
  <c r="AP118" i="27"/>
  <c r="AP118" i="21"/>
  <c r="AP34" i="22"/>
  <c r="AP97" i="24"/>
  <c r="AP13" i="25"/>
  <c r="AP118" i="25"/>
  <c r="AP34" i="27"/>
  <c r="E60" i="27"/>
  <c r="G59" i="27"/>
  <c r="G60" i="27" s="1"/>
  <c r="G61" i="27" s="1"/>
  <c r="AP118" i="20"/>
  <c r="AP34" i="20"/>
  <c r="AP76" i="20"/>
  <c r="AP97" i="21"/>
  <c r="AP97" i="23"/>
  <c r="AP97" i="28"/>
  <c r="AP139" i="22"/>
  <c r="AP97" i="20"/>
  <c r="AP139" i="21"/>
  <c r="AP97" i="25"/>
  <c r="AP76" i="26"/>
  <c r="AP13" i="22"/>
  <c r="AP13" i="20"/>
  <c r="AP55" i="20"/>
  <c r="AP55" i="21"/>
  <c r="AP76" i="22"/>
  <c r="AP34" i="26"/>
  <c r="AP118" i="24"/>
  <c r="AP97" i="22"/>
  <c r="AP34" i="21"/>
  <c r="AP118" i="22"/>
  <c r="AP76" i="24"/>
  <c r="AP55" i="26"/>
  <c r="AP97" i="27"/>
  <c r="AP55" i="27"/>
  <c r="AP13" i="28"/>
  <c r="AP118" i="28"/>
  <c r="AP55" i="28"/>
  <c r="E102" i="24"/>
  <c r="G101" i="24"/>
  <c r="G102" i="24" s="1"/>
  <c r="G103" i="24" s="1"/>
  <c r="AR28" i="29"/>
  <c r="AP97" i="29"/>
  <c r="AP55" i="29"/>
  <c r="BK144" i="29"/>
  <c r="AR70" i="29"/>
  <c r="AP34" i="29"/>
  <c r="BK102" i="29"/>
  <c r="BK18" i="29"/>
  <c r="AP76" i="29"/>
  <c r="AR133" i="29"/>
  <c r="AS112" i="29"/>
  <c r="BK60" i="29"/>
  <c r="BK123" i="29"/>
  <c r="B118" i="39"/>
  <c r="S96" i="39"/>
  <c r="B118" i="38"/>
  <c r="S96" i="38"/>
  <c r="S96" i="37"/>
  <c r="B118" i="37"/>
  <c r="B118" i="36"/>
  <c r="S96" i="36"/>
  <c r="B95" i="35"/>
  <c r="S73" i="35"/>
  <c r="S96" i="34"/>
  <c r="B118" i="34"/>
  <c r="S96" i="33"/>
  <c r="B118" i="33"/>
  <c r="B118" i="32"/>
  <c r="S96" i="32"/>
  <c r="B95" i="31"/>
  <c r="S73" i="31"/>
  <c r="B95" i="30"/>
  <c r="S73" i="30"/>
  <c r="AP78" i="29"/>
  <c r="CA82" i="29"/>
  <c r="G17" i="29"/>
  <c r="G18" i="29" s="1"/>
  <c r="G19" i="29" s="1"/>
  <c r="E18" i="29"/>
  <c r="CA61" i="29"/>
  <c r="AP57" i="29"/>
  <c r="BZ103" i="29"/>
  <c r="E101" i="29"/>
  <c r="G143" i="29"/>
  <c r="G144" i="29" s="1"/>
  <c r="G145" i="29" s="1"/>
  <c r="E144" i="29"/>
  <c r="BV18" i="29"/>
  <c r="B23" i="29" s="1"/>
  <c r="AP36" i="29"/>
  <c r="CA40" i="29"/>
  <c r="BV144" i="29"/>
  <c r="B149" i="29" s="1"/>
  <c r="AA60" i="29"/>
  <c r="AA71" i="29" s="1"/>
  <c r="AQ71" i="29"/>
  <c r="Z60" i="29"/>
  <c r="Z71" i="29" s="1"/>
  <c r="CA145" i="29"/>
  <c r="AP141" i="29"/>
  <c r="BZ40" i="29"/>
  <c r="E38" i="29"/>
  <c r="AA123" i="29"/>
  <c r="AA134" i="29" s="1"/>
  <c r="Z123" i="29"/>
  <c r="Z134" i="29" s="1"/>
  <c r="AQ134" i="29"/>
  <c r="CL8" i="29"/>
  <c r="AP99" i="29"/>
  <c r="CA103" i="29"/>
  <c r="BN15" i="29"/>
  <c r="A15" i="29" s="1"/>
  <c r="BN41" i="29"/>
  <c r="A41" i="29" s="1"/>
  <c r="G122" i="29"/>
  <c r="G123" i="29" s="1"/>
  <c r="G124" i="29" s="1"/>
  <c r="E123" i="29"/>
  <c r="CA19" i="29"/>
  <c r="AP15" i="29"/>
  <c r="BV123" i="29"/>
  <c r="B128" i="29" s="1"/>
  <c r="AQ29" i="29"/>
  <c r="AA18" i="29"/>
  <c r="AA29" i="29" s="1"/>
  <c r="Z18" i="29"/>
  <c r="Z29" i="29" s="1"/>
  <c r="CA124" i="29"/>
  <c r="AP120" i="29"/>
  <c r="BZ82" i="29"/>
  <c r="E80" i="29"/>
  <c r="BV60" i="29"/>
  <c r="B65" i="29" s="1"/>
  <c r="G59" i="29"/>
  <c r="G60" i="29" s="1"/>
  <c r="G61" i="29" s="1"/>
  <c r="E60" i="29"/>
  <c r="BM94" i="29"/>
  <c r="CG73" i="29"/>
  <c r="CG74" i="29" s="1"/>
  <c r="CG75" i="29" s="1"/>
  <c r="CG76" i="29" s="1"/>
  <c r="CG77" i="29" s="1"/>
  <c r="CG78" i="29" s="1"/>
  <c r="CG79" i="29" s="1"/>
  <c r="CG80" i="29" s="1"/>
  <c r="CG81" i="29" s="1"/>
  <c r="CG82" i="29" s="1"/>
  <c r="CG83" i="29" s="1"/>
  <c r="CG84" i="29" s="1"/>
  <c r="CG85" i="29" s="1"/>
  <c r="CG86" i="29" s="1"/>
  <c r="CG87" i="29" s="1"/>
  <c r="CG88" i="29" s="1"/>
  <c r="CG89" i="29" s="1"/>
  <c r="CG90" i="29" s="1"/>
  <c r="CG91" i="29" s="1"/>
  <c r="CG92" i="29" s="1"/>
  <c r="CG93" i="29" s="1"/>
  <c r="E75" i="29"/>
  <c r="AA39" i="28"/>
  <c r="AA50" i="28" s="1"/>
  <c r="Z39" i="28"/>
  <c r="Z50" i="28" s="1"/>
  <c r="AQ50" i="28"/>
  <c r="BZ124" i="28"/>
  <c r="E122" i="28"/>
  <c r="BZ61" i="28"/>
  <c r="E59" i="28"/>
  <c r="CA40" i="28"/>
  <c r="AP36" i="28"/>
  <c r="E144" i="28"/>
  <c r="G143" i="28"/>
  <c r="G144" i="28" s="1"/>
  <c r="G145" i="28" s="1"/>
  <c r="BN37" i="28"/>
  <c r="A37" i="28" s="1"/>
  <c r="BN16" i="28"/>
  <c r="A16" i="28" s="1"/>
  <c r="BZ19" i="28"/>
  <c r="E17" i="28"/>
  <c r="BM94" i="28"/>
  <c r="CG73" i="28"/>
  <c r="CG74" i="28" s="1"/>
  <c r="CG75" i="28" s="1"/>
  <c r="CG76" i="28" s="1"/>
  <c r="CG77" i="28" s="1"/>
  <c r="CG78" i="28" s="1"/>
  <c r="CG79" i="28" s="1"/>
  <c r="CG80" i="28" s="1"/>
  <c r="CG81" i="28" s="1"/>
  <c r="CG82" i="28" s="1"/>
  <c r="CG83" i="28" s="1"/>
  <c r="CG84" i="28" s="1"/>
  <c r="CG85" i="28" s="1"/>
  <c r="CG86" i="28" s="1"/>
  <c r="CG87" i="28" s="1"/>
  <c r="CG88" i="28" s="1"/>
  <c r="CG89" i="28" s="1"/>
  <c r="CG90" i="28" s="1"/>
  <c r="CG91" i="28" s="1"/>
  <c r="CG92" i="28" s="1"/>
  <c r="CG93" i="28" s="1"/>
  <c r="E75" i="28"/>
  <c r="CL8" i="28"/>
  <c r="AQ92" i="28"/>
  <c r="Z81" i="28"/>
  <c r="Z92" i="28" s="1"/>
  <c r="AA81" i="28"/>
  <c r="AA92" i="28" s="1"/>
  <c r="BV144" i="28"/>
  <c r="B149" i="28" s="1"/>
  <c r="CA61" i="28"/>
  <c r="AP57" i="28"/>
  <c r="CA145" i="28"/>
  <c r="AP141" i="28"/>
  <c r="E80" i="28"/>
  <c r="BZ82" i="28"/>
  <c r="AQ134" i="28"/>
  <c r="AA123" i="28"/>
  <c r="AA134" i="28" s="1"/>
  <c r="Z123" i="28"/>
  <c r="Z134" i="28" s="1"/>
  <c r="AQ29" i="28"/>
  <c r="AA18" i="28"/>
  <c r="AA29" i="28" s="1"/>
  <c r="Z18" i="28"/>
  <c r="Z29" i="28" s="1"/>
  <c r="AP120" i="28"/>
  <c r="CA124" i="28"/>
  <c r="CA82" i="28"/>
  <c r="AP78" i="28"/>
  <c r="CA19" i="28"/>
  <c r="AP15" i="28"/>
  <c r="E101" i="28"/>
  <c r="BZ103" i="28"/>
  <c r="CA103" i="28"/>
  <c r="AP99" i="28"/>
  <c r="CA82" i="27"/>
  <c r="AP78" i="27"/>
  <c r="BZ145" i="27"/>
  <c r="E143" i="27"/>
  <c r="AP57" i="27"/>
  <c r="CA61" i="27"/>
  <c r="BZ19" i="27"/>
  <c r="E17" i="27"/>
  <c r="AQ113" i="27"/>
  <c r="AA102" i="27"/>
  <c r="AA113" i="27" s="1"/>
  <c r="Z102" i="27"/>
  <c r="Z113" i="27" s="1"/>
  <c r="CG73" i="27"/>
  <c r="CG74" i="27" s="1"/>
  <c r="CG75" i="27" s="1"/>
  <c r="CG76" i="27" s="1"/>
  <c r="CG77" i="27" s="1"/>
  <c r="CG78" i="27" s="1"/>
  <c r="CG79" i="27" s="1"/>
  <c r="CG80" i="27" s="1"/>
  <c r="CG81" i="27" s="1"/>
  <c r="CG82" i="27" s="1"/>
  <c r="CG83" i="27" s="1"/>
  <c r="CG84" i="27" s="1"/>
  <c r="CG85" i="27" s="1"/>
  <c r="CG86" i="27" s="1"/>
  <c r="CG87" i="27" s="1"/>
  <c r="CG88" i="27" s="1"/>
  <c r="CG89" i="27" s="1"/>
  <c r="CG90" i="27" s="1"/>
  <c r="CG91" i="27" s="1"/>
  <c r="CG92" i="27" s="1"/>
  <c r="CG93" i="27" s="1"/>
  <c r="BM94" i="27"/>
  <c r="E75" i="27"/>
  <c r="AP99" i="27"/>
  <c r="CA103" i="27"/>
  <c r="AP141" i="27"/>
  <c r="CA145" i="27"/>
  <c r="G122" i="27"/>
  <c r="G123" i="27" s="1"/>
  <c r="G124" i="27" s="1"/>
  <c r="E123" i="27"/>
  <c r="Z39" i="27"/>
  <c r="Z50" i="27" s="1"/>
  <c r="AA39" i="27"/>
  <c r="AA50" i="27" s="1"/>
  <c r="AQ50" i="27"/>
  <c r="AQ71" i="27"/>
  <c r="AA60" i="27"/>
  <c r="AA71" i="27" s="1"/>
  <c r="Z60" i="27"/>
  <c r="Z71" i="27" s="1"/>
  <c r="CL7" i="27"/>
  <c r="BV123" i="27"/>
  <c r="B128" i="27" s="1"/>
  <c r="AP36" i="27"/>
  <c r="CA40" i="27"/>
  <c r="CA19" i="27"/>
  <c r="AP15" i="27"/>
  <c r="CA124" i="27"/>
  <c r="AP120" i="27"/>
  <c r="G80" i="26"/>
  <c r="G81" i="26" s="1"/>
  <c r="G82" i="26" s="1"/>
  <c r="E81" i="26"/>
  <c r="BN44" i="26"/>
  <c r="A44" i="26" s="1"/>
  <c r="AP99" i="26"/>
  <c r="CA103" i="26"/>
  <c r="CA82" i="26"/>
  <c r="AP78" i="26"/>
  <c r="CA61" i="26"/>
  <c r="AP57" i="26"/>
  <c r="BV81" i="26"/>
  <c r="B86" i="26" s="1"/>
  <c r="AQ134" i="26"/>
  <c r="Z123" i="26"/>
  <c r="Z134" i="26" s="1"/>
  <c r="AA123" i="26"/>
  <c r="AA134" i="26" s="1"/>
  <c r="CA19" i="26"/>
  <c r="AP15" i="26"/>
  <c r="AQ92" i="26"/>
  <c r="AA81" i="26"/>
  <c r="AA92" i="26" s="1"/>
  <c r="Z81" i="26"/>
  <c r="Z92" i="26" s="1"/>
  <c r="BZ40" i="26"/>
  <c r="E38" i="26"/>
  <c r="CA40" i="26"/>
  <c r="AP36" i="26"/>
  <c r="AQ113" i="26"/>
  <c r="AA102" i="26"/>
  <c r="AA113" i="26" s="1"/>
  <c r="Z102" i="26"/>
  <c r="Z113" i="26" s="1"/>
  <c r="BM94" i="26"/>
  <c r="CG73" i="26"/>
  <c r="CG74" i="26" s="1"/>
  <c r="CG75" i="26" s="1"/>
  <c r="CG76" i="26" s="1"/>
  <c r="CG77" i="26" s="1"/>
  <c r="CG78" i="26" s="1"/>
  <c r="CG79" i="26" s="1"/>
  <c r="CG80" i="26" s="1"/>
  <c r="CG81" i="26" s="1"/>
  <c r="CG82" i="26" s="1"/>
  <c r="CG83" i="26" s="1"/>
  <c r="CG84" i="26" s="1"/>
  <c r="CG85" i="26" s="1"/>
  <c r="CG86" i="26" s="1"/>
  <c r="CG87" i="26" s="1"/>
  <c r="CG88" i="26" s="1"/>
  <c r="CG89" i="26" s="1"/>
  <c r="CG90" i="26" s="1"/>
  <c r="CG91" i="26" s="1"/>
  <c r="CG92" i="26" s="1"/>
  <c r="CG93" i="26" s="1"/>
  <c r="E75" i="26"/>
  <c r="CL8" i="26"/>
  <c r="AP120" i="26"/>
  <c r="CA124" i="26"/>
  <c r="BZ145" i="26"/>
  <c r="E143" i="26"/>
  <c r="AP141" i="26"/>
  <c r="CA145" i="26"/>
  <c r="BZ61" i="26"/>
  <c r="E59" i="26"/>
  <c r="BZ19" i="26"/>
  <c r="E17" i="26"/>
  <c r="G101" i="25"/>
  <c r="G102" i="25" s="1"/>
  <c r="G103" i="25" s="1"/>
  <c r="E102" i="25"/>
  <c r="CL7" i="25"/>
  <c r="BV102" i="25"/>
  <c r="B107" i="25" s="1"/>
  <c r="BZ145" i="25"/>
  <c r="E143" i="25"/>
  <c r="BN15" i="25"/>
  <c r="A15" i="25" s="1"/>
  <c r="CA61" i="25"/>
  <c r="AP57" i="25"/>
  <c r="BN36" i="25"/>
  <c r="A36" i="25" s="1"/>
  <c r="AA18" i="25"/>
  <c r="AA29" i="25" s="1"/>
  <c r="Z18" i="25"/>
  <c r="Z29" i="25" s="1"/>
  <c r="AQ29" i="25"/>
  <c r="CA103" i="25"/>
  <c r="AP99" i="25"/>
  <c r="G59" i="25"/>
  <c r="G60" i="25" s="1"/>
  <c r="G61" i="25" s="1"/>
  <c r="E60" i="25"/>
  <c r="AP120" i="25"/>
  <c r="CA124" i="25"/>
  <c r="BV39" i="25"/>
  <c r="B44" i="25" s="1"/>
  <c r="AQ113" i="25"/>
  <c r="AA102" i="25"/>
  <c r="AA113" i="25" s="1"/>
  <c r="Z102" i="25"/>
  <c r="Z113" i="25" s="1"/>
  <c r="BV60" i="25"/>
  <c r="B65" i="25" s="1"/>
  <c r="AP36" i="25"/>
  <c r="CA40" i="25"/>
  <c r="BZ82" i="25"/>
  <c r="E80" i="25"/>
  <c r="G38" i="25"/>
  <c r="G39" i="25" s="1"/>
  <c r="G40" i="25" s="1"/>
  <c r="E39" i="25"/>
  <c r="E122" i="25"/>
  <c r="BZ124" i="25"/>
  <c r="AP141" i="25"/>
  <c r="CA145" i="25"/>
  <c r="CA82" i="25"/>
  <c r="AP78" i="25"/>
  <c r="AQ134" i="25"/>
  <c r="AA123" i="25"/>
  <c r="AA134" i="25" s="1"/>
  <c r="Z123" i="25"/>
  <c r="Z134" i="25" s="1"/>
  <c r="BM94" i="25"/>
  <c r="CG73" i="25"/>
  <c r="CG74" i="25" s="1"/>
  <c r="CG75" i="25" s="1"/>
  <c r="CG76" i="25" s="1"/>
  <c r="CG77" i="25" s="1"/>
  <c r="CG78" i="25" s="1"/>
  <c r="CG79" i="25" s="1"/>
  <c r="CG80" i="25" s="1"/>
  <c r="CG81" i="25" s="1"/>
  <c r="CG82" i="25" s="1"/>
  <c r="CG83" i="25" s="1"/>
  <c r="CG84" i="25" s="1"/>
  <c r="CG85" i="25" s="1"/>
  <c r="CG86" i="25" s="1"/>
  <c r="CG87" i="25" s="1"/>
  <c r="CG88" i="25" s="1"/>
  <c r="CG89" i="25" s="1"/>
  <c r="CG90" i="25" s="1"/>
  <c r="CG91" i="25" s="1"/>
  <c r="CG92" i="25" s="1"/>
  <c r="CG93" i="25" s="1"/>
  <c r="E75" i="25"/>
  <c r="BZ19" i="25"/>
  <c r="E17" i="25"/>
  <c r="CA19" i="25"/>
  <c r="AP15" i="25"/>
  <c r="AP57" i="24"/>
  <c r="CA61" i="24"/>
  <c r="BZ82" i="24"/>
  <c r="E80" i="24"/>
  <c r="E18" i="24"/>
  <c r="G17" i="24"/>
  <c r="G18" i="24" s="1"/>
  <c r="G19" i="24" s="1"/>
  <c r="AQ92" i="24"/>
  <c r="Z81" i="24"/>
  <c r="Z92" i="24" s="1"/>
  <c r="AA81" i="24"/>
  <c r="AA92" i="24" s="1"/>
  <c r="AP120" i="24"/>
  <c r="CA124" i="24"/>
  <c r="E144" i="24"/>
  <c r="G143" i="24"/>
  <c r="G144" i="24" s="1"/>
  <c r="G145" i="24" s="1"/>
  <c r="CL7" i="24"/>
  <c r="G38" i="24"/>
  <c r="G39" i="24" s="1"/>
  <c r="G40" i="24" s="1"/>
  <c r="E39" i="24"/>
  <c r="BV144" i="24"/>
  <c r="B149" i="24" s="1"/>
  <c r="BN16" i="24"/>
  <c r="A16" i="24" s="1"/>
  <c r="BV39" i="24"/>
  <c r="B44" i="24" s="1"/>
  <c r="G122" i="24"/>
  <c r="G123" i="24" s="1"/>
  <c r="G124" i="24" s="1"/>
  <c r="E123" i="24"/>
  <c r="CA145" i="24"/>
  <c r="AP141" i="24"/>
  <c r="BV123" i="24"/>
  <c r="B128" i="24" s="1"/>
  <c r="CA82" i="24"/>
  <c r="AP78" i="24"/>
  <c r="AQ71" i="24"/>
  <c r="AA60" i="24"/>
  <c r="AA71" i="24" s="1"/>
  <c r="Z60" i="24"/>
  <c r="Z71" i="24" s="1"/>
  <c r="CA103" i="24"/>
  <c r="AP99" i="24"/>
  <c r="Z18" i="24"/>
  <c r="Z29" i="24" s="1"/>
  <c r="AA18" i="24"/>
  <c r="AA29" i="24" s="1"/>
  <c r="AQ29" i="24"/>
  <c r="E59" i="24"/>
  <c r="BZ61" i="24"/>
  <c r="BM94" i="24"/>
  <c r="CG73" i="24"/>
  <c r="CG74" i="24" s="1"/>
  <c r="CG75" i="24" s="1"/>
  <c r="CG76" i="24" s="1"/>
  <c r="CG77" i="24" s="1"/>
  <c r="CG78" i="24" s="1"/>
  <c r="CG79" i="24" s="1"/>
  <c r="CG80" i="24" s="1"/>
  <c r="CG81" i="24" s="1"/>
  <c r="CG82" i="24" s="1"/>
  <c r="CG83" i="24" s="1"/>
  <c r="CG84" i="24" s="1"/>
  <c r="CG85" i="24" s="1"/>
  <c r="CG86" i="24" s="1"/>
  <c r="CG87" i="24" s="1"/>
  <c r="CG88" i="24" s="1"/>
  <c r="CG89" i="24" s="1"/>
  <c r="CG90" i="24" s="1"/>
  <c r="CG91" i="24" s="1"/>
  <c r="CG92" i="24" s="1"/>
  <c r="CG93" i="24" s="1"/>
  <c r="E75" i="24"/>
  <c r="CA19" i="24"/>
  <c r="AP15" i="24"/>
  <c r="BV18" i="24"/>
  <c r="B23" i="24" s="1"/>
  <c r="BN37" i="24"/>
  <c r="A37" i="24" s="1"/>
  <c r="CA40" i="24"/>
  <c r="AP36" i="24"/>
  <c r="AQ50" i="24"/>
  <c r="AA39" i="24"/>
  <c r="AA50" i="24" s="1"/>
  <c r="Z39" i="24"/>
  <c r="Z50" i="24" s="1"/>
  <c r="AP99" i="23"/>
  <c r="CA103" i="23"/>
  <c r="BZ145" i="23"/>
  <c r="E143" i="23"/>
  <c r="AP57" i="23"/>
  <c r="CA61" i="23"/>
  <c r="AP36" i="23"/>
  <c r="CA40" i="23"/>
  <c r="AQ71" i="23"/>
  <c r="AA60" i="23"/>
  <c r="AA71" i="23" s="1"/>
  <c r="Z60" i="23"/>
  <c r="Z71" i="23" s="1"/>
  <c r="CA145" i="23"/>
  <c r="AP141" i="23"/>
  <c r="CL9" i="23"/>
  <c r="AA102" i="23"/>
  <c r="AA113" i="23" s="1"/>
  <c r="Z102" i="23"/>
  <c r="Z113" i="23" s="1"/>
  <c r="AQ113" i="23"/>
  <c r="G17" i="23"/>
  <c r="G18" i="23" s="1"/>
  <c r="G19" i="23" s="1"/>
  <c r="E18" i="23"/>
  <c r="BZ82" i="23"/>
  <c r="E80" i="23"/>
  <c r="BM94" i="23"/>
  <c r="CG73" i="23"/>
  <c r="CG74" i="23" s="1"/>
  <c r="CG75" i="23" s="1"/>
  <c r="CG76" i="23" s="1"/>
  <c r="CG77" i="23" s="1"/>
  <c r="CG78" i="23" s="1"/>
  <c r="CG79" i="23" s="1"/>
  <c r="CG80" i="23" s="1"/>
  <c r="CG81" i="23" s="1"/>
  <c r="CG82" i="23" s="1"/>
  <c r="CG83" i="23" s="1"/>
  <c r="CG84" i="23" s="1"/>
  <c r="CG85" i="23" s="1"/>
  <c r="CG86" i="23" s="1"/>
  <c r="CG87" i="23" s="1"/>
  <c r="CG88" i="23" s="1"/>
  <c r="CG89" i="23" s="1"/>
  <c r="CG90" i="23" s="1"/>
  <c r="CG91" i="23" s="1"/>
  <c r="CG92" i="23" s="1"/>
  <c r="CG93" i="23" s="1"/>
  <c r="E75" i="23"/>
  <c r="CA82" i="23"/>
  <c r="AP78" i="23"/>
  <c r="BV18" i="23"/>
  <c r="B23" i="23" s="1"/>
  <c r="BZ40" i="23"/>
  <c r="E38" i="23"/>
  <c r="CA19" i="23"/>
  <c r="AP15" i="23"/>
  <c r="CA124" i="23"/>
  <c r="AP120" i="23"/>
  <c r="E101" i="23"/>
  <c r="BZ103" i="23"/>
  <c r="BZ124" i="23"/>
  <c r="E122" i="23"/>
  <c r="AP57" i="22"/>
  <c r="CA61" i="22"/>
  <c r="AP120" i="22"/>
  <c r="CA124" i="22"/>
  <c r="E18" i="22"/>
  <c r="G17" i="22"/>
  <c r="G18" i="22" s="1"/>
  <c r="G19" i="22" s="1"/>
  <c r="BV60" i="22"/>
  <c r="B65" i="22" s="1"/>
  <c r="BV18" i="22"/>
  <c r="B23" i="22" s="1"/>
  <c r="CL8" i="22"/>
  <c r="CA40" i="22"/>
  <c r="AP36" i="22"/>
  <c r="CA19" i="22"/>
  <c r="AP15" i="22"/>
  <c r="AQ71" i="22"/>
  <c r="AA60" i="22"/>
  <c r="AA71" i="22" s="1"/>
  <c r="Z60" i="22"/>
  <c r="Z71" i="22" s="1"/>
  <c r="BM94" i="22"/>
  <c r="CG73" i="22"/>
  <c r="CG74" i="22" s="1"/>
  <c r="CG75" i="22" s="1"/>
  <c r="CG76" i="22" s="1"/>
  <c r="CG77" i="22" s="1"/>
  <c r="CG78" i="22" s="1"/>
  <c r="CG79" i="22" s="1"/>
  <c r="CG80" i="22" s="1"/>
  <c r="CG81" i="22" s="1"/>
  <c r="CG82" i="22" s="1"/>
  <c r="CG83" i="22" s="1"/>
  <c r="CG84" i="22" s="1"/>
  <c r="CG85" i="22" s="1"/>
  <c r="CG86" i="22" s="1"/>
  <c r="CG87" i="22" s="1"/>
  <c r="CG88" i="22" s="1"/>
  <c r="CG89" i="22" s="1"/>
  <c r="CG90" i="22" s="1"/>
  <c r="CG91" i="22" s="1"/>
  <c r="CG92" i="22" s="1"/>
  <c r="CG93" i="22" s="1"/>
  <c r="E75" i="22"/>
  <c r="AQ134" i="22"/>
  <c r="AA123" i="22"/>
  <c r="AA134" i="22" s="1"/>
  <c r="Z123" i="22"/>
  <c r="Z134" i="22" s="1"/>
  <c r="E122" i="22"/>
  <c r="BZ124" i="22"/>
  <c r="CA82" i="22"/>
  <c r="AP78" i="22"/>
  <c r="G101" i="22"/>
  <c r="G102" i="22" s="1"/>
  <c r="G103" i="22" s="1"/>
  <c r="E102" i="22"/>
  <c r="BZ82" i="22"/>
  <c r="E80" i="22"/>
  <c r="BZ40" i="22"/>
  <c r="E38" i="22"/>
  <c r="BV102" i="22"/>
  <c r="B107" i="22" s="1"/>
  <c r="CA145" i="22"/>
  <c r="AP141" i="22"/>
  <c r="G143" i="22"/>
  <c r="G144" i="22" s="1"/>
  <c r="G145" i="22" s="1"/>
  <c r="E144" i="22"/>
  <c r="BV144" i="22"/>
  <c r="B149" i="22" s="1"/>
  <c r="G59" i="22"/>
  <c r="G60" i="22" s="1"/>
  <c r="G61" i="22" s="1"/>
  <c r="E60" i="22"/>
  <c r="CA103" i="22"/>
  <c r="AP99" i="22"/>
  <c r="AP15" i="21"/>
  <c r="CA19" i="21"/>
  <c r="E102" i="21"/>
  <c r="G101" i="21"/>
  <c r="G102" i="21" s="1"/>
  <c r="G103" i="21" s="1"/>
  <c r="E122" i="21"/>
  <c r="BZ124" i="21"/>
  <c r="CA82" i="21"/>
  <c r="AP78" i="21"/>
  <c r="BN14" i="21"/>
  <c r="A14" i="21" s="1"/>
  <c r="CA145" i="21"/>
  <c r="AP141" i="21"/>
  <c r="BN36" i="21"/>
  <c r="A36" i="21" s="1"/>
  <c r="Z123" i="21"/>
  <c r="Z134" i="21" s="1"/>
  <c r="AQ134" i="21"/>
  <c r="AA123" i="21"/>
  <c r="AA134" i="21" s="1"/>
  <c r="Z81" i="21"/>
  <c r="Z92" i="21" s="1"/>
  <c r="AQ92" i="21"/>
  <c r="AA81" i="21"/>
  <c r="AA92" i="21" s="1"/>
  <c r="CA61" i="21"/>
  <c r="AP57" i="21"/>
  <c r="G143" i="21"/>
  <c r="G144" i="21" s="1"/>
  <c r="G145" i="21" s="1"/>
  <c r="E144" i="21"/>
  <c r="E59" i="21"/>
  <c r="BZ61" i="21"/>
  <c r="BV144" i="21"/>
  <c r="B149" i="21" s="1"/>
  <c r="BM115" i="21"/>
  <c r="CG94" i="21"/>
  <c r="CG95" i="21" s="1"/>
  <c r="CG96" i="21" s="1"/>
  <c r="CG97" i="21" s="1"/>
  <c r="CG98" i="21" s="1"/>
  <c r="CG99" i="21" s="1"/>
  <c r="CG100" i="21" s="1"/>
  <c r="CG101" i="21" s="1"/>
  <c r="CG102" i="21" s="1"/>
  <c r="CG103" i="21" s="1"/>
  <c r="CG104" i="21" s="1"/>
  <c r="CG105" i="21" s="1"/>
  <c r="CG106" i="21" s="1"/>
  <c r="CG107" i="21" s="1"/>
  <c r="CG108" i="21" s="1"/>
  <c r="CG109" i="21" s="1"/>
  <c r="CG110" i="21" s="1"/>
  <c r="CG111" i="21" s="1"/>
  <c r="CG112" i="21" s="1"/>
  <c r="CG113" i="21" s="1"/>
  <c r="CG114" i="21" s="1"/>
  <c r="E96" i="21"/>
  <c r="AP99" i="21"/>
  <c r="CA103" i="21"/>
  <c r="Z39" i="21"/>
  <c r="Z50" i="21" s="1"/>
  <c r="AQ50" i="21"/>
  <c r="AA39" i="21"/>
  <c r="AA50" i="21" s="1"/>
  <c r="CA40" i="21"/>
  <c r="AP36" i="21"/>
  <c r="CA124" i="21"/>
  <c r="AP120" i="21"/>
  <c r="AQ29" i="21"/>
  <c r="Z18" i="21"/>
  <c r="Z29" i="21" s="1"/>
  <c r="AA18" i="21"/>
  <c r="AA29" i="21" s="1"/>
  <c r="CL9" i="21"/>
  <c r="BZ19" i="21"/>
  <c r="E17" i="21"/>
  <c r="BV102" i="21"/>
  <c r="B107" i="21" s="1"/>
  <c r="AQ113" i="21"/>
  <c r="AA102" i="21"/>
  <c r="AA113" i="21" s="1"/>
  <c r="Z102" i="21"/>
  <c r="Z113" i="21" s="1"/>
  <c r="AP99" i="20"/>
  <c r="CA103" i="20"/>
  <c r="BZ40" i="20"/>
  <c r="E38" i="20"/>
  <c r="CA61" i="20"/>
  <c r="AP57" i="20"/>
  <c r="CL10" i="20"/>
  <c r="AP36" i="20"/>
  <c r="CA40" i="20"/>
  <c r="E101" i="20"/>
  <c r="BZ103" i="20"/>
  <c r="AQ113" i="20"/>
  <c r="AA102" i="20"/>
  <c r="AA113" i="20" s="1"/>
  <c r="Z102" i="20"/>
  <c r="Z113" i="20" s="1"/>
  <c r="BZ19" i="20"/>
  <c r="E17" i="20"/>
  <c r="CA124" i="20"/>
  <c r="AP120" i="20"/>
  <c r="CA145" i="20"/>
  <c r="AP141" i="20"/>
  <c r="E59" i="20"/>
  <c r="BZ61" i="20"/>
  <c r="BZ82" i="20"/>
  <c r="E80" i="20"/>
  <c r="CG73" i="20"/>
  <c r="CG74" i="20" s="1"/>
  <c r="CG75" i="20" s="1"/>
  <c r="CG76" i="20" s="1"/>
  <c r="CG77" i="20" s="1"/>
  <c r="CG78" i="20" s="1"/>
  <c r="CG79" i="20" s="1"/>
  <c r="CG80" i="20" s="1"/>
  <c r="CG81" i="20" s="1"/>
  <c r="CG82" i="20" s="1"/>
  <c r="CG83" i="20" s="1"/>
  <c r="CG84" i="20" s="1"/>
  <c r="CG85" i="20" s="1"/>
  <c r="CG86" i="20" s="1"/>
  <c r="CG87" i="20" s="1"/>
  <c r="CG88" i="20" s="1"/>
  <c r="CG89" i="20" s="1"/>
  <c r="CG90" i="20" s="1"/>
  <c r="CG91" i="20" s="1"/>
  <c r="CG92" i="20" s="1"/>
  <c r="CG93" i="20" s="1"/>
  <c r="BM94" i="20"/>
  <c r="E75" i="20"/>
  <c r="CA82" i="20"/>
  <c r="AP78" i="20"/>
  <c r="G143" i="20"/>
  <c r="G144" i="20" s="1"/>
  <c r="G145" i="20" s="1"/>
  <c r="E144" i="20"/>
  <c r="CA19" i="20"/>
  <c r="AP15" i="20"/>
  <c r="BV144" i="20"/>
  <c r="B149" i="20" s="1"/>
  <c r="T145" i="14"/>
  <c r="T124" i="14"/>
  <c r="AP122" i="14"/>
  <c r="CA124" i="14" s="1"/>
  <c r="CB124" i="14" s="1"/>
  <c r="CB125" i="14" s="1"/>
  <c r="F11" i="18"/>
  <c r="G11" i="18" s="1"/>
  <c r="AA151" i="14"/>
  <c r="F12" i="18"/>
  <c r="G12" i="18" s="1"/>
  <c r="F8" i="18"/>
  <c r="G8" i="18" s="1"/>
  <c r="R103" i="14"/>
  <c r="F14" i="18"/>
  <c r="G14" i="18" s="1"/>
  <c r="R145" i="14"/>
  <c r="F13" i="18"/>
  <c r="G13" i="18" s="1"/>
  <c r="AP143" i="14"/>
  <c r="AP141" i="14" s="1"/>
  <c r="G13" i="14"/>
  <c r="F9" i="18"/>
  <c r="G9" i="18" s="1"/>
  <c r="F10" i="18"/>
  <c r="G10" i="18" s="1"/>
  <c r="AG107" i="16"/>
  <c r="G55" i="14"/>
  <c r="AP59" i="14"/>
  <c r="T61" i="14"/>
  <c r="R61" i="14"/>
  <c r="G76" i="14"/>
  <c r="T82" i="14"/>
  <c r="AP80" i="14"/>
  <c r="G97" i="14"/>
  <c r="AP101" i="14"/>
  <c r="Z146" i="14"/>
  <c r="E122" i="14"/>
  <c r="Z126" i="14"/>
  <c r="BZ124" i="14"/>
  <c r="BV123" i="14" s="1"/>
  <c r="B128" i="14" s="1"/>
  <c r="BZ103" i="14"/>
  <c r="BV102" i="14" s="1"/>
  <c r="B107" i="14" s="1"/>
  <c r="E101" i="14"/>
  <c r="BZ82" i="14"/>
  <c r="BV81" i="14" s="1"/>
  <c r="B86" i="14" s="1"/>
  <c r="E80" i="14"/>
  <c r="Z84" i="14"/>
  <c r="Z88" i="14"/>
  <c r="Z66" i="14"/>
  <c r="AA64" i="14"/>
  <c r="Z132" i="14"/>
  <c r="Z148" i="14"/>
  <c r="AQ144" i="14"/>
  <c r="AA144" i="14" s="1"/>
  <c r="AA155" i="14" s="1"/>
  <c r="Z103" i="14"/>
  <c r="AA85" i="14"/>
  <c r="Z89" i="14"/>
  <c r="Z145" i="14"/>
  <c r="Z125" i="14"/>
  <c r="Z106" i="14"/>
  <c r="Z253" i="16"/>
  <c r="Z245" i="16"/>
  <c r="Z237" i="16"/>
  <c r="Z229" i="16"/>
  <c r="Z221" i="16"/>
  <c r="Z213" i="16"/>
  <c r="Z144" i="16"/>
  <c r="Z136" i="16"/>
  <c r="Z128" i="16"/>
  <c r="Z120" i="16"/>
  <c r="Z112" i="16"/>
  <c r="AQ123" i="14"/>
  <c r="AQ134" i="14" s="1"/>
  <c r="Z131" i="14"/>
  <c r="AA86" i="14"/>
  <c r="Z83" i="14"/>
  <c r="AA90" i="14"/>
  <c r="Z150" i="14"/>
  <c r="Z104" i="14"/>
  <c r="Z127" i="14"/>
  <c r="Z110" i="14"/>
  <c r="Z108" i="14"/>
  <c r="Z149" i="14"/>
  <c r="X104" i="14"/>
  <c r="AA87" i="14"/>
  <c r="X83" i="14"/>
  <c r="AP98" i="14"/>
  <c r="AS117" i="16"/>
  <c r="X117" i="16" s="1"/>
  <c r="Z65" i="14"/>
  <c r="X146" i="14"/>
  <c r="AP140" i="14"/>
  <c r="AP155" i="14"/>
  <c r="AA107" i="14"/>
  <c r="Z107" i="14"/>
  <c r="AR92" i="14"/>
  <c r="AQ81" i="14"/>
  <c r="BN60" i="14"/>
  <c r="AA130" i="14"/>
  <c r="Z130" i="14"/>
  <c r="AA105" i="14"/>
  <c r="Z105" i="14"/>
  <c r="AA147" i="14"/>
  <c r="Z147" i="14"/>
  <c r="AA152" i="14"/>
  <c r="Z152" i="14"/>
  <c r="AA109" i="14"/>
  <c r="Z109" i="14"/>
  <c r="AP77" i="14"/>
  <c r="AA67" i="14"/>
  <c r="Z67" i="14"/>
  <c r="AA153" i="14"/>
  <c r="Z153" i="14"/>
  <c r="X125" i="14"/>
  <c r="AP119" i="14"/>
  <c r="AR113" i="14"/>
  <c r="AQ102" i="14"/>
  <c r="Z82" i="14"/>
  <c r="AA82" i="14"/>
  <c r="Z69" i="14"/>
  <c r="AA69" i="14"/>
  <c r="AA124" i="14"/>
  <c r="Z124" i="14"/>
  <c r="AA68" i="14"/>
  <c r="Z68" i="14"/>
  <c r="AA129" i="14"/>
  <c r="Z129" i="14"/>
  <c r="AA128" i="14"/>
  <c r="Z128" i="14"/>
  <c r="AA111" i="14"/>
  <c r="Z111" i="14"/>
  <c r="AB91" i="16"/>
  <c r="AA193" i="16" s="1"/>
  <c r="W193" i="16" s="1"/>
  <c r="Z105" i="16"/>
  <c r="AA51" i="1" l="1"/>
  <c r="AF52" i="1"/>
  <c r="D20" i="30"/>
  <c r="I20" i="30" s="1"/>
  <c r="D20" i="32"/>
  <c r="I20" i="32" s="1"/>
  <c r="K6" i="32"/>
  <c r="I21" i="32" s="1"/>
  <c r="I22" i="32" s="1"/>
  <c r="I23" i="32" s="1"/>
  <c r="A113" i="29"/>
  <c r="A99" i="29"/>
  <c r="A112" i="29"/>
  <c r="A108" i="29"/>
  <c r="A104" i="29"/>
  <c r="A98" i="29"/>
  <c r="A97" i="29"/>
  <c r="A111" i="29"/>
  <c r="A107" i="29"/>
  <c r="A103" i="29"/>
  <c r="A96" i="29"/>
  <c r="A95" i="29"/>
  <c r="A101" i="29"/>
  <c r="A94" i="29"/>
  <c r="A109" i="29"/>
  <c r="A105" i="29"/>
  <c r="A100" i="29"/>
  <c r="A102" i="29"/>
  <c r="B94" i="29"/>
  <c r="A106" i="29"/>
  <c r="A110" i="29"/>
  <c r="A109" i="22"/>
  <c r="A105" i="22"/>
  <c r="A100" i="22"/>
  <c r="A113" i="22"/>
  <c r="A99" i="22"/>
  <c r="A112" i="22"/>
  <c r="A108" i="22"/>
  <c r="A104" i="22"/>
  <c r="A98" i="22"/>
  <c r="A97" i="22"/>
  <c r="A111" i="22"/>
  <c r="A107" i="22"/>
  <c r="A103" i="22"/>
  <c r="A96" i="22"/>
  <c r="A95" i="22"/>
  <c r="A110" i="22"/>
  <c r="A106" i="22"/>
  <c r="A102" i="22"/>
  <c r="B94" i="22"/>
  <c r="A101" i="22"/>
  <c r="A94" i="22"/>
  <c r="A97" i="23"/>
  <c r="A111" i="23"/>
  <c r="A107" i="23"/>
  <c r="A103" i="23"/>
  <c r="A96" i="23"/>
  <c r="A95" i="23"/>
  <c r="A110" i="23"/>
  <c r="A106" i="23"/>
  <c r="A102" i="23"/>
  <c r="B94" i="23"/>
  <c r="A101" i="23"/>
  <c r="A94" i="23"/>
  <c r="A113" i="23"/>
  <c r="A99" i="23"/>
  <c r="A112" i="23"/>
  <c r="A108" i="23"/>
  <c r="A104" i="23"/>
  <c r="A98" i="23"/>
  <c r="A105" i="23"/>
  <c r="A109" i="23"/>
  <c r="A100" i="23"/>
  <c r="A101" i="24"/>
  <c r="A94" i="24"/>
  <c r="A109" i="24"/>
  <c r="A105" i="24"/>
  <c r="A100" i="24"/>
  <c r="A113" i="24"/>
  <c r="A99" i="24"/>
  <c r="A112" i="24"/>
  <c r="A108" i="24"/>
  <c r="A104" i="24"/>
  <c r="A98" i="24"/>
  <c r="A97" i="24"/>
  <c r="A95" i="24"/>
  <c r="A110" i="24"/>
  <c r="A106" i="24"/>
  <c r="A102" i="24"/>
  <c r="B94" i="24"/>
  <c r="A103" i="24"/>
  <c r="A96" i="24"/>
  <c r="A107" i="24"/>
  <c r="A111" i="24"/>
  <c r="A101" i="26"/>
  <c r="A94" i="26"/>
  <c r="A109" i="26"/>
  <c r="A105" i="26"/>
  <c r="A100" i="26"/>
  <c r="A113" i="26"/>
  <c r="A99" i="26"/>
  <c r="A112" i="26"/>
  <c r="A108" i="26"/>
  <c r="A104" i="26"/>
  <c r="A98" i="26"/>
  <c r="A97" i="26"/>
  <c r="A95" i="26"/>
  <c r="A110" i="26"/>
  <c r="A106" i="26"/>
  <c r="A102" i="26"/>
  <c r="B94" i="26"/>
  <c r="A96" i="26"/>
  <c r="A107" i="26"/>
  <c r="A111" i="26"/>
  <c r="A103" i="26"/>
  <c r="I6" i="33"/>
  <c r="K6" i="33"/>
  <c r="U17" i="33" s="1"/>
  <c r="U18" i="33" s="1"/>
  <c r="T19" i="33" s="1"/>
  <c r="A109" i="20"/>
  <c r="A105" i="20"/>
  <c r="A100" i="20"/>
  <c r="A113" i="20"/>
  <c r="A99" i="20"/>
  <c r="A112" i="20"/>
  <c r="A108" i="20"/>
  <c r="A104" i="20"/>
  <c r="A98" i="20"/>
  <c r="A97" i="20"/>
  <c r="A111" i="20"/>
  <c r="A107" i="20"/>
  <c r="A103" i="20"/>
  <c r="A96" i="20"/>
  <c r="A95" i="20"/>
  <c r="A110" i="20"/>
  <c r="A106" i="20"/>
  <c r="A102" i="20"/>
  <c r="B94" i="20"/>
  <c r="A101" i="20"/>
  <c r="A94" i="20"/>
  <c r="A113" i="27"/>
  <c r="A99" i="27"/>
  <c r="A112" i="27"/>
  <c r="A108" i="27"/>
  <c r="A104" i="27"/>
  <c r="A98" i="27"/>
  <c r="A97" i="27"/>
  <c r="A111" i="27"/>
  <c r="A107" i="27"/>
  <c r="A103" i="27"/>
  <c r="A96" i="27"/>
  <c r="A95" i="27"/>
  <c r="A101" i="27"/>
  <c r="A94" i="27"/>
  <c r="A109" i="27"/>
  <c r="A105" i="27"/>
  <c r="A100" i="27"/>
  <c r="A106" i="27"/>
  <c r="A102" i="27"/>
  <c r="A110" i="27"/>
  <c r="B94" i="27"/>
  <c r="A118" i="21"/>
  <c r="A132" i="21"/>
  <c r="A128" i="21"/>
  <c r="A124" i="21"/>
  <c r="A117" i="21"/>
  <c r="A116" i="21"/>
  <c r="A131" i="21"/>
  <c r="A127" i="21"/>
  <c r="A123" i="21"/>
  <c r="B115" i="21"/>
  <c r="A122" i="21"/>
  <c r="A115" i="21"/>
  <c r="A130" i="21"/>
  <c r="A126" i="21"/>
  <c r="A121" i="21"/>
  <c r="A134" i="21"/>
  <c r="A120" i="21"/>
  <c r="A129" i="21"/>
  <c r="A119" i="21"/>
  <c r="A133" i="21"/>
  <c r="A125" i="21"/>
  <c r="M6" i="31"/>
  <c r="A97" i="25"/>
  <c r="A111" i="25"/>
  <c r="A107" i="25"/>
  <c r="A103" i="25"/>
  <c r="A96" i="25"/>
  <c r="A95" i="25"/>
  <c r="A110" i="25"/>
  <c r="A106" i="25"/>
  <c r="A102" i="25"/>
  <c r="B94" i="25"/>
  <c r="A101" i="25"/>
  <c r="A94" i="25"/>
  <c r="A113" i="25"/>
  <c r="A99" i="25"/>
  <c r="A112" i="25"/>
  <c r="A108" i="25"/>
  <c r="A104" i="25"/>
  <c r="A98" i="25"/>
  <c r="A109" i="25"/>
  <c r="A100" i="25"/>
  <c r="A105" i="25"/>
  <c r="I6" i="36"/>
  <c r="K6" i="36"/>
  <c r="U17" i="36" s="1"/>
  <c r="U18" i="36" s="1"/>
  <c r="T19" i="36" s="1"/>
  <c r="A14" i="27"/>
  <c r="BN15" i="27"/>
  <c r="A14" i="26"/>
  <c r="BN15" i="26"/>
  <c r="BN38" i="22"/>
  <c r="A37" i="22"/>
  <c r="I6" i="30"/>
  <c r="A14" i="23"/>
  <c r="BN15" i="23"/>
  <c r="A95" i="28"/>
  <c r="A110" i="28"/>
  <c r="A106" i="28"/>
  <c r="A102" i="28"/>
  <c r="B94" i="28"/>
  <c r="A101" i="28"/>
  <c r="A94" i="28"/>
  <c r="A109" i="28"/>
  <c r="A105" i="28"/>
  <c r="A100" i="28"/>
  <c r="A113" i="28"/>
  <c r="A99" i="28"/>
  <c r="A97" i="28"/>
  <c r="A111" i="28"/>
  <c r="A107" i="28"/>
  <c r="A103" i="28"/>
  <c r="A96" i="28"/>
  <c r="A112" i="28"/>
  <c r="A104" i="28"/>
  <c r="A108" i="28"/>
  <c r="A98" i="28"/>
  <c r="A14" i="22"/>
  <c r="BN15" i="22"/>
  <c r="A14" i="20"/>
  <c r="BN15" i="20"/>
  <c r="BN45" i="20"/>
  <c r="A44" i="20"/>
  <c r="V125" i="20"/>
  <c r="E125" i="20"/>
  <c r="K34" i="28"/>
  <c r="K55" i="28" s="1"/>
  <c r="O23" i="28"/>
  <c r="O24" i="28"/>
  <c r="AS91" i="27"/>
  <c r="S86" i="7"/>
  <c r="K97" i="7"/>
  <c r="K118" i="7" s="1"/>
  <c r="E105" i="26"/>
  <c r="E126" i="20"/>
  <c r="W125" i="20"/>
  <c r="U125" i="20" s="1"/>
  <c r="AS91" i="20"/>
  <c r="E84" i="21"/>
  <c r="S24" i="27"/>
  <c r="S23" i="27"/>
  <c r="Q80" i="28"/>
  <c r="O64" i="28"/>
  <c r="Q61" i="28"/>
  <c r="Q62" i="28" s="1"/>
  <c r="BV67" i="28"/>
  <c r="S61" i="28"/>
  <c r="S62" i="28" s="1"/>
  <c r="S45" i="28"/>
  <c r="S44" i="28"/>
  <c r="S40" i="27"/>
  <c r="S41" i="27" s="1"/>
  <c r="Q40" i="27"/>
  <c r="Q41" i="27" s="1"/>
  <c r="BV46" i="27"/>
  <c r="O43" i="27"/>
  <c r="Q59" i="27"/>
  <c r="O22" i="26"/>
  <c r="S19" i="26"/>
  <c r="S20" i="26" s="1"/>
  <c r="Q17" i="25"/>
  <c r="BV25" i="26"/>
  <c r="Q38" i="26"/>
  <c r="Q19" i="26"/>
  <c r="Q20" i="26" s="1"/>
  <c r="S24" i="28"/>
  <c r="S23" i="28"/>
  <c r="K76" i="14"/>
  <c r="S65" i="14"/>
  <c r="S66" i="14"/>
  <c r="W104" i="26"/>
  <c r="U104" i="26" s="1"/>
  <c r="E104" i="26"/>
  <c r="V104" i="26"/>
  <c r="E84" i="27"/>
  <c r="W83" i="21"/>
  <c r="U83" i="21" s="1"/>
  <c r="S108" i="7"/>
  <c r="W83" i="27"/>
  <c r="U83" i="27" s="1"/>
  <c r="V83" i="27"/>
  <c r="V83" i="21"/>
  <c r="E83" i="21"/>
  <c r="E42" i="28"/>
  <c r="C6" i="30"/>
  <c r="L6" i="30" s="1"/>
  <c r="AP76" i="14"/>
  <c r="AP139" i="14"/>
  <c r="C6" i="32"/>
  <c r="L6" i="32" s="1"/>
  <c r="C6" i="35"/>
  <c r="L6" i="35" s="1"/>
  <c r="C6" i="31"/>
  <c r="L6" i="31" s="1"/>
  <c r="C6" i="39"/>
  <c r="L6" i="39" s="1"/>
  <c r="AS133" i="14"/>
  <c r="AP118" i="14"/>
  <c r="AS154" i="29"/>
  <c r="AS154" i="26"/>
  <c r="AS133" i="27"/>
  <c r="AS154" i="14"/>
  <c r="BK123" i="14"/>
  <c r="AR91" i="14"/>
  <c r="AP97" i="14"/>
  <c r="C6" i="38"/>
  <c r="L6" i="38" s="1"/>
  <c r="C6" i="33"/>
  <c r="L6" i="33" s="1"/>
  <c r="C6" i="36"/>
  <c r="L6" i="36" s="1"/>
  <c r="AS49" i="22"/>
  <c r="AS49" i="26"/>
  <c r="BK144" i="14"/>
  <c r="AR112" i="14"/>
  <c r="C6" i="37"/>
  <c r="L6" i="37" s="1"/>
  <c r="C6" i="34"/>
  <c r="L6" i="34" s="1"/>
  <c r="AS154" i="20"/>
  <c r="BK102" i="14"/>
  <c r="AS154" i="22"/>
  <c r="BK81" i="14"/>
  <c r="E63" i="23"/>
  <c r="G80" i="14"/>
  <c r="G81" i="14" s="1"/>
  <c r="G82" i="14" s="1"/>
  <c r="V104" i="27"/>
  <c r="E126" i="26"/>
  <c r="G122" i="14"/>
  <c r="G123" i="14" s="1"/>
  <c r="G124" i="14" s="1"/>
  <c r="E62" i="23"/>
  <c r="G101" i="14"/>
  <c r="G102" i="14" s="1"/>
  <c r="G103" i="14" s="1"/>
  <c r="E41" i="28"/>
  <c r="V41" i="27"/>
  <c r="E41" i="27"/>
  <c r="W41" i="27"/>
  <c r="U41" i="27" s="1"/>
  <c r="E42" i="27"/>
  <c r="K75" i="28"/>
  <c r="K96" i="14"/>
  <c r="K117" i="7"/>
  <c r="V125" i="26"/>
  <c r="W62" i="23"/>
  <c r="U62" i="23" s="1"/>
  <c r="V62" i="23"/>
  <c r="W125" i="26"/>
  <c r="U125" i="26" s="1"/>
  <c r="W41" i="28"/>
  <c r="U41" i="28" s="1"/>
  <c r="V41" i="28"/>
  <c r="W41" i="21"/>
  <c r="U41" i="21" s="1"/>
  <c r="E125" i="26"/>
  <c r="AP120" i="14"/>
  <c r="CA128" i="14"/>
  <c r="V41" i="21"/>
  <c r="Z144" i="14"/>
  <c r="Z155" i="14" s="1"/>
  <c r="K7" i="34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I21" i="34"/>
  <c r="I22" i="34" s="1"/>
  <c r="I23" i="34" s="1"/>
  <c r="U17" i="34"/>
  <c r="U18" i="34" s="1"/>
  <c r="T19" i="34" s="1"/>
  <c r="I21" i="38"/>
  <c r="I22" i="38" s="1"/>
  <c r="I23" i="38" s="1"/>
  <c r="U17" i="38"/>
  <c r="U18" i="38" s="1"/>
  <c r="T19" i="38" s="1"/>
  <c r="K7" i="38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U17" i="37"/>
  <c r="U18" i="37" s="1"/>
  <c r="T19" i="37" s="1"/>
  <c r="K7" i="37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I21" i="37"/>
  <c r="I22" i="37" s="1"/>
  <c r="I23" i="37" s="1"/>
  <c r="U17" i="31"/>
  <c r="U18" i="31" s="1"/>
  <c r="T19" i="31" s="1"/>
  <c r="K7" i="3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I21" i="31"/>
  <c r="I22" i="31" s="1"/>
  <c r="I23" i="31" s="1"/>
  <c r="I21" i="39"/>
  <c r="I22" i="39" s="1"/>
  <c r="I23" i="39" s="1"/>
  <c r="U17" i="39"/>
  <c r="U18" i="39" s="1"/>
  <c r="T19" i="39" s="1"/>
  <c r="K7" i="39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I21" i="35"/>
  <c r="I22" i="35" s="1"/>
  <c r="I23" i="35" s="1"/>
  <c r="U17" i="35"/>
  <c r="U18" i="35" s="1"/>
  <c r="T19" i="35" s="1"/>
  <c r="K7" i="35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7" i="30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I21" i="30"/>
  <c r="I22" i="30" s="1"/>
  <c r="I23" i="30" s="1"/>
  <c r="U17" i="30"/>
  <c r="U18" i="30" s="1"/>
  <c r="T19" i="30" s="1"/>
  <c r="E79" i="28"/>
  <c r="G79" i="28" s="1"/>
  <c r="E79" i="20"/>
  <c r="G79" i="20" s="1"/>
  <c r="E79" i="29"/>
  <c r="G79" i="29" s="1"/>
  <c r="E79" i="22"/>
  <c r="G79" i="22" s="1"/>
  <c r="E79" i="25"/>
  <c r="G79" i="25" s="1"/>
  <c r="E79" i="27"/>
  <c r="G79" i="27" s="1"/>
  <c r="W104" i="27"/>
  <c r="U104" i="27" s="1"/>
  <c r="E100" i="21"/>
  <c r="G100" i="21" s="1"/>
  <c r="E79" i="24"/>
  <c r="G79" i="24" s="1"/>
  <c r="E79" i="23"/>
  <c r="G79" i="23" s="1"/>
  <c r="E79" i="26"/>
  <c r="G79" i="26" s="1"/>
  <c r="E61" i="21"/>
  <c r="E104" i="21"/>
  <c r="E104" i="22"/>
  <c r="E124" i="25"/>
  <c r="E145" i="25"/>
  <c r="E61" i="26"/>
  <c r="E146" i="28"/>
  <c r="E61" i="28"/>
  <c r="E40" i="29"/>
  <c r="E62" i="27"/>
  <c r="E63" i="22"/>
  <c r="E84" i="26"/>
  <c r="E147" i="28"/>
  <c r="E105" i="24"/>
  <c r="E20" i="22"/>
  <c r="E61" i="24"/>
  <c r="E125" i="24"/>
  <c r="E19" i="25"/>
  <c r="E41" i="25"/>
  <c r="E125" i="27"/>
  <c r="E103" i="28"/>
  <c r="E19" i="28"/>
  <c r="E20" i="29"/>
  <c r="E41" i="21"/>
  <c r="E105" i="25"/>
  <c r="E21" i="23"/>
  <c r="E126" i="27"/>
  <c r="E40" i="23"/>
  <c r="E83" i="26"/>
  <c r="E104" i="27"/>
  <c r="E61" i="20"/>
  <c r="E19" i="20"/>
  <c r="E19" i="21"/>
  <c r="E20" i="24"/>
  <c r="E145" i="27"/>
  <c r="E124" i="28"/>
  <c r="E82" i="29"/>
  <c r="K13" i="26"/>
  <c r="O23" i="27"/>
  <c r="K34" i="27"/>
  <c r="O24" i="27"/>
  <c r="E63" i="25"/>
  <c r="E147" i="22"/>
  <c r="E21" i="24"/>
  <c r="E146" i="21"/>
  <c r="E103" i="23"/>
  <c r="E146" i="24"/>
  <c r="E82" i="24"/>
  <c r="E82" i="25"/>
  <c r="E62" i="25"/>
  <c r="E146" i="29"/>
  <c r="E147" i="24"/>
  <c r="E105" i="22"/>
  <c r="E63" i="29"/>
  <c r="E21" i="22"/>
  <c r="E146" i="22"/>
  <c r="E41" i="24"/>
  <c r="E40" i="26"/>
  <c r="E40" i="22"/>
  <c r="E82" i="23"/>
  <c r="E104" i="25"/>
  <c r="E125" i="29"/>
  <c r="E126" i="24"/>
  <c r="E63" i="27"/>
  <c r="E42" i="21"/>
  <c r="E105" i="21"/>
  <c r="E147" i="20"/>
  <c r="E146" i="20"/>
  <c r="E103" i="20"/>
  <c r="E40" i="20"/>
  <c r="E62" i="22"/>
  <c r="E124" i="22"/>
  <c r="E145" i="23"/>
  <c r="E103" i="29"/>
  <c r="O45" i="28"/>
  <c r="E42" i="24"/>
  <c r="E105" i="27"/>
  <c r="E21" i="29"/>
  <c r="E147" i="21"/>
  <c r="E62" i="29"/>
  <c r="E82" i="20"/>
  <c r="E124" i="21"/>
  <c r="E82" i="22"/>
  <c r="E124" i="23"/>
  <c r="E20" i="23"/>
  <c r="E19" i="26"/>
  <c r="E145" i="26"/>
  <c r="E19" i="27"/>
  <c r="E82" i="28"/>
  <c r="E104" i="24"/>
  <c r="E42" i="25"/>
  <c r="E147" i="29"/>
  <c r="E126" i="29"/>
  <c r="AS112" i="24"/>
  <c r="K33" i="27"/>
  <c r="K54" i="27" s="1"/>
  <c r="K12" i="26"/>
  <c r="AS112" i="20"/>
  <c r="AS133" i="21"/>
  <c r="AS49" i="21"/>
  <c r="AS28" i="21"/>
  <c r="AS154" i="21"/>
  <c r="AS112" i="21"/>
  <c r="AS91" i="21"/>
  <c r="AS133" i="22"/>
  <c r="AS70" i="22"/>
  <c r="AS70" i="23"/>
  <c r="AS112" i="23"/>
  <c r="AS91" i="24"/>
  <c r="AS28" i="24"/>
  <c r="AS70" i="24"/>
  <c r="AS49" i="24"/>
  <c r="AS28" i="25"/>
  <c r="AS133" i="25"/>
  <c r="AS112" i="25"/>
  <c r="AS91" i="26"/>
  <c r="AS112" i="26"/>
  <c r="AS133" i="26"/>
  <c r="AS49" i="27"/>
  <c r="AS112" i="27"/>
  <c r="AS70" i="27"/>
  <c r="AS91" i="28"/>
  <c r="AS28" i="28"/>
  <c r="AS49" i="28"/>
  <c r="AS133" i="28"/>
  <c r="V62" i="27"/>
  <c r="W62" i="27"/>
  <c r="U62" i="27" s="1"/>
  <c r="V104" i="24"/>
  <c r="W104" i="24"/>
  <c r="U104" i="24" s="1"/>
  <c r="AS133" i="29"/>
  <c r="AS70" i="29"/>
  <c r="AS28" i="29"/>
  <c r="B141" i="39"/>
  <c r="S119" i="39"/>
  <c r="B141" i="38"/>
  <c r="S119" i="38"/>
  <c r="B141" i="37"/>
  <c r="S119" i="37"/>
  <c r="B141" i="36"/>
  <c r="S119" i="36"/>
  <c r="B118" i="35"/>
  <c r="S96" i="35"/>
  <c r="S119" i="34"/>
  <c r="B141" i="34"/>
  <c r="B141" i="33"/>
  <c r="S119" i="33"/>
  <c r="B141" i="32"/>
  <c r="S119" i="32"/>
  <c r="S96" i="31"/>
  <c r="B118" i="31"/>
  <c r="S96" i="30"/>
  <c r="B118" i="30"/>
  <c r="BM115" i="29"/>
  <c r="CG94" i="29"/>
  <c r="CG95" i="29" s="1"/>
  <c r="CG96" i="29" s="1"/>
  <c r="CG97" i="29" s="1"/>
  <c r="CG98" i="29" s="1"/>
  <c r="CG99" i="29" s="1"/>
  <c r="CG100" i="29" s="1"/>
  <c r="CG101" i="29" s="1"/>
  <c r="CG102" i="29" s="1"/>
  <c r="CG103" i="29" s="1"/>
  <c r="CG104" i="29" s="1"/>
  <c r="CG105" i="29" s="1"/>
  <c r="CG106" i="29" s="1"/>
  <c r="CG107" i="29" s="1"/>
  <c r="CG108" i="29" s="1"/>
  <c r="CG109" i="29" s="1"/>
  <c r="CG110" i="29" s="1"/>
  <c r="CG111" i="29" s="1"/>
  <c r="CG112" i="29" s="1"/>
  <c r="CG113" i="29" s="1"/>
  <c r="CG114" i="29" s="1"/>
  <c r="E96" i="29"/>
  <c r="E81" i="29"/>
  <c r="G80" i="29"/>
  <c r="G81" i="29" s="1"/>
  <c r="G82" i="29" s="1"/>
  <c r="BN16" i="29"/>
  <c r="A16" i="29" s="1"/>
  <c r="BV81" i="29"/>
  <c r="B86" i="29" s="1"/>
  <c r="E39" i="29"/>
  <c r="G38" i="29"/>
  <c r="G39" i="29" s="1"/>
  <c r="G40" i="29" s="1"/>
  <c r="E102" i="29"/>
  <c r="G101" i="29"/>
  <c r="G102" i="29" s="1"/>
  <c r="G103" i="29" s="1"/>
  <c r="CA107" i="29"/>
  <c r="CB103" i="29"/>
  <c r="BV39" i="29"/>
  <c r="B44" i="29" s="1"/>
  <c r="CB40" i="29"/>
  <c r="CA44" i="29"/>
  <c r="BV102" i="29"/>
  <c r="B107" i="29" s="1"/>
  <c r="V20" i="29"/>
  <c r="W20" i="29"/>
  <c r="U20" i="29" s="1"/>
  <c r="CA128" i="29"/>
  <c r="CB124" i="29"/>
  <c r="CL9" i="29"/>
  <c r="V62" i="29"/>
  <c r="W62" i="29"/>
  <c r="U62" i="29" s="1"/>
  <c r="CA149" i="29"/>
  <c r="CB145" i="29"/>
  <c r="CA65" i="29"/>
  <c r="CB61" i="29"/>
  <c r="CA23" i="29"/>
  <c r="CB19" i="29"/>
  <c r="CA86" i="29"/>
  <c r="CB82" i="29"/>
  <c r="V125" i="29"/>
  <c r="W125" i="29"/>
  <c r="U125" i="29" s="1"/>
  <c r="BN42" i="29"/>
  <c r="A42" i="29" s="1"/>
  <c r="W146" i="29"/>
  <c r="U146" i="29" s="1"/>
  <c r="V146" i="29"/>
  <c r="CA107" i="28"/>
  <c r="CB103" i="28"/>
  <c r="E81" i="28"/>
  <c r="G80" i="28"/>
  <c r="G81" i="28" s="1"/>
  <c r="G82" i="28" s="1"/>
  <c r="V146" i="28"/>
  <c r="W146" i="28"/>
  <c r="U146" i="28" s="1"/>
  <c r="BV102" i="28"/>
  <c r="B107" i="28" s="1"/>
  <c r="E18" i="28"/>
  <c r="G17" i="28"/>
  <c r="G18" i="28" s="1"/>
  <c r="G19" i="28" s="1"/>
  <c r="G59" i="28"/>
  <c r="G60" i="28" s="1"/>
  <c r="G61" i="28" s="1"/>
  <c r="E60" i="28"/>
  <c r="G101" i="28"/>
  <c r="G102" i="28" s="1"/>
  <c r="G103" i="28" s="1"/>
  <c r="E102" i="28"/>
  <c r="CB145" i="28"/>
  <c r="CA149" i="28"/>
  <c r="BV18" i="28"/>
  <c r="B23" i="28" s="1"/>
  <c r="BV60" i="28"/>
  <c r="B65" i="28" s="1"/>
  <c r="CA44" i="28"/>
  <c r="CB40" i="28"/>
  <c r="G122" i="28"/>
  <c r="G123" i="28" s="1"/>
  <c r="G124" i="28" s="1"/>
  <c r="E123" i="28"/>
  <c r="CB19" i="28"/>
  <c r="CA23" i="28"/>
  <c r="CB124" i="28"/>
  <c r="CA128" i="28"/>
  <c r="BN17" i="28"/>
  <c r="A17" i="28" s="1"/>
  <c r="BV123" i="28"/>
  <c r="B128" i="28" s="1"/>
  <c r="CL9" i="28"/>
  <c r="CG94" i="28"/>
  <c r="CG95" i="28" s="1"/>
  <c r="CG96" i="28" s="1"/>
  <c r="CG97" i="28" s="1"/>
  <c r="CG98" i="28" s="1"/>
  <c r="CG99" i="28" s="1"/>
  <c r="CG100" i="28" s="1"/>
  <c r="CG101" i="28" s="1"/>
  <c r="CG102" i="28" s="1"/>
  <c r="CG103" i="28" s="1"/>
  <c r="CG104" i="28" s="1"/>
  <c r="CG105" i="28" s="1"/>
  <c r="CG106" i="28" s="1"/>
  <c r="CG107" i="28" s="1"/>
  <c r="CG108" i="28" s="1"/>
  <c r="CG109" i="28" s="1"/>
  <c r="CG110" i="28" s="1"/>
  <c r="CG111" i="28" s="1"/>
  <c r="CG112" i="28" s="1"/>
  <c r="CG113" i="28" s="1"/>
  <c r="CG114" i="28" s="1"/>
  <c r="BM115" i="28"/>
  <c r="E96" i="28"/>
  <c r="BN38" i="28"/>
  <c r="A38" i="28" s="1"/>
  <c r="CA86" i="28"/>
  <c r="CB82" i="28"/>
  <c r="BV81" i="28"/>
  <c r="B86" i="28" s="1"/>
  <c r="CA65" i="28"/>
  <c r="CB61" i="28"/>
  <c r="W125" i="27"/>
  <c r="U125" i="27" s="1"/>
  <c r="V125" i="27"/>
  <c r="E18" i="27"/>
  <c r="G17" i="27"/>
  <c r="G18" i="27" s="1"/>
  <c r="G19" i="27" s="1"/>
  <c r="CA107" i="27"/>
  <c r="CB103" i="27"/>
  <c r="BV18" i="27"/>
  <c r="B23" i="27" s="1"/>
  <c r="CB40" i="27"/>
  <c r="CA44" i="27"/>
  <c r="CB145" i="27"/>
  <c r="CA149" i="27"/>
  <c r="BM115" i="27"/>
  <c r="CG94" i="27"/>
  <c r="CG95" i="27" s="1"/>
  <c r="CG96" i="27" s="1"/>
  <c r="CG97" i="27" s="1"/>
  <c r="CG98" i="27" s="1"/>
  <c r="CG99" i="27" s="1"/>
  <c r="CG100" i="27" s="1"/>
  <c r="CG101" i="27" s="1"/>
  <c r="CG102" i="27" s="1"/>
  <c r="CG103" i="27" s="1"/>
  <c r="CG104" i="27" s="1"/>
  <c r="CG105" i="27" s="1"/>
  <c r="CG106" i="27" s="1"/>
  <c r="CG107" i="27" s="1"/>
  <c r="CG108" i="27" s="1"/>
  <c r="CG109" i="27" s="1"/>
  <c r="CG110" i="27" s="1"/>
  <c r="CG111" i="27" s="1"/>
  <c r="CG112" i="27" s="1"/>
  <c r="CG113" i="27" s="1"/>
  <c r="CG114" i="27" s="1"/>
  <c r="E96" i="27"/>
  <c r="CA65" i="27"/>
  <c r="CB61" i="27"/>
  <c r="E144" i="27"/>
  <c r="G143" i="27"/>
  <c r="G144" i="27" s="1"/>
  <c r="G145" i="27" s="1"/>
  <c r="CA23" i="27"/>
  <c r="CB19" i="27"/>
  <c r="BV144" i="27"/>
  <c r="B149" i="27" s="1"/>
  <c r="CA128" i="27"/>
  <c r="CB124" i="27"/>
  <c r="CL8" i="27"/>
  <c r="CB82" i="27"/>
  <c r="CA86" i="27"/>
  <c r="CA86" i="26"/>
  <c r="CB82" i="26"/>
  <c r="CA107" i="26"/>
  <c r="CB103" i="26"/>
  <c r="CB145" i="26"/>
  <c r="CA149" i="26"/>
  <c r="BM115" i="26"/>
  <c r="CG94" i="26"/>
  <c r="CG95" i="26" s="1"/>
  <c r="CG96" i="26" s="1"/>
  <c r="CG97" i="26" s="1"/>
  <c r="CG98" i="26" s="1"/>
  <c r="CG99" i="26" s="1"/>
  <c r="CG100" i="26" s="1"/>
  <c r="CG101" i="26" s="1"/>
  <c r="CG102" i="26" s="1"/>
  <c r="CG103" i="26" s="1"/>
  <c r="CG104" i="26" s="1"/>
  <c r="CG105" i="26" s="1"/>
  <c r="CG106" i="26" s="1"/>
  <c r="CG107" i="26" s="1"/>
  <c r="CG108" i="26" s="1"/>
  <c r="CG109" i="26" s="1"/>
  <c r="CG110" i="26" s="1"/>
  <c r="CG111" i="26" s="1"/>
  <c r="CG112" i="26" s="1"/>
  <c r="CG113" i="26" s="1"/>
  <c r="CG114" i="26" s="1"/>
  <c r="E96" i="26"/>
  <c r="CB19" i="26"/>
  <c r="CA23" i="26"/>
  <c r="CL9" i="26"/>
  <c r="E18" i="26"/>
  <c r="G17" i="26"/>
  <c r="G18" i="26" s="1"/>
  <c r="G19" i="26" s="1"/>
  <c r="G143" i="26"/>
  <c r="G144" i="26" s="1"/>
  <c r="G145" i="26" s="1"/>
  <c r="E144" i="26"/>
  <c r="CB40" i="26"/>
  <c r="CA44" i="26"/>
  <c r="G38" i="26"/>
  <c r="G39" i="26" s="1"/>
  <c r="G40" i="26" s="1"/>
  <c r="E39" i="26"/>
  <c r="BN45" i="26"/>
  <c r="A45" i="26" s="1"/>
  <c r="BV18" i="26"/>
  <c r="B23" i="26" s="1"/>
  <c r="E60" i="26"/>
  <c r="G59" i="26"/>
  <c r="G60" i="26" s="1"/>
  <c r="G61" i="26" s="1"/>
  <c r="BV144" i="26"/>
  <c r="B149" i="26" s="1"/>
  <c r="BV39" i="26"/>
  <c r="B44" i="26" s="1"/>
  <c r="W83" i="26"/>
  <c r="U83" i="26" s="1"/>
  <c r="V83" i="26"/>
  <c r="BV60" i="26"/>
  <c r="B65" i="26" s="1"/>
  <c r="CA128" i="26"/>
  <c r="CB124" i="26"/>
  <c r="CA65" i="26"/>
  <c r="CB61" i="26"/>
  <c r="BV18" i="25"/>
  <c r="B23" i="25" s="1"/>
  <c r="CB145" i="25"/>
  <c r="CA149" i="25"/>
  <c r="CA44" i="25"/>
  <c r="CB40" i="25"/>
  <c r="BV123" i="25"/>
  <c r="B128" i="25" s="1"/>
  <c r="CA128" i="25"/>
  <c r="CB124" i="25"/>
  <c r="W62" i="25"/>
  <c r="U62" i="25" s="1"/>
  <c r="V62" i="25"/>
  <c r="BN37" i="25"/>
  <c r="A37" i="25" s="1"/>
  <c r="BM115" i="25"/>
  <c r="CG94" i="25"/>
  <c r="CG95" i="25" s="1"/>
  <c r="CG96" i="25" s="1"/>
  <c r="CG97" i="25" s="1"/>
  <c r="CG98" i="25" s="1"/>
  <c r="CG99" i="25" s="1"/>
  <c r="CG100" i="25" s="1"/>
  <c r="CG101" i="25" s="1"/>
  <c r="CG102" i="25" s="1"/>
  <c r="CG103" i="25" s="1"/>
  <c r="CG104" i="25" s="1"/>
  <c r="CG105" i="25" s="1"/>
  <c r="CG106" i="25" s="1"/>
  <c r="CG107" i="25" s="1"/>
  <c r="CG108" i="25" s="1"/>
  <c r="CG109" i="25" s="1"/>
  <c r="CG110" i="25" s="1"/>
  <c r="CG111" i="25" s="1"/>
  <c r="CG112" i="25" s="1"/>
  <c r="CG113" i="25" s="1"/>
  <c r="CG114" i="25" s="1"/>
  <c r="E96" i="25"/>
  <c r="G122" i="25"/>
  <c r="G123" i="25" s="1"/>
  <c r="G124" i="25" s="1"/>
  <c r="E123" i="25"/>
  <c r="CB61" i="25"/>
  <c r="CA65" i="25"/>
  <c r="W41" i="25"/>
  <c r="U41" i="25" s="1"/>
  <c r="V41" i="25"/>
  <c r="CA107" i="25"/>
  <c r="CB103" i="25"/>
  <c r="CL8" i="25"/>
  <c r="BN16" i="25"/>
  <c r="A16" i="25" s="1"/>
  <c r="W104" i="25"/>
  <c r="U104" i="25" s="1"/>
  <c r="V104" i="25"/>
  <c r="CA23" i="25"/>
  <c r="CB19" i="25"/>
  <c r="G80" i="25"/>
  <c r="G81" i="25" s="1"/>
  <c r="G82" i="25" s="1"/>
  <c r="E81" i="25"/>
  <c r="G143" i="25"/>
  <c r="G144" i="25" s="1"/>
  <c r="G145" i="25" s="1"/>
  <c r="E144" i="25"/>
  <c r="G17" i="25"/>
  <c r="G18" i="25" s="1"/>
  <c r="G19" i="25" s="1"/>
  <c r="E18" i="25"/>
  <c r="CB82" i="25"/>
  <c r="CA86" i="25"/>
  <c r="BV81" i="25"/>
  <c r="B86" i="25" s="1"/>
  <c r="BV144" i="25"/>
  <c r="B149" i="25" s="1"/>
  <c r="BN17" i="24"/>
  <c r="A17" i="24" s="1"/>
  <c r="CB103" i="24"/>
  <c r="CA107" i="24"/>
  <c r="CB145" i="24"/>
  <c r="CA149" i="24"/>
  <c r="W146" i="24"/>
  <c r="U146" i="24" s="1"/>
  <c r="V146" i="24"/>
  <c r="CA23" i="24"/>
  <c r="CB19" i="24"/>
  <c r="BM115" i="24"/>
  <c r="CG94" i="24"/>
  <c r="CG95" i="24" s="1"/>
  <c r="CG96" i="24" s="1"/>
  <c r="CG97" i="24" s="1"/>
  <c r="CG98" i="24" s="1"/>
  <c r="CG99" i="24" s="1"/>
  <c r="CG100" i="24" s="1"/>
  <c r="CG101" i="24" s="1"/>
  <c r="CG102" i="24" s="1"/>
  <c r="CG103" i="24" s="1"/>
  <c r="CG104" i="24" s="1"/>
  <c r="CG105" i="24" s="1"/>
  <c r="CG106" i="24" s="1"/>
  <c r="CG107" i="24" s="1"/>
  <c r="CG108" i="24" s="1"/>
  <c r="CG109" i="24" s="1"/>
  <c r="CG110" i="24" s="1"/>
  <c r="CG111" i="24" s="1"/>
  <c r="CG112" i="24" s="1"/>
  <c r="CG113" i="24" s="1"/>
  <c r="CG114" i="24" s="1"/>
  <c r="E96" i="24"/>
  <c r="CA86" i="24"/>
  <c r="CB82" i="24"/>
  <c r="W125" i="24"/>
  <c r="U125" i="24" s="1"/>
  <c r="V125" i="24"/>
  <c r="W41" i="24"/>
  <c r="U41" i="24" s="1"/>
  <c r="V41" i="24"/>
  <c r="W20" i="24"/>
  <c r="U20" i="24" s="1"/>
  <c r="V20" i="24"/>
  <c r="CA128" i="24"/>
  <c r="CB124" i="24"/>
  <c r="G80" i="24"/>
  <c r="G81" i="24" s="1"/>
  <c r="G82" i="24" s="1"/>
  <c r="E81" i="24"/>
  <c r="CA44" i="24"/>
  <c r="CB40" i="24"/>
  <c r="BV81" i="24"/>
  <c r="B86" i="24" s="1"/>
  <c r="BN38" i="24"/>
  <c r="A38" i="24" s="1"/>
  <c r="BV60" i="24"/>
  <c r="B65" i="24" s="1"/>
  <c r="CL8" i="24"/>
  <c r="CA65" i="24"/>
  <c r="CB61" i="24"/>
  <c r="G59" i="24"/>
  <c r="G60" i="24" s="1"/>
  <c r="G61" i="24" s="1"/>
  <c r="E60" i="24"/>
  <c r="BV123" i="23"/>
  <c r="B128" i="23" s="1"/>
  <c r="G38" i="23"/>
  <c r="G39" i="23" s="1"/>
  <c r="G40" i="23" s="1"/>
  <c r="E39" i="23"/>
  <c r="BV144" i="23"/>
  <c r="B149" i="23" s="1"/>
  <c r="BV39" i="23"/>
  <c r="B44" i="23" s="1"/>
  <c r="CA107" i="23"/>
  <c r="CB103" i="23"/>
  <c r="BM115" i="23"/>
  <c r="CG94" i="23"/>
  <c r="CG95" i="23" s="1"/>
  <c r="CG96" i="23" s="1"/>
  <c r="CG97" i="23" s="1"/>
  <c r="CG98" i="23" s="1"/>
  <c r="CG99" i="23" s="1"/>
  <c r="CG100" i="23" s="1"/>
  <c r="CG101" i="23" s="1"/>
  <c r="CG102" i="23" s="1"/>
  <c r="CG103" i="23" s="1"/>
  <c r="CG104" i="23" s="1"/>
  <c r="CG105" i="23" s="1"/>
  <c r="CG106" i="23" s="1"/>
  <c r="CG107" i="23" s="1"/>
  <c r="CG108" i="23" s="1"/>
  <c r="CG109" i="23" s="1"/>
  <c r="CG110" i="23" s="1"/>
  <c r="CG111" i="23" s="1"/>
  <c r="CG112" i="23" s="1"/>
  <c r="CG113" i="23" s="1"/>
  <c r="CG114" i="23" s="1"/>
  <c r="E96" i="23"/>
  <c r="G80" i="23"/>
  <c r="G81" i="23" s="1"/>
  <c r="G82" i="23" s="1"/>
  <c r="E81" i="23"/>
  <c r="CB40" i="23"/>
  <c r="CA44" i="23"/>
  <c r="BV102" i="23"/>
  <c r="B107" i="23" s="1"/>
  <c r="BV81" i="23"/>
  <c r="B86" i="23" s="1"/>
  <c r="E102" i="23"/>
  <c r="G101" i="23"/>
  <c r="G102" i="23" s="1"/>
  <c r="G103" i="23" s="1"/>
  <c r="CA128" i="23"/>
  <c r="CB124" i="23"/>
  <c r="CB82" i="23"/>
  <c r="CA86" i="23"/>
  <c r="W20" i="23"/>
  <c r="U20" i="23" s="1"/>
  <c r="V20" i="23"/>
  <c r="CL10" i="23"/>
  <c r="CA65" i="23"/>
  <c r="CB61" i="23"/>
  <c r="E123" i="23"/>
  <c r="G122" i="23"/>
  <c r="G123" i="23" s="1"/>
  <c r="G124" i="23" s="1"/>
  <c r="CA23" i="23"/>
  <c r="CB19" i="23"/>
  <c r="CB145" i="23"/>
  <c r="CA149" i="23"/>
  <c r="G143" i="23"/>
  <c r="G144" i="23" s="1"/>
  <c r="G145" i="23" s="1"/>
  <c r="E144" i="23"/>
  <c r="G80" i="22"/>
  <c r="G81" i="22" s="1"/>
  <c r="G82" i="22" s="1"/>
  <c r="E81" i="22"/>
  <c r="G122" i="22"/>
  <c r="G123" i="22" s="1"/>
  <c r="G124" i="22" s="1"/>
  <c r="E123" i="22"/>
  <c r="W62" i="22"/>
  <c r="U62" i="22" s="1"/>
  <c r="V62" i="22"/>
  <c r="BV81" i="22"/>
  <c r="B86" i="22" s="1"/>
  <c r="V20" i="22"/>
  <c r="W20" i="22"/>
  <c r="U20" i="22" s="1"/>
  <c r="W146" i="22"/>
  <c r="U146" i="22" s="1"/>
  <c r="V146" i="22"/>
  <c r="W104" i="22"/>
  <c r="U104" i="22" s="1"/>
  <c r="V104" i="22"/>
  <c r="CA23" i="22"/>
  <c r="CB19" i="22"/>
  <c r="BV123" i="22"/>
  <c r="B128" i="22" s="1"/>
  <c r="CB145" i="22"/>
  <c r="CA149" i="22"/>
  <c r="CB124" i="22"/>
  <c r="CA128" i="22"/>
  <c r="CB40" i="22"/>
  <c r="CA44" i="22"/>
  <c r="CA107" i="22"/>
  <c r="CB103" i="22"/>
  <c r="BV39" i="22"/>
  <c r="B44" i="22" s="1"/>
  <c r="CL9" i="22"/>
  <c r="CA65" i="22"/>
  <c r="CB61" i="22"/>
  <c r="G38" i="22"/>
  <c r="G39" i="22" s="1"/>
  <c r="G40" i="22" s="1"/>
  <c r="E39" i="22"/>
  <c r="CA86" i="22"/>
  <c r="CB82" i="22"/>
  <c r="BM115" i="22"/>
  <c r="CG94" i="22"/>
  <c r="CG95" i="22" s="1"/>
  <c r="CG96" i="22" s="1"/>
  <c r="CG97" i="22" s="1"/>
  <c r="CG98" i="22" s="1"/>
  <c r="CG99" i="22" s="1"/>
  <c r="CG100" i="22" s="1"/>
  <c r="CG101" i="22" s="1"/>
  <c r="CG102" i="22" s="1"/>
  <c r="CG103" i="22" s="1"/>
  <c r="CG104" i="22" s="1"/>
  <c r="CG105" i="22" s="1"/>
  <c r="CG106" i="22" s="1"/>
  <c r="CG107" i="22" s="1"/>
  <c r="CG108" i="22" s="1"/>
  <c r="CG109" i="22" s="1"/>
  <c r="CG110" i="22" s="1"/>
  <c r="CG111" i="22" s="1"/>
  <c r="CG112" i="22" s="1"/>
  <c r="CG113" i="22" s="1"/>
  <c r="CG114" i="22" s="1"/>
  <c r="E96" i="22"/>
  <c r="G59" i="21"/>
  <c r="G60" i="21" s="1"/>
  <c r="G61" i="21" s="1"/>
  <c r="E60" i="21"/>
  <c r="CB82" i="21"/>
  <c r="CA86" i="21"/>
  <c r="CA107" i="21"/>
  <c r="CB103" i="21"/>
  <c r="BM136" i="21"/>
  <c r="CG115" i="21"/>
  <c r="CG116" i="21" s="1"/>
  <c r="CG117" i="21" s="1"/>
  <c r="CG118" i="21" s="1"/>
  <c r="CG119" i="21" s="1"/>
  <c r="CG120" i="21" s="1"/>
  <c r="CG121" i="21" s="1"/>
  <c r="CG122" i="21" s="1"/>
  <c r="CG123" i="21" s="1"/>
  <c r="CG124" i="21" s="1"/>
  <c r="CG125" i="21" s="1"/>
  <c r="CG126" i="21" s="1"/>
  <c r="CG127" i="21" s="1"/>
  <c r="CG128" i="21" s="1"/>
  <c r="CG129" i="21" s="1"/>
  <c r="CG130" i="21" s="1"/>
  <c r="CG131" i="21" s="1"/>
  <c r="CG132" i="21" s="1"/>
  <c r="CG133" i="21" s="1"/>
  <c r="CG134" i="21" s="1"/>
  <c r="CG135" i="21" s="1"/>
  <c r="E117" i="21"/>
  <c r="BV123" i="21"/>
  <c r="B128" i="21" s="1"/>
  <c r="BN37" i="21"/>
  <c r="A37" i="21" s="1"/>
  <c r="E123" i="21"/>
  <c r="G122" i="21"/>
  <c r="G123" i="21" s="1"/>
  <c r="G124" i="21" s="1"/>
  <c r="CA128" i="21"/>
  <c r="CB124" i="21"/>
  <c r="CA65" i="21"/>
  <c r="CB61" i="21"/>
  <c r="CA149" i="21"/>
  <c r="CB145" i="21"/>
  <c r="E18" i="21"/>
  <c r="G17" i="21"/>
  <c r="G18" i="21" s="1"/>
  <c r="G19" i="21" s="1"/>
  <c r="CL10" i="21"/>
  <c r="CA44" i="21"/>
  <c r="CB40" i="21"/>
  <c r="BN15" i="21"/>
  <c r="A15" i="21" s="1"/>
  <c r="W104" i="21"/>
  <c r="U104" i="21" s="1"/>
  <c r="V104" i="21"/>
  <c r="BV18" i="21"/>
  <c r="B23" i="21" s="1"/>
  <c r="CA23" i="21"/>
  <c r="CB19" i="21"/>
  <c r="BV60" i="21"/>
  <c r="B65" i="21" s="1"/>
  <c r="V146" i="21"/>
  <c r="W146" i="21"/>
  <c r="U146" i="21" s="1"/>
  <c r="CB145" i="20"/>
  <c r="CA149" i="20"/>
  <c r="BV102" i="20"/>
  <c r="B107" i="20" s="1"/>
  <c r="CA65" i="20"/>
  <c r="CB61" i="20"/>
  <c r="BV18" i="20"/>
  <c r="B23" i="20" s="1"/>
  <c r="G101" i="20"/>
  <c r="G102" i="20" s="1"/>
  <c r="G103" i="20" s="1"/>
  <c r="E102" i="20"/>
  <c r="CA23" i="20"/>
  <c r="CB19" i="20"/>
  <c r="G80" i="20"/>
  <c r="G81" i="20" s="1"/>
  <c r="G82" i="20" s="1"/>
  <c r="E81" i="20"/>
  <c r="CA128" i="20"/>
  <c r="CB124" i="20"/>
  <c r="CA44" i="20"/>
  <c r="CB40" i="20"/>
  <c r="W146" i="20"/>
  <c r="U146" i="20" s="1"/>
  <c r="V146" i="20"/>
  <c r="BV81" i="20"/>
  <c r="B86" i="20" s="1"/>
  <c r="E39" i="20"/>
  <c r="G38" i="20"/>
  <c r="G39" i="20" s="1"/>
  <c r="G40" i="20" s="1"/>
  <c r="BM115" i="20"/>
  <c r="CG94" i="20"/>
  <c r="CG95" i="20" s="1"/>
  <c r="CG96" i="20" s="1"/>
  <c r="CG97" i="20" s="1"/>
  <c r="CG98" i="20" s="1"/>
  <c r="CG99" i="20" s="1"/>
  <c r="CG100" i="20" s="1"/>
  <c r="CG101" i="20" s="1"/>
  <c r="CG102" i="20" s="1"/>
  <c r="CG103" i="20" s="1"/>
  <c r="CG104" i="20" s="1"/>
  <c r="CG105" i="20" s="1"/>
  <c r="CG106" i="20" s="1"/>
  <c r="CG107" i="20" s="1"/>
  <c r="CG108" i="20" s="1"/>
  <c r="CG109" i="20" s="1"/>
  <c r="CG110" i="20" s="1"/>
  <c r="CG111" i="20" s="1"/>
  <c r="CG112" i="20" s="1"/>
  <c r="CG113" i="20" s="1"/>
  <c r="CG114" i="20" s="1"/>
  <c r="E96" i="20"/>
  <c r="CB82" i="20"/>
  <c r="CA86" i="20"/>
  <c r="BV60" i="20"/>
  <c r="B65" i="20" s="1"/>
  <c r="CL11" i="20"/>
  <c r="BV39" i="20"/>
  <c r="B44" i="20" s="1"/>
  <c r="E60" i="20"/>
  <c r="G59" i="20"/>
  <c r="G60" i="20" s="1"/>
  <c r="G61" i="20" s="1"/>
  <c r="CA107" i="20"/>
  <c r="CB103" i="20"/>
  <c r="E18" i="20"/>
  <c r="G17" i="20"/>
  <c r="G18" i="20" s="1"/>
  <c r="G19" i="20" s="1"/>
  <c r="AQ155" i="14"/>
  <c r="CA145" i="14"/>
  <c r="CA149" i="14" s="1"/>
  <c r="CA82" i="14"/>
  <c r="AP78" i="14"/>
  <c r="AP57" i="14"/>
  <c r="CA61" i="14"/>
  <c r="BZ123" i="14"/>
  <c r="CA103" i="14"/>
  <c r="AP99" i="14"/>
  <c r="E124" i="14"/>
  <c r="BZ145" i="14"/>
  <c r="BV144" i="14" s="1"/>
  <c r="B149" i="14" s="1"/>
  <c r="E143" i="14"/>
  <c r="E123" i="14"/>
  <c r="Z123" i="14"/>
  <c r="Z134" i="14" s="1"/>
  <c r="AA123" i="14"/>
  <c r="AA134" i="14" s="1"/>
  <c r="Z254" i="16"/>
  <c r="Z246" i="16"/>
  <c r="Z238" i="16"/>
  <c r="Z230" i="16"/>
  <c r="Z222" i="16"/>
  <c r="Z214" i="16"/>
  <c r="Z145" i="16"/>
  <c r="Z137" i="16"/>
  <c r="Z129" i="16"/>
  <c r="Z121" i="16"/>
  <c r="Z113" i="16"/>
  <c r="W194" i="16"/>
  <c r="W195" i="16" s="1"/>
  <c r="W196" i="16" s="1"/>
  <c r="W197" i="16" s="1"/>
  <c r="W198" i="16" s="1"/>
  <c r="W199" i="16" s="1"/>
  <c r="AS118" i="16"/>
  <c r="X118" i="16" s="1"/>
  <c r="E82" i="14"/>
  <c r="E81" i="14"/>
  <c r="AQ92" i="14"/>
  <c r="AA81" i="14"/>
  <c r="AA92" i="14" s="1"/>
  <c r="Z81" i="14"/>
  <c r="Z92" i="14" s="1"/>
  <c r="BN61" i="14"/>
  <c r="E102" i="14"/>
  <c r="E103" i="14"/>
  <c r="AQ113" i="14"/>
  <c r="Z102" i="14"/>
  <c r="Z113" i="14" s="1"/>
  <c r="AA102" i="14"/>
  <c r="AA113" i="14" s="1"/>
  <c r="Z106" i="16"/>
  <c r="O44" i="28" l="1"/>
  <c r="AA52" i="1"/>
  <c r="AF53" i="1"/>
  <c r="S107" i="7"/>
  <c r="K7" i="32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U17" i="32"/>
  <c r="U18" i="32" s="1"/>
  <c r="T19" i="32" s="1"/>
  <c r="I21" i="36"/>
  <c r="I22" i="36" s="1"/>
  <c r="I23" i="36" s="1"/>
  <c r="K7" i="36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I21" i="33"/>
  <c r="I22" i="33" s="1"/>
  <c r="I23" i="33" s="1"/>
  <c r="K7" i="33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A130" i="29"/>
  <c r="A126" i="29"/>
  <c r="A121" i="29"/>
  <c r="A134" i="29"/>
  <c r="A120" i="29"/>
  <c r="A133" i="29"/>
  <c r="A129" i="29"/>
  <c r="A125" i="29"/>
  <c r="A119" i="29"/>
  <c r="A118" i="29"/>
  <c r="A132" i="29"/>
  <c r="A128" i="29"/>
  <c r="A124" i="29"/>
  <c r="A117" i="29"/>
  <c r="A131" i="29"/>
  <c r="A127" i="29"/>
  <c r="A123" i="29"/>
  <c r="B115" i="29"/>
  <c r="A122" i="29"/>
  <c r="A115" i="29"/>
  <c r="A116" i="29"/>
  <c r="A15" i="23"/>
  <c r="BN16" i="23"/>
  <c r="A133" i="23"/>
  <c r="A129" i="23"/>
  <c r="A125" i="23"/>
  <c r="A119" i="23"/>
  <c r="A118" i="23"/>
  <c r="A132" i="23"/>
  <c r="A128" i="23"/>
  <c r="A124" i="23"/>
  <c r="A117" i="23"/>
  <c r="A116" i="23"/>
  <c r="A131" i="23"/>
  <c r="A127" i="23"/>
  <c r="A123" i="23"/>
  <c r="B115" i="23"/>
  <c r="A130" i="23"/>
  <c r="A126" i="23"/>
  <c r="A121" i="23"/>
  <c r="A134" i="23"/>
  <c r="A120" i="23"/>
  <c r="A122" i="23"/>
  <c r="A115" i="23"/>
  <c r="A15" i="27"/>
  <c r="BN16" i="27"/>
  <c r="A131" i="24"/>
  <c r="A127" i="24"/>
  <c r="A123" i="24"/>
  <c r="B115" i="24"/>
  <c r="A122" i="24"/>
  <c r="A115" i="24"/>
  <c r="A130" i="24"/>
  <c r="A126" i="24"/>
  <c r="A121" i="24"/>
  <c r="A134" i="24"/>
  <c r="A120" i="24"/>
  <c r="A133" i="24"/>
  <c r="A129" i="24"/>
  <c r="A125" i="24"/>
  <c r="A119" i="24"/>
  <c r="A132" i="24"/>
  <c r="A128" i="24"/>
  <c r="A124" i="24"/>
  <c r="A117" i="24"/>
  <c r="A116" i="24"/>
  <c r="A118" i="24"/>
  <c r="AE124" i="16"/>
  <c r="AA124" i="16" s="1"/>
  <c r="A122" i="20"/>
  <c r="A115" i="20"/>
  <c r="A130" i="20"/>
  <c r="A126" i="20"/>
  <c r="A121" i="20"/>
  <c r="A134" i="20"/>
  <c r="A120" i="20"/>
  <c r="A133" i="20"/>
  <c r="A129" i="20"/>
  <c r="A125" i="20"/>
  <c r="A119" i="20"/>
  <c r="A118" i="20"/>
  <c r="A132" i="20"/>
  <c r="A128" i="20"/>
  <c r="A124" i="20"/>
  <c r="A117" i="20"/>
  <c r="A116" i="20"/>
  <c r="A131" i="20"/>
  <c r="A123" i="20"/>
  <c r="B115" i="20"/>
  <c r="A127" i="20"/>
  <c r="A154" i="21"/>
  <c r="A150" i="21"/>
  <c r="A146" i="21"/>
  <c r="A140" i="21"/>
  <c r="A139" i="21"/>
  <c r="A153" i="21"/>
  <c r="A149" i="21"/>
  <c r="A145" i="21"/>
  <c r="A138" i="21"/>
  <c r="A137" i="21"/>
  <c r="A152" i="21"/>
  <c r="A148" i="21"/>
  <c r="A144" i="21"/>
  <c r="B136" i="21"/>
  <c r="A143" i="21"/>
  <c r="A136" i="21"/>
  <c r="A151" i="21"/>
  <c r="A147" i="21"/>
  <c r="A142" i="21"/>
  <c r="A141" i="21"/>
  <c r="A155" i="21"/>
  <c r="AE217" i="16"/>
  <c r="AA217" i="16" s="1"/>
  <c r="A130" i="27"/>
  <c r="A126" i="27"/>
  <c r="A121" i="27"/>
  <c r="A134" i="27"/>
  <c r="A120" i="27"/>
  <c r="A133" i="27"/>
  <c r="A129" i="27"/>
  <c r="A125" i="27"/>
  <c r="A119" i="27"/>
  <c r="A118" i="27"/>
  <c r="A132" i="27"/>
  <c r="A128" i="27"/>
  <c r="A124" i="27"/>
  <c r="A117" i="27"/>
  <c r="A131" i="27"/>
  <c r="A127" i="27"/>
  <c r="A123" i="27"/>
  <c r="B115" i="27"/>
  <c r="A122" i="27"/>
  <c r="A115" i="27"/>
  <c r="A116" i="27"/>
  <c r="A122" i="22"/>
  <c r="A115" i="22"/>
  <c r="A130" i="22"/>
  <c r="A126" i="22"/>
  <c r="A121" i="22"/>
  <c r="A134" i="22"/>
  <c r="A120" i="22"/>
  <c r="A133" i="22"/>
  <c r="A129" i="22"/>
  <c r="A125" i="22"/>
  <c r="A119" i="22"/>
  <c r="A118" i="22"/>
  <c r="A132" i="22"/>
  <c r="A128" i="22"/>
  <c r="A124" i="22"/>
  <c r="A117" i="22"/>
  <c r="A116" i="22"/>
  <c r="A131" i="22"/>
  <c r="A123" i="22"/>
  <c r="B115" i="22"/>
  <c r="A127" i="22"/>
  <c r="A131" i="26"/>
  <c r="A127" i="26"/>
  <c r="A123" i="26"/>
  <c r="B115" i="26"/>
  <c r="A122" i="26"/>
  <c r="A115" i="26"/>
  <c r="A130" i="26"/>
  <c r="A126" i="26"/>
  <c r="A121" i="26"/>
  <c r="A134" i="26"/>
  <c r="A120" i="26"/>
  <c r="A133" i="26"/>
  <c r="A129" i="26"/>
  <c r="A125" i="26"/>
  <c r="A119" i="26"/>
  <c r="A132" i="26"/>
  <c r="A128" i="26"/>
  <c r="A124" i="26"/>
  <c r="A117" i="26"/>
  <c r="A116" i="26"/>
  <c r="A118" i="26"/>
  <c r="A133" i="25"/>
  <c r="A129" i="25"/>
  <c r="A125" i="25"/>
  <c r="A119" i="25"/>
  <c r="A118" i="25"/>
  <c r="A132" i="25"/>
  <c r="A128" i="25"/>
  <c r="A124" i="25"/>
  <c r="A117" i="25"/>
  <c r="A116" i="25"/>
  <c r="A131" i="25"/>
  <c r="A127" i="25"/>
  <c r="A123" i="25"/>
  <c r="B115" i="25"/>
  <c r="A130" i="25"/>
  <c r="A126" i="25"/>
  <c r="A121" i="25"/>
  <c r="A134" i="25"/>
  <c r="A120" i="25"/>
  <c r="A122" i="25"/>
  <c r="A115" i="25"/>
  <c r="A132" i="28"/>
  <c r="A128" i="28"/>
  <c r="A124" i="28"/>
  <c r="A117" i="28"/>
  <c r="A116" i="28"/>
  <c r="A131" i="28"/>
  <c r="A127" i="28"/>
  <c r="A123" i="28"/>
  <c r="B115" i="28"/>
  <c r="A122" i="28"/>
  <c r="A115" i="28"/>
  <c r="A130" i="28"/>
  <c r="A126" i="28"/>
  <c r="A121" i="28"/>
  <c r="A133" i="28"/>
  <c r="A129" i="28"/>
  <c r="A125" i="28"/>
  <c r="A119" i="28"/>
  <c r="A118" i="28"/>
  <c r="A134" i="28"/>
  <c r="A120" i="28"/>
  <c r="A15" i="22"/>
  <c r="BN16" i="22"/>
  <c r="M6" i="33"/>
  <c r="M6" i="32"/>
  <c r="A45" i="20"/>
  <c r="BN46" i="20"/>
  <c r="BN39" i="22"/>
  <c r="A38" i="22"/>
  <c r="M6" i="37"/>
  <c r="A15" i="20"/>
  <c r="BN16" i="20"/>
  <c r="M6" i="30"/>
  <c r="A15" i="26"/>
  <c r="BN16" i="26"/>
  <c r="M6" i="36"/>
  <c r="S66" i="28"/>
  <c r="S65" i="28"/>
  <c r="K97" i="14"/>
  <c r="S87" i="14"/>
  <c r="S86" i="14"/>
  <c r="S44" i="27"/>
  <c r="S45" i="27"/>
  <c r="BV67" i="27"/>
  <c r="Q80" i="27"/>
  <c r="O64" i="27"/>
  <c r="S61" i="27"/>
  <c r="S62" i="27" s="1"/>
  <c r="Q61" i="27"/>
  <c r="Q62" i="27" s="1"/>
  <c r="S23" i="26"/>
  <c r="S24" i="26"/>
  <c r="Q59" i="26"/>
  <c r="O43" i="26"/>
  <c r="BV46" i="26"/>
  <c r="S40" i="26"/>
  <c r="S41" i="26" s="1"/>
  <c r="Q40" i="26"/>
  <c r="Q41" i="26" s="1"/>
  <c r="Q101" i="28"/>
  <c r="Q82" i="28"/>
  <c r="Q83" i="28" s="1"/>
  <c r="O85" i="28"/>
  <c r="BV88" i="28"/>
  <c r="S82" i="28"/>
  <c r="S83" i="28" s="1"/>
  <c r="Q19" i="25"/>
  <c r="Q20" i="25" s="1"/>
  <c r="S19" i="25"/>
  <c r="S20" i="25" s="1"/>
  <c r="Q17" i="24"/>
  <c r="BV25" i="25"/>
  <c r="Q38" i="25"/>
  <c r="O22" i="25"/>
  <c r="K139" i="7"/>
  <c r="S129" i="7"/>
  <c r="S128" i="7"/>
  <c r="AS112" i="14"/>
  <c r="AS91" i="14"/>
  <c r="G143" i="14"/>
  <c r="G144" i="14" s="1"/>
  <c r="G145" i="14" s="1"/>
  <c r="E126" i="14"/>
  <c r="K138" i="7"/>
  <c r="K75" i="27"/>
  <c r="K117" i="14"/>
  <c r="K96" i="28"/>
  <c r="E100" i="22"/>
  <c r="G100" i="22" s="1"/>
  <c r="E100" i="23"/>
  <c r="G100" i="23" s="1"/>
  <c r="E100" i="20"/>
  <c r="G100" i="20" s="1"/>
  <c r="E100" i="29"/>
  <c r="G100" i="29" s="1"/>
  <c r="E121" i="21"/>
  <c r="G121" i="21" s="1"/>
  <c r="E100" i="24"/>
  <c r="G100" i="24" s="1"/>
  <c r="E100" i="25"/>
  <c r="G100" i="25" s="1"/>
  <c r="E100" i="28"/>
  <c r="G100" i="28" s="1"/>
  <c r="E100" i="27"/>
  <c r="G100" i="27" s="1"/>
  <c r="E100" i="26"/>
  <c r="G100" i="26" s="1"/>
  <c r="E41" i="26"/>
  <c r="E83" i="28"/>
  <c r="E147" i="23"/>
  <c r="E105" i="20"/>
  <c r="E84" i="25"/>
  <c r="E126" i="28"/>
  <c r="E21" i="20"/>
  <c r="E42" i="23"/>
  <c r="E63" i="24"/>
  <c r="E63" i="28"/>
  <c r="E126" i="25"/>
  <c r="E20" i="21"/>
  <c r="E21" i="27"/>
  <c r="E41" i="20"/>
  <c r="E83" i="20"/>
  <c r="E125" i="22"/>
  <c r="E125" i="28"/>
  <c r="E104" i="28"/>
  <c r="E41" i="29"/>
  <c r="E147" i="26"/>
  <c r="E84" i="22"/>
  <c r="O45" i="27"/>
  <c r="K55" i="27"/>
  <c r="O44" i="27"/>
  <c r="E125" i="25"/>
  <c r="E126" i="23"/>
  <c r="E62" i="20"/>
  <c r="E20" i="25"/>
  <c r="O65" i="28"/>
  <c r="O66" i="28"/>
  <c r="K76" i="28"/>
  <c r="E126" i="22"/>
  <c r="E84" i="23"/>
  <c r="E84" i="24"/>
  <c r="E147" i="27"/>
  <c r="E63" i="20"/>
  <c r="E20" i="26"/>
  <c r="E83" i="22"/>
  <c r="E125" i="23"/>
  <c r="E83" i="23"/>
  <c r="E62" i="24"/>
  <c r="E146" i="27"/>
  <c r="E62" i="28"/>
  <c r="E21" i="26"/>
  <c r="E126" i="21"/>
  <c r="E104" i="29"/>
  <c r="E41" i="23"/>
  <c r="E20" i="20"/>
  <c r="E104" i="20"/>
  <c r="E125" i="21"/>
  <c r="E62" i="21"/>
  <c r="E146" i="23"/>
  <c r="E146" i="25"/>
  <c r="E62" i="26"/>
  <c r="E146" i="26"/>
  <c r="E20" i="27"/>
  <c r="E42" i="22"/>
  <c r="K34" i="26"/>
  <c r="K13" i="25"/>
  <c r="O24" i="26"/>
  <c r="O23" i="26"/>
  <c r="E21" i="28"/>
  <c r="E21" i="25"/>
  <c r="E63" i="26"/>
  <c r="E41" i="22"/>
  <c r="E84" i="28"/>
  <c r="E84" i="20"/>
  <c r="E104" i="23"/>
  <c r="E83" i="24"/>
  <c r="E83" i="25"/>
  <c r="E20" i="28"/>
  <c r="E83" i="29"/>
  <c r="E105" i="29"/>
  <c r="E42" i="20"/>
  <c r="E42" i="26"/>
  <c r="E105" i="23"/>
  <c r="E84" i="29"/>
  <c r="E21" i="21"/>
  <c r="E105" i="28"/>
  <c r="E42" i="29"/>
  <c r="E147" i="25"/>
  <c r="E63" i="21"/>
  <c r="K33" i="26"/>
  <c r="K54" i="26" s="1"/>
  <c r="K12" i="25"/>
  <c r="S142" i="39"/>
  <c r="S142" i="38"/>
  <c r="S142" i="37"/>
  <c r="S142" i="36"/>
  <c r="B141" i="35"/>
  <c r="S119" i="35"/>
  <c r="S142" i="34"/>
  <c r="S142" i="33"/>
  <c r="S142" i="32"/>
  <c r="B141" i="31"/>
  <c r="S119" i="31"/>
  <c r="B141" i="30"/>
  <c r="S119" i="30"/>
  <c r="CB104" i="29"/>
  <c r="BZ102" i="29" s="1"/>
  <c r="CB20" i="29"/>
  <c r="BZ18" i="29" s="1"/>
  <c r="CL10" i="29"/>
  <c r="CB83" i="29"/>
  <c r="BZ81" i="29" s="1"/>
  <c r="W104" i="29"/>
  <c r="U104" i="29" s="1"/>
  <c r="V104" i="29"/>
  <c r="BN17" i="29"/>
  <c r="A17" i="29" s="1"/>
  <c r="CB62" i="29"/>
  <c r="BZ60" i="29" s="1"/>
  <c r="V83" i="29"/>
  <c r="W83" i="29"/>
  <c r="U83" i="29" s="1"/>
  <c r="CB146" i="29"/>
  <c r="BZ144" i="29" s="1"/>
  <c r="CB125" i="29"/>
  <c r="BZ123" i="29" s="1"/>
  <c r="CB41" i="29"/>
  <c r="BZ39" i="29" s="1"/>
  <c r="W41" i="29"/>
  <c r="U41" i="29" s="1"/>
  <c r="V41" i="29"/>
  <c r="BN43" i="29"/>
  <c r="A43" i="29" s="1"/>
  <c r="BM136" i="29"/>
  <c r="CG115" i="29"/>
  <c r="CG116" i="29" s="1"/>
  <c r="CG117" i="29" s="1"/>
  <c r="CG118" i="29" s="1"/>
  <c r="CG119" i="29" s="1"/>
  <c r="CG120" i="29" s="1"/>
  <c r="CG121" i="29" s="1"/>
  <c r="CG122" i="29" s="1"/>
  <c r="CG123" i="29" s="1"/>
  <c r="CG124" i="29" s="1"/>
  <c r="CG125" i="29" s="1"/>
  <c r="CG126" i="29" s="1"/>
  <c r="CG127" i="29" s="1"/>
  <c r="CG128" i="29" s="1"/>
  <c r="CG129" i="29" s="1"/>
  <c r="CG130" i="29" s="1"/>
  <c r="CG131" i="29" s="1"/>
  <c r="CG132" i="29" s="1"/>
  <c r="CG133" i="29" s="1"/>
  <c r="CG134" i="29" s="1"/>
  <c r="CG135" i="29" s="1"/>
  <c r="E117" i="29"/>
  <c r="BN39" i="28"/>
  <c r="A39" i="28" s="1"/>
  <c r="BM136" i="28"/>
  <c r="CG115" i="28"/>
  <c r="CG116" i="28" s="1"/>
  <c r="CG117" i="28" s="1"/>
  <c r="CG118" i="28" s="1"/>
  <c r="CG119" i="28" s="1"/>
  <c r="CG120" i="28" s="1"/>
  <c r="CG121" i="28" s="1"/>
  <c r="CG122" i="28" s="1"/>
  <c r="CG123" i="28" s="1"/>
  <c r="CG124" i="28" s="1"/>
  <c r="CG125" i="28" s="1"/>
  <c r="CG126" i="28" s="1"/>
  <c r="CG127" i="28" s="1"/>
  <c r="CG128" i="28" s="1"/>
  <c r="CG129" i="28" s="1"/>
  <c r="CG130" i="28" s="1"/>
  <c r="CG131" i="28" s="1"/>
  <c r="CG132" i="28" s="1"/>
  <c r="CG133" i="28" s="1"/>
  <c r="CG134" i="28" s="1"/>
  <c r="CG135" i="28" s="1"/>
  <c r="E117" i="28"/>
  <c r="BN18" i="28"/>
  <c r="A18" i="28" s="1"/>
  <c r="CB41" i="28"/>
  <c r="BZ39" i="28" s="1"/>
  <c r="W20" i="28"/>
  <c r="U20" i="28" s="1"/>
  <c r="V20" i="28"/>
  <c r="CB62" i="28"/>
  <c r="BZ60" i="28" s="1"/>
  <c r="W104" i="28"/>
  <c r="U104" i="28" s="1"/>
  <c r="V104" i="28"/>
  <c r="CB125" i="28"/>
  <c r="BZ123" i="28" s="1"/>
  <c r="W62" i="28"/>
  <c r="U62" i="28" s="1"/>
  <c r="V62" i="28"/>
  <c r="CB20" i="28"/>
  <c r="BZ18" i="28" s="1"/>
  <c r="CB83" i="28"/>
  <c r="BZ81" i="28" s="1"/>
  <c r="CL10" i="28"/>
  <c r="W125" i="28"/>
  <c r="U125" i="28" s="1"/>
  <c r="V125" i="28"/>
  <c r="W83" i="28"/>
  <c r="U83" i="28" s="1"/>
  <c r="V83" i="28"/>
  <c r="CB104" i="28"/>
  <c r="BZ102" i="28" s="1"/>
  <c r="CB146" i="28"/>
  <c r="BZ144" i="28" s="1"/>
  <c r="W146" i="27"/>
  <c r="U146" i="27" s="1"/>
  <c r="V146" i="27"/>
  <c r="CB41" i="27"/>
  <c r="BZ39" i="27" s="1"/>
  <c r="CB62" i="27"/>
  <c r="BZ60" i="27" s="1"/>
  <c r="CB83" i="27"/>
  <c r="BZ81" i="27" s="1"/>
  <c r="CB104" i="27"/>
  <c r="BZ102" i="27" s="1"/>
  <c r="CB20" i="27"/>
  <c r="BZ18" i="27" s="1"/>
  <c r="CL9" i="27"/>
  <c r="CG115" i="27"/>
  <c r="CG116" i="27" s="1"/>
  <c r="CG117" i="27" s="1"/>
  <c r="CG118" i="27" s="1"/>
  <c r="CG119" i="27" s="1"/>
  <c r="CG120" i="27" s="1"/>
  <c r="CG121" i="27" s="1"/>
  <c r="CG122" i="27" s="1"/>
  <c r="CG123" i="27" s="1"/>
  <c r="CG124" i="27" s="1"/>
  <c r="CG125" i="27" s="1"/>
  <c r="CG126" i="27" s="1"/>
  <c r="CG127" i="27" s="1"/>
  <c r="CG128" i="27" s="1"/>
  <c r="CG129" i="27" s="1"/>
  <c r="CG130" i="27" s="1"/>
  <c r="CG131" i="27" s="1"/>
  <c r="CG132" i="27" s="1"/>
  <c r="CG133" i="27" s="1"/>
  <c r="CG134" i="27" s="1"/>
  <c r="CG135" i="27" s="1"/>
  <c r="BM136" i="27"/>
  <c r="E117" i="27"/>
  <c r="CB146" i="27"/>
  <c r="BZ144" i="27" s="1"/>
  <c r="W20" i="27"/>
  <c r="U20" i="27" s="1"/>
  <c r="V20" i="27"/>
  <c r="CB125" i="27"/>
  <c r="BZ123" i="27" s="1"/>
  <c r="W62" i="26"/>
  <c r="U62" i="26" s="1"/>
  <c r="V62" i="26"/>
  <c r="W20" i="26"/>
  <c r="U20" i="26" s="1"/>
  <c r="V20" i="26"/>
  <c r="CB41" i="26"/>
  <c r="BZ39" i="26" s="1"/>
  <c r="CB20" i="26"/>
  <c r="BZ18" i="26" s="1"/>
  <c r="W146" i="26"/>
  <c r="U146" i="26" s="1"/>
  <c r="V146" i="26"/>
  <c r="CL10" i="26"/>
  <c r="CB146" i="26"/>
  <c r="BZ144" i="26" s="1"/>
  <c r="CB125" i="26"/>
  <c r="BZ123" i="26" s="1"/>
  <c r="CG115" i="26"/>
  <c r="CG116" i="26" s="1"/>
  <c r="CG117" i="26" s="1"/>
  <c r="CG118" i="26" s="1"/>
  <c r="CG119" i="26" s="1"/>
  <c r="CG120" i="26" s="1"/>
  <c r="CG121" i="26" s="1"/>
  <c r="CG122" i="26" s="1"/>
  <c r="CG123" i="26" s="1"/>
  <c r="CG124" i="26" s="1"/>
  <c r="CG125" i="26" s="1"/>
  <c r="CG126" i="26" s="1"/>
  <c r="CG127" i="26" s="1"/>
  <c r="CG128" i="26" s="1"/>
  <c r="CG129" i="26" s="1"/>
  <c r="CG130" i="26" s="1"/>
  <c r="CG131" i="26" s="1"/>
  <c r="CG132" i="26" s="1"/>
  <c r="CG133" i="26" s="1"/>
  <c r="CG134" i="26" s="1"/>
  <c r="CG135" i="26" s="1"/>
  <c r="BM136" i="26"/>
  <c r="E117" i="26"/>
  <c r="CB104" i="26"/>
  <c r="BZ102" i="26" s="1"/>
  <c r="CB62" i="26"/>
  <c r="BZ60" i="26" s="1"/>
  <c r="BN46" i="26"/>
  <c r="A46" i="26" s="1"/>
  <c r="CB83" i="26"/>
  <c r="BZ81" i="26" s="1"/>
  <c r="W41" i="26"/>
  <c r="U41" i="26" s="1"/>
  <c r="V41" i="26"/>
  <c r="V146" i="25"/>
  <c r="W146" i="25"/>
  <c r="U146" i="25" s="1"/>
  <c r="CL9" i="25"/>
  <c r="CB62" i="25"/>
  <c r="BZ60" i="25" s="1"/>
  <c r="BN17" i="25"/>
  <c r="A17" i="25" s="1"/>
  <c r="BN38" i="25"/>
  <c r="A38" i="25" s="1"/>
  <c r="CB41" i="25"/>
  <c r="BZ39" i="25" s="1"/>
  <c r="CB104" i="25"/>
  <c r="BZ102" i="25" s="1"/>
  <c r="W125" i="25"/>
  <c r="U125" i="25" s="1"/>
  <c r="V125" i="25"/>
  <c r="W83" i="25"/>
  <c r="U83" i="25" s="1"/>
  <c r="V83" i="25"/>
  <c r="CB20" i="25"/>
  <c r="BZ18" i="25" s="1"/>
  <c r="BM136" i="25"/>
  <c r="CG115" i="25"/>
  <c r="CG116" i="25" s="1"/>
  <c r="CG117" i="25" s="1"/>
  <c r="CG118" i="25" s="1"/>
  <c r="CG119" i="25" s="1"/>
  <c r="CG120" i="25" s="1"/>
  <c r="CG121" i="25" s="1"/>
  <c r="CG122" i="25" s="1"/>
  <c r="CG123" i="25" s="1"/>
  <c r="CG124" i="25" s="1"/>
  <c r="CG125" i="25" s="1"/>
  <c r="CG126" i="25" s="1"/>
  <c r="CG127" i="25" s="1"/>
  <c r="CG128" i="25" s="1"/>
  <c r="CG129" i="25" s="1"/>
  <c r="CG130" i="25" s="1"/>
  <c r="CG131" i="25" s="1"/>
  <c r="CG132" i="25" s="1"/>
  <c r="CG133" i="25" s="1"/>
  <c r="CG134" i="25" s="1"/>
  <c r="CG135" i="25" s="1"/>
  <c r="E117" i="25"/>
  <c r="CB83" i="25"/>
  <c r="BZ81" i="25" s="1"/>
  <c r="CB146" i="25"/>
  <c r="BZ144" i="25" s="1"/>
  <c r="W20" i="25"/>
  <c r="U20" i="25" s="1"/>
  <c r="V20" i="25"/>
  <c r="CB125" i="25"/>
  <c r="BZ123" i="25" s="1"/>
  <c r="W62" i="24"/>
  <c r="U62" i="24" s="1"/>
  <c r="V62" i="24"/>
  <c r="CB41" i="24"/>
  <c r="BZ39" i="24" s="1"/>
  <c r="CB20" i="24"/>
  <c r="BZ18" i="24" s="1"/>
  <c r="CB62" i="24"/>
  <c r="BZ60" i="24" s="1"/>
  <c r="W83" i="24"/>
  <c r="U83" i="24" s="1"/>
  <c r="V83" i="24"/>
  <c r="BN39" i="24"/>
  <c r="A39" i="24" s="1"/>
  <c r="CB83" i="24"/>
  <c r="BZ81" i="24" s="1"/>
  <c r="CB125" i="24"/>
  <c r="BZ123" i="24" s="1"/>
  <c r="BM136" i="24"/>
  <c r="CG115" i="24"/>
  <c r="CG116" i="24" s="1"/>
  <c r="CG117" i="24" s="1"/>
  <c r="CG118" i="24" s="1"/>
  <c r="CG119" i="24" s="1"/>
  <c r="CG120" i="24" s="1"/>
  <c r="CG121" i="24" s="1"/>
  <c r="CG122" i="24" s="1"/>
  <c r="CG123" i="24" s="1"/>
  <c r="CG124" i="24" s="1"/>
  <c r="CG125" i="24" s="1"/>
  <c r="CG126" i="24" s="1"/>
  <c r="CG127" i="24" s="1"/>
  <c r="CG128" i="24" s="1"/>
  <c r="CG129" i="24" s="1"/>
  <c r="CG130" i="24" s="1"/>
  <c r="CG131" i="24" s="1"/>
  <c r="CG132" i="24" s="1"/>
  <c r="CG133" i="24" s="1"/>
  <c r="CG134" i="24" s="1"/>
  <c r="CG135" i="24" s="1"/>
  <c r="E117" i="24"/>
  <c r="CB104" i="24"/>
  <c r="BZ102" i="24" s="1"/>
  <c r="CL9" i="24"/>
  <c r="CB146" i="24"/>
  <c r="BZ144" i="24" s="1"/>
  <c r="BN18" i="24"/>
  <c r="A18" i="24" s="1"/>
  <c r="V146" i="23"/>
  <c r="W146" i="23"/>
  <c r="U146" i="23" s="1"/>
  <c r="CB62" i="23"/>
  <c r="BZ60" i="23" s="1"/>
  <c r="CB83" i="23"/>
  <c r="BZ81" i="23" s="1"/>
  <c r="CB104" i="23"/>
  <c r="BZ102" i="23" s="1"/>
  <c r="CL11" i="23"/>
  <c r="CB125" i="23"/>
  <c r="BZ123" i="23" s="1"/>
  <c r="W41" i="23"/>
  <c r="U41" i="23" s="1"/>
  <c r="V41" i="23"/>
  <c r="CB146" i="23"/>
  <c r="BZ144" i="23" s="1"/>
  <c r="CB20" i="23"/>
  <c r="BZ18" i="23" s="1"/>
  <c r="CB41" i="23"/>
  <c r="BZ39" i="23" s="1"/>
  <c r="BM136" i="23"/>
  <c r="CG115" i="23"/>
  <c r="CG116" i="23" s="1"/>
  <c r="CG117" i="23" s="1"/>
  <c r="CG118" i="23" s="1"/>
  <c r="CG119" i="23" s="1"/>
  <c r="CG120" i="23" s="1"/>
  <c r="CG121" i="23" s="1"/>
  <c r="CG122" i="23" s="1"/>
  <c r="CG123" i="23" s="1"/>
  <c r="CG124" i="23" s="1"/>
  <c r="CG125" i="23" s="1"/>
  <c r="CG126" i="23" s="1"/>
  <c r="CG127" i="23" s="1"/>
  <c r="CG128" i="23" s="1"/>
  <c r="CG129" i="23" s="1"/>
  <c r="CG130" i="23" s="1"/>
  <c r="CG131" i="23" s="1"/>
  <c r="CG132" i="23" s="1"/>
  <c r="CG133" i="23" s="1"/>
  <c r="CG134" i="23" s="1"/>
  <c r="CG135" i="23" s="1"/>
  <c r="E117" i="23"/>
  <c r="W83" i="23"/>
  <c r="U83" i="23" s="1"/>
  <c r="V83" i="23"/>
  <c r="W125" i="23"/>
  <c r="U125" i="23" s="1"/>
  <c r="V125" i="23"/>
  <c r="W104" i="23"/>
  <c r="U104" i="23" s="1"/>
  <c r="V104" i="23"/>
  <c r="W41" i="22"/>
  <c r="U41" i="22" s="1"/>
  <c r="V41" i="22"/>
  <c r="CB62" i="22"/>
  <c r="BZ60" i="22" s="1"/>
  <c r="CB20" i="22"/>
  <c r="BZ18" i="22" s="1"/>
  <c r="CB104" i="22"/>
  <c r="BZ102" i="22" s="1"/>
  <c r="W125" i="22"/>
  <c r="U125" i="22" s="1"/>
  <c r="V125" i="22"/>
  <c r="BM136" i="22"/>
  <c r="CG115" i="22"/>
  <c r="CG116" i="22" s="1"/>
  <c r="CG117" i="22" s="1"/>
  <c r="CG118" i="22" s="1"/>
  <c r="CG119" i="22" s="1"/>
  <c r="CG120" i="22" s="1"/>
  <c r="CG121" i="22" s="1"/>
  <c r="CG122" i="22" s="1"/>
  <c r="CG123" i="22" s="1"/>
  <c r="CG124" i="22" s="1"/>
  <c r="CG125" i="22" s="1"/>
  <c r="CG126" i="22" s="1"/>
  <c r="CG127" i="22" s="1"/>
  <c r="CG128" i="22" s="1"/>
  <c r="CG129" i="22" s="1"/>
  <c r="CG130" i="22" s="1"/>
  <c r="CG131" i="22" s="1"/>
  <c r="CG132" i="22" s="1"/>
  <c r="CG133" i="22" s="1"/>
  <c r="CG134" i="22" s="1"/>
  <c r="CG135" i="22" s="1"/>
  <c r="E117" i="22"/>
  <c r="CB125" i="22"/>
  <c r="BZ123" i="22" s="1"/>
  <c r="W83" i="22"/>
  <c r="U83" i="22" s="1"/>
  <c r="V83" i="22"/>
  <c r="CL10" i="22"/>
  <c r="CB146" i="22"/>
  <c r="BZ144" i="22" s="1"/>
  <c r="CB41" i="22"/>
  <c r="BZ39" i="22" s="1"/>
  <c r="CB83" i="22"/>
  <c r="BZ81" i="22" s="1"/>
  <c r="CB62" i="21"/>
  <c r="BZ60" i="21" s="1"/>
  <c r="BN38" i="21"/>
  <c r="A38" i="21" s="1"/>
  <c r="W62" i="21"/>
  <c r="U62" i="21" s="1"/>
  <c r="V62" i="21"/>
  <c r="CL11" i="21"/>
  <c r="CG136" i="21"/>
  <c r="CG137" i="21" s="1"/>
  <c r="CG138" i="21" s="1"/>
  <c r="CG139" i="21" s="1"/>
  <c r="CG140" i="21" s="1"/>
  <c r="CG141" i="21" s="1"/>
  <c r="CG142" i="21" s="1"/>
  <c r="CG143" i="21" s="1"/>
  <c r="CG144" i="21" s="1"/>
  <c r="CG145" i="21" s="1"/>
  <c r="CG146" i="21" s="1"/>
  <c r="CG147" i="21" s="1"/>
  <c r="CG148" i="21" s="1"/>
  <c r="CG149" i="21" s="1"/>
  <c r="CG150" i="21" s="1"/>
  <c r="CG151" i="21" s="1"/>
  <c r="CG152" i="21" s="1"/>
  <c r="CG153" i="21" s="1"/>
  <c r="CG154" i="21" s="1"/>
  <c r="CG155" i="21" s="1"/>
  <c r="CG156" i="21" s="1"/>
  <c r="E138" i="21"/>
  <c r="BN16" i="21"/>
  <c r="A16" i="21" s="1"/>
  <c r="CB104" i="21"/>
  <c r="BZ102" i="21" s="1"/>
  <c r="CB20" i="21"/>
  <c r="BZ18" i="21" s="1"/>
  <c r="W20" i="21"/>
  <c r="U20" i="21" s="1"/>
  <c r="V20" i="21"/>
  <c r="CB125" i="21"/>
  <c r="BZ123" i="21" s="1"/>
  <c r="CB146" i="21"/>
  <c r="BZ144" i="21" s="1"/>
  <c r="V125" i="21"/>
  <c r="W125" i="21"/>
  <c r="U125" i="21" s="1"/>
  <c r="CB41" i="21"/>
  <c r="BZ39" i="21" s="1"/>
  <c r="CB83" i="21"/>
  <c r="BZ81" i="21" s="1"/>
  <c r="BM136" i="20"/>
  <c r="CG115" i="20"/>
  <c r="CG116" i="20" s="1"/>
  <c r="CG117" i="20" s="1"/>
  <c r="CG118" i="20" s="1"/>
  <c r="CG119" i="20" s="1"/>
  <c r="CG120" i="20" s="1"/>
  <c r="CG121" i="20" s="1"/>
  <c r="CG122" i="20" s="1"/>
  <c r="CG123" i="20" s="1"/>
  <c r="CG124" i="20" s="1"/>
  <c r="CG125" i="20" s="1"/>
  <c r="CG126" i="20" s="1"/>
  <c r="CG127" i="20" s="1"/>
  <c r="CG128" i="20" s="1"/>
  <c r="CG129" i="20" s="1"/>
  <c r="CG130" i="20" s="1"/>
  <c r="CG131" i="20" s="1"/>
  <c r="CG132" i="20" s="1"/>
  <c r="CG133" i="20" s="1"/>
  <c r="CG134" i="20" s="1"/>
  <c r="CG135" i="20" s="1"/>
  <c r="E117" i="20"/>
  <c r="CB41" i="20"/>
  <c r="BZ39" i="20" s="1"/>
  <c r="W62" i="20"/>
  <c r="U62" i="20" s="1"/>
  <c r="V62" i="20"/>
  <c r="CL12" i="20"/>
  <c r="W41" i="20"/>
  <c r="U41" i="20" s="1"/>
  <c r="V41" i="20"/>
  <c r="W104" i="20"/>
  <c r="U104" i="20" s="1"/>
  <c r="V104" i="20"/>
  <c r="CB62" i="20"/>
  <c r="BZ60" i="20" s="1"/>
  <c r="CB125" i="20"/>
  <c r="BZ123" i="20" s="1"/>
  <c r="V20" i="20"/>
  <c r="W20" i="20"/>
  <c r="U20" i="20" s="1"/>
  <c r="V83" i="20"/>
  <c r="W83" i="20"/>
  <c r="U83" i="20" s="1"/>
  <c r="CB20" i="20"/>
  <c r="BZ18" i="20" s="1"/>
  <c r="CB104" i="20"/>
  <c r="BZ102" i="20" s="1"/>
  <c r="CB83" i="20"/>
  <c r="BZ81" i="20" s="1"/>
  <c r="CB146" i="20"/>
  <c r="BZ144" i="20" s="1"/>
  <c r="CB145" i="14"/>
  <c r="CB146" i="14" s="1"/>
  <c r="BZ144" i="14" s="1"/>
  <c r="W200" i="16"/>
  <c r="W201" i="16" s="1"/>
  <c r="W202" i="16" s="1"/>
  <c r="W203" i="16" s="1"/>
  <c r="W204" i="16" s="1"/>
  <c r="W205" i="16" s="1"/>
  <c r="W206" i="16" s="1"/>
  <c r="W207" i="16" s="1"/>
  <c r="X199" i="16"/>
  <c r="S199" i="16" s="1"/>
  <c r="CA107" i="14"/>
  <c r="CB103" i="14"/>
  <c r="CB104" i="14" s="1"/>
  <c r="BZ102" i="14" s="1"/>
  <c r="CA65" i="14"/>
  <c r="CB61" i="14"/>
  <c r="CB62" i="14" s="1"/>
  <c r="CA86" i="14"/>
  <c r="CB82" i="14"/>
  <c r="CB83" i="14" s="1"/>
  <c r="BZ81" i="14" s="1"/>
  <c r="W125" i="14"/>
  <c r="U125" i="14" s="1"/>
  <c r="E125" i="14"/>
  <c r="V125" i="14"/>
  <c r="E84" i="14"/>
  <c r="E105" i="14"/>
  <c r="Z255" i="16"/>
  <c r="Z247" i="16"/>
  <c r="Z239" i="16"/>
  <c r="Z231" i="16"/>
  <c r="Z223" i="16"/>
  <c r="Z215" i="16"/>
  <c r="Z146" i="16"/>
  <c r="Z138" i="16"/>
  <c r="Z130" i="16"/>
  <c r="Z122" i="16"/>
  <c r="Z114" i="16"/>
  <c r="AS119" i="16"/>
  <c r="X119" i="16" s="1"/>
  <c r="E104" i="14"/>
  <c r="W104" i="14"/>
  <c r="U104" i="14" s="1"/>
  <c r="V104" i="14"/>
  <c r="BN62" i="14"/>
  <c r="E83" i="14"/>
  <c r="W83" i="14"/>
  <c r="U83" i="14" s="1"/>
  <c r="V83" i="14"/>
  <c r="E145" i="14"/>
  <c r="E144" i="14"/>
  <c r="AA53" i="1" l="1"/>
  <c r="AF54" i="1"/>
  <c r="A143" i="29"/>
  <c r="A136" i="29"/>
  <c r="A151" i="29"/>
  <c r="A147" i="29"/>
  <c r="A142" i="29"/>
  <c r="A155" i="29"/>
  <c r="A141" i="29"/>
  <c r="A154" i="29"/>
  <c r="A150" i="29"/>
  <c r="A146" i="29"/>
  <c r="A140" i="29"/>
  <c r="A139" i="29"/>
  <c r="A137" i="29"/>
  <c r="A152" i="29"/>
  <c r="A148" i="29"/>
  <c r="A144" i="29"/>
  <c r="B136" i="29"/>
  <c r="A138" i="29"/>
  <c r="A149" i="29"/>
  <c r="A153" i="29"/>
  <c r="A145" i="29"/>
  <c r="A152" i="20"/>
  <c r="A148" i="20"/>
  <c r="A144" i="20"/>
  <c r="B136" i="20"/>
  <c r="A143" i="20"/>
  <c r="A136" i="20"/>
  <c r="A151" i="20"/>
  <c r="A147" i="20"/>
  <c r="A142" i="20"/>
  <c r="A155" i="20"/>
  <c r="A141" i="20"/>
  <c r="A154" i="20"/>
  <c r="A150" i="20"/>
  <c r="A146" i="20"/>
  <c r="A140" i="20"/>
  <c r="A139" i="20"/>
  <c r="A153" i="20"/>
  <c r="A149" i="20"/>
  <c r="A145" i="20"/>
  <c r="A138" i="20"/>
  <c r="A137" i="20"/>
  <c r="A137" i="26"/>
  <c r="A152" i="26"/>
  <c r="A148" i="26"/>
  <c r="A144" i="26"/>
  <c r="B136" i="26"/>
  <c r="A143" i="26"/>
  <c r="A136" i="26"/>
  <c r="A151" i="26"/>
  <c r="A147" i="26"/>
  <c r="A142" i="26"/>
  <c r="A155" i="26"/>
  <c r="A141" i="26"/>
  <c r="A139" i="26"/>
  <c r="A153" i="26"/>
  <c r="A149" i="26"/>
  <c r="A145" i="26"/>
  <c r="A138" i="26"/>
  <c r="A154" i="26"/>
  <c r="A146" i="26"/>
  <c r="A150" i="26"/>
  <c r="A140" i="26"/>
  <c r="M8" i="38"/>
  <c r="G8" i="38"/>
  <c r="F8" i="38" s="1"/>
  <c r="C12" i="38"/>
  <c r="C10" i="38"/>
  <c r="C8" i="38"/>
  <c r="AI124" i="16"/>
  <c r="AV124" i="16" s="1"/>
  <c r="AU124" i="16" s="1"/>
  <c r="M12" i="38"/>
  <c r="C17" i="38"/>
  <c r="A137" i="24"/>
  <c r="A152" i="24"/>
  <c r="A148" i="24"/>
  <c r="A144" i="24"/>
  <c r="B136" i="24"/>
  <c r="A143" i="24"/>
  <c r="A136" i="24"/>
  <c r="A151" i="24"/>
  <c r="A147" i="24"/>
  <c r="A142" i="24"/>
  <c r="A155" i="24"/>
  <c r="A141" i="24"/>
  <c r="A139" i="24"/>
  <c r="A153" i="24"/>
  <c r="A149" i="24"/>
  <c r="A145" i="24"/>
  <c r="A138" i="24"/>
  <c r="A150" i="24"/>
  <c r="A140" i="24"/>
  <c r="A146" i="24"/>
  <c r="A154" i="24"/>
  <c r="AI116" i="16"/>
  <c r="AV116" i="16" s="1"/>
  <c r="AU116" i="16" s="1"/>
  <c r="C17" i="39"/>
  <c r="C12" i="39"/>
  <c r="AE116" i="16"/>
  <c r="AA116" i="16" s="1"/>
  <c r="A46" i="20"/>
  <c r="BN47" i="20"/>
  <c r="A16" i="27"/>
  <c r="BN17" i="27"/>
  <c r="C10" i="34"/>
  <c r="C8" i="34"/>
  <c r="C12" i="34"/>
  <c r="AL217" i="16"/>
  <c r="AY217" i="16" s="1"/>
  <c r="C17" i="34"/>
  <c r="AI217" i="16"/>
  <c r="AV217" i="16" s="1"/>
  <c r="AU217" i="16" s="1"/>
  <c r="M8" i="34"/>
  <c r="G8" i="34"/>
  <c r="F8" i="34" s="1"/>
  <c r="A155" i="25"/>
  <c r="A141" i="25"/>
  <c r="A154" i="25"/>
  <c r="A150" i="25"/>
  <c r="A146" i="25"/>
  <c r="A140" i="25"/>
  <c r="A139" i="25"/>
  <c r="A153" i="25"/>
  <c r="A149" i="25"/>
  <c r="A145" i="25"/>
  <c r="A138" i="25"/>
  <c r="A137" i="25"/>
  <c r="A143" i="25"/>
  <c r="A136" i="25"/>
  <c r="A151" i="25"/>
  <c r="A147" i="25"/>
  <c r="A142" i="25"/>
  <c r="B136" i="25"/>
  <c r="A148" i="25"/>
  <c r="A144" i="25"/>
  <c r="A152" i="25"/>
  <c r="A143" i="27"/>
  <c r="A136" i="27"/>
  <c r="A151" i="27"/>
  <c r="A147" i="27"/>
  <c r="A142" i="27"/>
  <c r="A155" i="27"/>
  <c r="A141" i="27"/>
  <c r="A154" i="27"/>
  <c r="A150" i="27"/>
  <c r="A146" i="27"/>
  <c r="A140" i="27"/>
  <c r="A139" i="27"/>
  <c r="A137" i="27"/>
  <c r="A152" i="27"/>
  <c r="A148" i="27"/>
  <c r="A144" i="27"/>
  <c r="B136" i="27"/>
  <c r="A153" i="27"/>
  <c r="A138" i="27"/>
  <c r="A145" i="27"/>
  <c r="A149" i="27"/>
  <c r="A139" i="28"/>
  <c r="A153" i="28"/>
  <c r="A149" i="28"/>
  <c r="A145" i="28"/>
  <c r="A138" i="28"/>
  <c r="A137" i="28"/>
  <c r="A152" i="28"/>
  <c r="A148" i="28"/>
  <c r="A144" i="28"/>
  <c r="B136" i="28"/>
  <c r="A143" i="28"/>
  <c r="A136" i="28"/>
  <c r="A155" i="28"/>
  <c r="A141" i="28"/>
  <c r="A154" i="28"/>
  <c r="A150" i="28"/>
  <c r="A146" i="28"/>
  <c r="A140" i="28"/>
  <c r="A151" i="28"/>
  <c r="A142" i="28"/>
  <c r="A147" i="28"/>
  <c r="AE209" i="16"/>
  <c r="AA209" i="16" s="1"/>
  <c r="C10" i="35"/>
  <c r="A152" i="22"/>
  <c r="A148" i="22"/>
  <c r="A144" i="22"/>
  <c r="B136" i="22"/>
  <c r="A143" i="22"/>
  <c r="A136" i="22"/>
  <c r="A151" i="22"/>
  <c r="A147" i="22"/>
  <c r="A142" i="22"/>
  <c r="A155" i="22"/>
  <c r="A141" i="22"/>
  <c r="A154" i="22"/>
  <c r="A150" i="22"/>
  <c r="A146" i="22"/>
  <c r="A140" i="22"/>
  <c r="A139" i="22"/>
  <c r="A153" i="22"/>
  <c r="A149" i="22"/>
  <c r="A145" i="22"/>
  <c r="A138" i="22"/>
  <c r="A137" i="22"/>
  <c r="A155" i="23"/>
  <c r="A141" i="23"/>
  <c r="A154" i="23"/>
  <c r="A150" i="23"/>
  <c r="A146" i="23"/>
  <c r="A140" i="23"/>
  <c r="A139" i="23"/>
  <c r="A153" i="23"/>
  <c r="A149" i="23"/>
  <c r="A145" i="23"/>
  <c r="A138" i="23"/>
  <c r="A137" i="23"/>
  <c r="A143" i="23"/>
  <c r="A136" i="23"/>
  <c r="A151" i="23"/>
  <c r="A147" i="23"/>
  <c r="A142" i="23"/>
  <c r="A152" i="23"/>
  <c r="A144" i="23"/>
  <c r="B136" i="23"/>
  <c r="A148" i="23"/>
  <c r="M12" i="34"/>
  <c r="BN40" i="22"/>
  <c r="A39" i="22"/>
  <c r="A16" i="26"/>
  <c r="BN17" i="26"/>
  <c r="A16" i="23"/>
  <c r="BN17" i="23"/>
  <c r="A16" i="20"/>
  <c r="BN17" i="20"/>
  <c r="A16" i="22"/>
  <c r="BN17" i="22"/>
  <c r="O64" i="26"/>
  <c r="BV67" i="26"/>
  <c r="Q80" i="26"/>
  <c r="S61" i="26"/>
  <c r="S62" i="26" s="1"/>
  <c r="Q61" i="26"/>
  <c r="Q62" i="26" s="1"/>
  <c r="S86" i="28"/>
  <c r="S87" i="28"/>
  <c r="Q59" i="25"/>
  <c r="O43" i="25"/>
  <c r="S40" i="25"/>
  <c r="S41" i="25" s="1"/>
  <c r="Q40" i="25"/>
  <c r="Q41" i="25" s="1"/>
  <c r="BV46" i="25"/>
  <c r="Q122" i="28"/>
  <c r="BV109" i="28"/>
  <c r="S103" i="28"/>
  <c r="S104" i="28" s="1"/>
  <c r="O106" i="28"/>
  <c r="Q103" i="28"/>
  <c r="Q104" i="28" s="1"/>
  <c r="S23" i="25"/>
  <c r="S24" i="25"/>
  <c r="Q38" i="24"/>
  <c r="BV25" i="24"/>
  <c r="S19" i="24"/>
  <c r="S20" i="24" s="1"/>
  <c r="Q17" i="23"/>
  <c r="O22" i="24"/>
  <c r="Q19" i="24"/>
  <c r="Q20" i="24" s="1"/>
  <c r="K118" i="14"/>
  <c r="S108" i="14"/>
  <c r="S107" i="14"/>
  <c r="S44" i="26"/>
  <c r="S45" i="26"/>
  <c r="S65" i="27"/>
  <c r="S66" i="27"/>
  <c r="O85" i="27"/>
  <c r="Q101" i="27"/>
  <c r="S82" i="27"/>
  <c r="S83" i="27" s="1"/>
  <c r="Q82" i="27"/>
  <c r="Q83" i="27" s="1"/>
  <c r="BV88" i="27"/>
  <c r="S150" i="7"/>
  <c r="S149" i="7"/>
  <c r="K117" i="28"/>
  <c r="K138" i="14"/>
  <c r="K75" i="26"/>
  <c r="K96" i="27"/>
  <c r="E121" i="25"/>
  <c r="G121" i="25" s="1"/>
  <c r="E121" i="26"/>
  <c r="G121" i="26" s="1"/>
  <c r="E121" i="20"/>
  <c r="G121" i="20" s="1"/>
  <c r="E121" i="23"/>
  <c r="G121" i="23" s="1"/>
  <c r="E121" i="24"/>
  <c r="G121" i="24" s="1"/>
  <c r="E121" i="28"/>
  <c r="G121" i="28" s="1"/>
  <c r="E142" i="21"/>
  <c r="G142" i="21" s="1"/>
  <c r="E121" i="22"/>
  <c r="G121" i="22" s="1"/>
  <c r="E121" i="29"/>
  <c r="G121" i="29" s="1"/>
  <c r="E121" i="27"/>
  <c r="G121" i="27" s="1"/>
  <c r="O86" i="28"/>
  <c r="K97" i="28"/>
  <c r="O87" i="28"/>
  <c r="O66" i="27"/>
  <c r="O65" i="27"/>
  <c r="K76" i="27"/>
  <c r="O23" i="25"/>
  <c r="K13" i="24"/>
  <c r="O24" i="25"/>
  <c r="K34" i="25"/>
  <c r="O44" i="26"/>
  <c r="K55" i="26"/>
  <c r="O45" i="26"/>
  <c r="K12" i="24"/>
  <c r="K33" i="25"/>
  <c r="K54" i="25" s="1"/>
  <c r="S142" i="35"/>
  <c r="S142" i="31"/>
  <c r="S142" i="30"/>
  <c r="CG136" i="29"/>
  <c r="CG137" i="29" s="1"/>
  <c r="CG138" i="29" s="1"/>
  <c r="CG139" i="29" s="1"/>
  <c r="CG140" i="29" s="1"/>
  <c r="CG141" i="29" s="1"/>
  <c r="CG142" i="29" s="1"/>
  <c r="CG143" i="29" s="1"/>
  <c r="CG144" i="29" s="1"/>
  <c r="CG145" i="29" s="1"/>
  <c r="CG146" i="29" s="1"/>
  <c r="CG147" i="29" s="1"/>
  <c r="CG148" i="29" s="1"/>
  <c r="CG149" i="29" s="1"/>
  <c r="CG150" i="29" s="1"/>
  <c r="CG151" i="29" s="1"/>
  <c r="CG152" i="29" s="1"/>
  <c r="CG153" i="29" s="1"/>
  <c r="CG154" i="29" s="1"/>
  <c r="CG155" i="29" s="1"/>
  <c r="CG156" i="29" s="1"/>
  <c r="E138" i="29"/>
  <c r="CL11" i="29"/>
  <c r="BN18" i="29"/>
  <c r="A18" i="29" s="1"/>
  <c r="BN44" i="29"/>
  <c r="A44" i="29" s="1"/>
  <c r="CL11" i="28"/>
  <c r="CG136" i="28"/>
  <c r="CG137" i="28" s="1"/>
  <c r="CG138" i="28" s="1"/>
  <c r="CG139" i="28" s="1"/>
  <c r="CG140" i="28" s="1"/>
  <c r="CG141" i="28" s="1"/>
  <c r="CG142" i="28" s="1"/>
  <c r="CG143" i="28" s="1"/>
  <c r="CG144" i="28" s="1"/>
  <c r="CG145" i="28" s="1"/>
  <c r="CG146" i="28" s="1"/>
  <c r="CG147" i="28" s="1"/>
  <c r="CG148" i="28" s="1"/>
  <c r="CG149" i="28" s="1"/>
  <c r="CG150" i="28" s="1"/>
  <c r="CG151" i="28" s="1"/>
  <c r="CG152" i="28" s="1"/>
  <c r="CG153" i="28" s="1"/>
  <c r="CG154" i="28" s="1"/>
  <c r="CG155" i="28" s="1"/>
  <c r="CG156" i="28" s="1"/>
  <c r="E138" i="28"/>
  <c r="BN19" i="28"/>
  <c r="A19" i="28" s="1"/>
  <c r="BN40" i="28"/>
  <c r="A40" i="28" s="1"/>
  <c r="CG136" i="27"/>
  <c r="CG137" i="27" s="1"/>
  <c r="CG138" i="27" s="1"/>
  <c r="CG139" i="27" s="1"/>
  <c r="CG140" i="27" s="1"/>
  <c r="CG141" i="27" s="1"/>
  <c r="CG142" i="27" s="1"/>
  <c r="CG143" i="27" s="1"/>
  <c r="CG144" i="27" s="1"/>
  <c r="CG145" i="27" s="1"/>
  <c r="CG146" i="27" s="1"/>
  <c r="CG147" i="27" s="1"/>
  <c r="CG148" i="27" s="1"/>
  <c r="CG149" i="27" s="1"/>
  <c r="CG150" i="27" s="1"/>
  <c r="CG151" i="27" s="1"/>
  <c r="CG152" i="27" s="1"/>
  <c r="CG153" i="27" s="1"/>
  <c r="CG154" i="27" s="1"/>
  <c r="CG155" i="27" s="1"/>
  <c r="CG156" i="27" s="1"/>
  <c r="E138" i="27"/>
  <c r="CL10" i="27"/>
  <c r="BN47" i="26"/>
  <c r="A47" i="26" s="1"/>
  <c r="CL11" i="26"/>
  <c r="CG136" i="26"/>
  <c r="CG137" i="26" s="1"/>
  <c r="CG138" i="26" s="1"/>
  <c r="CG139" i="26" s="1"/>
  <c r="CG140" i="26" s="1"/>
  <c r="CG141" i="26" s="1"/>
  <c r="CG142" i="26" s="1"/>
  <c r="CG143" i="26" s="1"/>
  <c r="CG144" i="26" s="1"/>
  <c r="CG145" i="26" s="1"/>
  <c r="CG146" i="26" s="1"/>
  <c r="CG147" i="26" s="1"/>
  <c r="CG148" i="26" s="1"/>
  <c r="CG149" i="26" s="1"/>
  <c r="CG150" i="26" s="1"/>
  <c r="CG151" i="26" s="1"/>
  <c r="CG152" i="26" s="1"/>
  <c r="CG153" i="26" s="1"/>
  <c r="CG154" i="26" s="1"/>
  <c r="CG155" i="26" s="1"/>
  <c r="CG156" i="26" s="1"/>
  <c r="E138" i="26"/>
  <c r="CG136" i="25"/>
  <c r="CG137" i="25" s="1"/>
  <c r="CG138" i="25" s="1"/>
  <c r="CG139" i="25" s="1"/>
  <c r="CG140" i="25" s="1"/>
  <c r="CG141" i="25" s="1"/>
  <c r="CG142" i="25" s="1"/>
  <c r="CG143" i="25" s="1"/>
  <c r="CG144" i="25" s="1"/>
  <c r="CG145" i="25" s="1"/>
  <c r="CG146" i="25" s="1"/>
  <c r="CG147" i="25" s="1"/>
  <c r="CG148" i="25" s="1"/>
  <c r="CG149" i="25" s="1"/>
  <c r="CG150" i="25" s="1"/>
  <c r="CG151" i="25" s="1"/>
  <c r="CG152" i="25" s="1"/>
  <c r="CG153" i="25" s="1"/>
  <c r="CG154" i="25" s="1"/>
  <c r="CG155" i="25" s="1"/>
  <c r="CG156" i="25" s="1"/>
  <c r="E138" i="25"/>
  <c r="CL10" i="25"/>
  <c r="BN39" i="25"/>
  <c r="A39" i="25" s="1"/>
  <c r="BN18" i="25"/>
  <c r="A18" i="25" s="1"/>
  <c r="CL10" i="24"/>
  <c r="BN19" i="24"/>
  <c r="A19" i="24" s="1"/>
  <c r="BN40" i="24"/>
  <c r="A40" i="24" s="1"/>
  <c r="CG136" i="24"/>
  <c r="CG137" i="24" s="1"/>
  <c r="CG138" i="24" s="1"/>
  <c r="CG139" i="24" s="1"/>
  <c r="CG140" i="24" s="1"/>
  <c r="CG141" i="24" s="1"/>
  <c r="CG142" i="24" s="1"/>
  <c r="CG143" i="24" s="1"/>
  <c r="CG144" i="24" s="1"/>
  <c r="CG145" i="24" s="1"/>
  <c r="CG146" i="24" s="1"/>
  <c r="CG147" i="24" s="1"/>
  <c r="CG148" i="24" s="1"/>
  <c r="CG149" i="24" s="1"/>
  <c r="CG150" i="24" s="1"/>
  <c r="CG151" i="24" s="1"/>
  <c r="CG152" i="24" s="1"/>
  <c r="CG153" i="24" s="1"/>
  <c r="CG154" i="24" s="1"/>
  <c r="CG155" i="24" s="1"/>
  <c r="CG156" i="24" s="1"/>
  <c r="E138" i="24"/>
  <c r="CG136" i="23"/>
  <c r="CG137" i="23" s="1"/>
  <c r="CG138" i="23" s="1"/>
  <c r="CG139" i="23" s="1"/>
  <c r="CG140" i="23" s="1"/>
  <c r="CG141" i="23" s="1"/>
  <c r="CG142" i="23" s="1"/>
  <c r="CG143" i="23" s="1"/>
  <c r="CG144" i="23" s="1"/>
  <c r="CG145" i="23" s="1"/>
  <c r="CG146" i="23" s="1"/>
  <c r="CG147" i="23" s="1"/>
  <c r="CG148" i="23" s="1"/>
  <c r="CG149" i="23" s="1"/>
  <c r="CG150" i="23" s="1"/>
  <c r="CG151" i="23" s="1"/>
  <c r="CG152" i="23" s="1"/>
  <c r="CG153" i="23" s="1"/>
  <c r="CG154" i="23" s="1"/>
  <c r="CG155" i="23" s="1"/>
  <c r="CG156" i="23" s="1"/>
  <c r="E138" i="23"/>
  <c r="CL12" i="23"/>
  <c r="CL11" i="22"/>
  <c r="CG136" i="22"/>
  <c r="CG137" i="22" s="1"/>
  <c r="CG138" i="22" s="1"/>
  <c r="CG139" i="22" s="1"/>
  <c r="CG140" i="22" s="1"/>
  <c r="CG141" i="22" s="1"/>
  <c r="CG142" i="22" s="1"/>
  <c r="CG143" i="22" s="1"/>
  <c r="CG144" i="22" s="1"/>
  <c r="CG145" i="22" s="1"/>
  <c r="CG146" i="22" s="1"/>
  <c r="CG147" i="22" s="1"/>
  <c r="CG148" i="22" s="1"/>
  <c r="CG149" i="22" s="1"/>
  <c r="CG150" i="22" s="1"/>
  <c r="CG151" i="22" s="1"/>
  <c r="CG152" i="22" s="1"/>
  <c r="CG153" i="22" s="1"/>
  <c r="CG154" i="22" s="1"/>
  <c r="CG155" i="22" s="1"/>
  <c r="CG156" i="22" s="1"/>
  <c r="E138" i="22"/>
  <c r="CL12" i="21"/>
  <c r="BN39" i="21"/>
  <c r="A39" i="21" s="1"/>
  <c r="BN17" i="21"/>
  <c r="A17" i="21" s="1"/>
  <c r="CL13" i="20"/>
  <c r="CG136" i="20"/>
  <c r="CG137" i="20" s="1"/>
  <c r="CG138" i="20" s="1"/>
  <c r="CG139" i="20" s="1"/>
  <c r="CG140" i="20" s="1"/>
  <c r="CG141" i="20" s="1"/>
  <c r="CG142" i="20" s="1"/>
  <c r="CG143" i="20" s="1"/>
  <c r="CG144" i="20" s="1"/>
  <c r="CG145" i="20" s="1"/>
  <c r="CG146" i="20" s="1"/>
  <c r="CG147" i="20" s="1"/>
  <c r="CG148" i="20" s="1"/>
  <c r="CG149" i="20" s="1"/>
  <c r="CG150" i="20" s="1"/>
  <c r="CG151" i="20" s="1"/>
  <c r="CG152" i="20" s="1"/>
  <c r="CG153" i="20" s="1"/>
  <c r="CG154" i="20" s="1"/>
  <c r="CG155" i="20" s="1"/>
  <c r="CG156" i="20" s="1"/>
  <c r="E138" i="20"/>
  <c r="E147" i="14"/>
  <c r="AS120" i="16"/>
  <c r="X120" i="16" s="1"/>
  <c r="E146" i="14"/>
  <c r="W146" i="14"/>
  <c r="U146" i="14" s="1"/>
  <c r="V146" i="14"/>
  <c r="BN63" i="14"/>
  <c r="A4" i="19"/>
  <c r="A3" i="19"/>
  <c r="A2" i="19"/>
  <c r="O22" i="14"/>
  <c r="A47" i="16"/>
  <c r="T159" i="13"/>
  <c r="T156" i="13"/>
  <c r="U149" i="13"/>
  <c r="T136" i="13"/>
  <c r="T133" i="13"/>
  <c r="U126" i="13"/>
  <c r="T113" i="13"/>
  <c r="T110" i="13"/>
  <c r="U103" i="13"/>
  <c r="T90" i="13"/>
  <c r="T87" i="13"/>
  <c r="U80" i="13"/>
  <c r="T67" i="13"/>
  <c r="T64" i="13"/>
  <c r="U57" i="13"/>
  <c r="S4" i="13"/>
  <c r="Q38" i="14"/>
  <c r="AP38" i="14"/>
  <c r="CA40" i="14" s="1"/>
  <c r="M39" i="14"/>
  <c r="M40" i="14"/>
  <c r="R40" i="14"/>
  <c r="T40" i="14"/>
  <c r="U40" i="14"/>
  <c r="M41" i="14"/>
  <c r="M42" i="14"/>
  <c r="AN42" i="14"/>
  <c r="AF42" i="14" s="1"/>
  <c r="AO42" i="14"/>
  <c r="AP42" i="14" s="1"/>
  <c r="BL42" i="14"/>
  <c r="AV42" i="14" s="1"/>
  <c r="M43" i="14"/>
  <c r="AN43" i="14"/>
  <c r="AH43" i="14" s="1"/>
  <c r="AO43" i="14"/>
  <c r="AP43" i="14" s="1"/>
  <c r="BL43" i="14"/>
  <c r="AX43" i="14" s="1"/>
  <c r="M44" i="14"/>
  <c r="AN44" i="14"/>
  <c r="AI44" i="14" s="1"/>
  <c r="AO44" i="14"/>
  <c r="AB44" i="14" s="1"/>
  <c r="BL44" i="14"/>
  <c r="AY44" i="14" s="1"/>
  <c r="M45" i="14"/>
  <c r="AN45" i="14"/>
  <c r="AI45" i="14" s="1"/>
  <c r="AO45" i="14"/>
  <c r="AB45" i="14" s="1"/>
  <c r="BL45" i="14"/>
  <c r="AY45" i="14" s="1"/>
  <c r="M46" i="14"/>
  <c r="AN46" i="14"/>
  <c r="AF46" i="14" s="1"/>
  <c r="AO46" i="14"/>
  <c r="AP46" i="14" s="1"/>
  <c r="BL46" i="14"/>
  <c r="AV46" i="14" s="1"/>
  <c r="M47" i="14"/>
  <c r="AN47" i="14"/>
  <c r="AH47" i="14" s="1"/>
  <c r="AO47" i="14"/>
  <c r="AP47" i="14" s="1"/>
  <c r="BL47" i="14"/>
  <c r="AX47" i="14" s="1"/>
  <c r="M48" i="14"/>
  <c r="AN48" i="14"/>
  <c r="AF48" i="14" s="1"/>
  <c r="AO48" i="14"/>
  <c r="AP48" i="14" s="1"/>
  <c r="BL48" i="14"/>
  <c r="AV48" i="14" s="1"/>
  <c r="BL27" i="14"/>
  <c r="BJ27" i="14" s="1"/>
  <c r="AO27" i="14"/>
  <c r="AB27" i="14" s="1"/>
  <c r="AN27" i="14"/>
  <c r="AL27" i="14" s="1"/>
  <c r="M27" i="14"/>
  <c r="BU26" i="14"/>
  <c r="BL26" i="14"/>
  <c r="BI26" i="14" s="1"/>
  <c r="AO26" i="14"/>
  <c r="AC26" i="14" s="1"/>
  <c r="AN26" i="14"/>
  <c r="AK26" i="14" s="1"/>
  <c r="M26" i="14"/>
  <c r="BV25" i="14"/>
  <c r="BL25" i="14"/>
  <c r="BE25" i="14" s="1"/>
  <c r="AO25" i="14"/>
  <c r="AP25" i="14" s="1"/>
  <c r="AN25" i="14"/>
  <c r="AG25" i="14" s="1"/>
  <c r="M25" i="14"/>
  <c r="BL24" i="14"/>
  <c r="BJ24" i="14" s="1"/>
  <c r="AO24" i="14"/>
  <c r="AC24" i="14" s="1"/>
  <c r="AN24" i="14"/>
  <c r="AL24" i="14" s="1"/>
  <c r="M24" i="14"/>
  <c r="BL23" i="14"/>
  <c r="BJ23" i="14" s="1"/>
  <c r="AO23" i="14"/>
  <c r="AC23" i="14" s="1"/>
  <c r="AN23" i="14"/>
  <c r="AL23" i="14" s="1"/>
  <c r="M23" i="14"/>
  <c r="BL22" i="14"/>
  <c r="BJ22" i="14" s="1"/>
  <c r="AO22" i="14"/>
  <c r="AC22" i="14" s="1"/>
  <c r="AN22" i="14"/>
  <c r="AL22" i="14" s="1"/>
  <c r="M22" i="14"/>
  <c r="BW21" i="14"/>
  <c r="BL21" i="14"/>
  <c r="BK21" i="14" s="1"/>
  <c r="AO21" i="14"/>
  <c r="AP21" i="14" s="1"/>
  <c r="AN21" i="14"/>
  <c r="AM21" i="14" s="1"/>
  <c r="M21" i="14"/>
  <c r="BW20" i="14"/>
  <c r="M20" i="14"/>
  <c r="C20" i="14"/>
  <c r="BW19" i="14"/>
  <c r="U19" i="14"/>
  <c r="T19" i="14"/>
  <c r="R19" i="14"/>
  <c r="M19" i="14"/>
  <c r="CB18" i="14"/>
  <c r="M18" i="14"/>
  <c r="AP17" i="14"/>
  <c r="CA19" i="14" s="1"/>
  <c r="BL153" i="7"/>
  <c r="BK153" i="7" s="1"/>
  <c r="AO153" i="7"/>
  <c r="AC153" i="7" s="1"/>
  <c r="M153" i="7"/>
  <c r="BL152" i="7"/>
  <c r="BK152" i="7" s="1"/>
  <c r="AO152" i="7"/>
  <c r="AC152" i="7" s="1"/>
  <c r="M152" i="7"/>
  <c r="BL151" i="7"/>
  <c r="BH151" i="7" s="1"/>
  <c r="AO151" i="7"/>
  <c r="AB151" i="7" s="1"/>
  <c r="M151" i="7"/>
  <c r="BL150" i="7"/>
  <c r="BK150" i="7" s="1"/>
  <c r="AO150" i="7"/>
  <c r="AC150" i="7" s="1"/>
  <c r="M150" i="7"/>
  <c r="BL149" i="7"/>
  <c r="BI149" i="7" s="1"/>
  <c r="AO149" i="7"/>
  <c r="AC149" i="7" s="1"/>
  <c r="M149" i="7"/>
  <c r="BL148" i="7"/>
  <c r="BI148" i="7" s="1"/>
  <c r="AO148" i="7"/>
  <c r="AC148" i="7" s="1"/>
  <c r="M148" i="7"/>
  <c r="BL147" i="7"/>
  <c r="BK147" i="7" s="1"/>
  <c r="AO147" i="7"/>
  <c r="AC147" i="7" s="1"/>
  <c r="M147" i="7"/>
  <c r="BL146" i="7"/>
  <c r="BH146" i="7" s="1"/>
  <c r="AO146" i="7"/>
  <c r="AB146" i="7" s="1"/>
  <c r="M146" i="7"/>
  <c r="BL145" i="7"/>
  <c r="BH145" i="7" s="1"/>
  <c r="AO145" i="7"/>
  <c r="AB145" i="7" s="1"/>
  <c r="U145" i="7"/>
  <c r="M145" i="7"/>
  <c r="BL144" i="7"/>
  <c r="AO144" i="7"/>
  <c r="M144" i="7"/>
  <c r="BP144" i="7"/>
  <c r="C146" i="7"/>
  <c r="AP143" i="7"/>
  <c r="CA145" i="7" s="1"/>
  <c r="BN137" i="7"/>
  <c r="BN138" i="7" s="1"/>
  <c r="BN139" i="7" s="1"/>
  <c r="BL132" i="7"/>
  <c r="BK132" i="7" s="1"/>
  <c r="AO132" i="7"/>
  <c r="AC132" i="7" s="1"/>
  <c r="M132" i="7"/>
  <c r="BL131" i="7"/>
  <c r="BK131" i="7" s="1"/>
  <c r="AO131" i="7"/>
  <c r="AC131" i="7" s="1"/>
  <c r="M131" i="7"/>
  <c r="BL130" i="7"/>
  <c r="BI130" i="7" s="1"/>
  <c r="AO130" i="7"/>
  <c r="AC130" i="7" s="1"/>
  <c r="M130" i="7"/>
  <c r="BL129" i="7"/>
  <c r="BG129" i="7" s="1"/>
  <c r="AO129" i="7"/>
  <c r="AP129" i="7" s="1"/>
  <c r="M129" i="7"/>
  <c r="BL128" i="7"/>
  <c r="BG128" i="7" s="1"/>
  <c r="AO128" i="7"/>
  <c r="AP128" i="7" s="1"/>
  <c r="M128" i="7"/>
  <c r="BL127" i="7"/>
  <c r="BG127" i="7" s="1"/>
  <c r="AO127" i="7"/>
  <c r="AP127" i="7" s="1"/>
  <c r="M127" i="7"/>
  <c r="BL126" i="7"/>
  <c r="BK126" i="7" s="1"/>
  <c r="AO126" i="7"/>
  <c r="AC126" i="7" s="1"/>
  <c r="M126" i="7"/>
  <c r="BL125" i="7"/>
  <c r="BI125" i="7" s="1"/>
  <c r="AO125" i="7"/>
  <c r="AC125" i="7" s="1"/>
  <c r="M125" i="7"/>
  <c r="BL124" i="7"/>
  <c r="BH124" i="7" s="1"/>
  <c r="AO124" i="7"/>
  <c r="AB124" i="7" s="1"/>
  <c r="U124" i="7"/>
  <c r="M124" i="7"/>
  <c r="BL123" i="7"/>
  <c r="AO123" i="7"/>
  <c r="M123" i="7"/>
  <c r="BP123" i="7"/>
  <c r="C125" i="7"/>
  <c r="AP122" i="7"/>
  <c r="CA124" i="7" s="1"/>
  <c r="BN116" i="7"/>
  <c r="BL111" i="7"/>
  <c r="BK111" i="7" s="1"/>
  <c r="AO111" i="7"/>
  <c r="AB111" i="7" s="1"/>
  <c r="M111" i="7"/>
  <c r="BL110" i="7"/>
  <c r="BK110" i="7" s="1"/>
  <c r="AO110" i="7"/>
  <c r="AC110" i="7" s="1"/>
  <c r="M110" i="7"/>
  <c r="BL109" i="7"/>
  <c r="BI109" i="7" s="1"/>
  <c r="AO109" i="7"/>
  <c r="AP109" i="7" s="1"/>
  <c r="M109" i="7"/>
  <c r="BL108" i="7"/>
  <c r="BJ108" i="7" s="1"/>
  <c r="AO108" i="7"/>
  <c r="AC108" i="7" s="1"/>
  <c r="M108" i="7"/>
  <c r="BL107" i="7"/>
  <c r="BJ107" i="7" s="1"/>
  <c r="AO107" i="7"/>
  <c r="AC107" i="7" s="1"/>
  <c r="M107" i="7"/>
  <c r="BL106" i="7"/>
  <c r="BJ106" i="7" s="1"/>
  <c r="AO106" i="7"/>
  <c r="AC106" i="7" s="1"/>
  <c r="M106" i="7"/>
  <c r="BL105" i="7"/>
  <c r="BK105" i="7" s="1"/>
  <c r="AO105" i="7"/>
  <c r="AC105" i="7" s="1"/>
  <c r="M105" i="7"/>
  <c r="BL104" i="7"/>
  <c r="BH104" i="7" s="1"/>
  <c r="AO104" i="7"/>
  <c r="AP104" i="7" s="1"/>
  <c r="M104" i="7"/>
  <c r="C104" i="7"/>
  <c r="BL103" i="7"/>
  <c r="BE103" i="7" s="1"/>
  <c r="AO103" i="7"/>
  <c r="AC103" i="7" s="1"/>
  <c r="U103" i="7"/>
  <c r="M103" i="7"/>
  <c r="BL102" i="7"/>
  <c r="AO102" i="7"/>
  <c r="M102" i="7"/>
  <c r="BP102" i="7"/>
  <c r="O108" i="7"/>
  <c r="T103" i="7"/>
  <c r="BN95" i="7"/>
  <c r="BL90" i="7"/>
  <c r="BK90" i="7" s="1"/>
  <c r="AO90" i="7"/>
  <c r="AP90" i="7" s="1"/>
  <c r="M90" i="7"/>
  <c r="BL89" i="7"/>
  <c r="BK89" i="7" s="1"/>
  <c r="AO89" i="7"/>
  <c r="AC89" i="7" s="1"/>
  <c r="M89" i="7"/>
  <c r="BL88" i="7"/>
  <c r="BI88" i="7" s="1"/>
  <c r="AO88" i="7"/>
  <c r="AB88" i="7" s="1"/>
  <c r="M88" i="7"/>
  <c r="BL87" i="7"/>
  <c r="BK87" i="7" s="1"/>
  <c r="AO87" i="7"/>
  <c r="AC87" i="7" s="1"/>
  <c r="M87" i="7"/>
  <c r="BL86" i="7"/>
  <c r="BG86" i="7" s="1"/>
  <c r="AO86" i="7"/>
  <c r="AC86" i="7" s="1"/>
  <c r="M86" i="7"/>
  <c r="BL85" i="7"/>
  <c r="BG85" i="7" s="1"/>
  <c r="AO85" i="7"/>
  <c r="AC85" i="7" s="1"/>
  <c r="M85" i="7"/>
  <c r="BL84" i="7"/>
  <c r="BK84" i="7" s="1"/>
  <c r="AO84" i="7"/>
  <c r="AC84" i="7" s="1"/>
  <c r="M84" i="7"/>
  <c r="BL83" i="7"/>
  <c r="BD83" i="7" s="1"/>
  <c r="AO83" i="7"/>
  <c r="AC83" i="7" s="1"/>
  <c r="M83" i="7"/>
  <c r="BL82" i="7"/>
  <c r="BH82" i="7" s="1"/>
  <c r="AO82" i="7"/>
  <c r="AB82" i="7" s="1"/>
  <c r="U82" i="7"/>
  <c r="M82" i="7"/>
  <c r="BL81" i="7"/>
  <c r="AO81" i="7"/>
  <c r="M81" i="7"/>
  <c r="BP81" i="7"/>
  <c r="C83" i="7"/>
  <c r="AP80" i="7"/>
  <c r="CA82" i="7" s="1"/>
  <c r="BN74" i="7"/>
  <c r="M69" i="7"/>
  <c r="M68" i="7"/>
  <c r="M67" i="7"/>
  <c r="M66" i="7"/>
  <c r="M65" i="7"/>
  <c r="M64" i="7"/>
  <c r="M63" i="7"/>
  <c r="M62" i="7"/>
  <c r="U61" i="7"/>
  <c r="R61" i="7"/>
  <c r="M61" i="7"/>
  <c r="M60" i="7"/>
  <c r="BP60" i="7"/>
  <c r="C62" i="7"/>
  <c r="AP59" i="7"/>
  <c r="CA61" i="7" s="1"/>
  <c r="BN53" i="7"/>
  <c r="AA54" i="1" l="1"/>
  <c r="AF55" i="1"/>
  <c r="AE241" i="16"/>
  <c r="AA241" i="16" s="1"/>
  <c r="A17" i="26"/>
  <c r="AE140" i="16" s="1"/>
  <c r="AA140" i="16" s="1"/>
  <c r="BN18" i="26"/>
  <c r="M8" i="35"/>
  <c r="G8" i="35"/>
  <c r="F8" i="35" s="1"/>
  <c r="AI209" i="16"/>
  <c r="AV209" i="16" s="1"/>
  <c r="AU209" i="16" s="1"/>
  <c r="C17" i="35"/>
  <c r="C10" i="39"/>
  <c r="A17" i="23"/>
  <c r="AE225" i="16" s="1"/>
  <c r="AA225" i="16" s="1"/>
  <c r="BN18" i="23"/>
  <c r="C12" i="35"/>
  <c r="A47" i="20"/>
  <c r="BN48" i="20"/>
  <c r="M8" i="39"/>
  <c r="AL124" i="16"/>
  <c r="AY124" i="16" s="1"/>
  <c r="A17" i="22"/>
  <c r="BN18" i="22"/>
  <c r="A17" i="20"/>
  <c r="BN18" i="20"/>
  <c r="AE233" i="16"/>
  <c r="AA233" i="16" s="1"/>
  <c r="BN41" i="22"/>
  <c r="A40" i="22"/>
  <c r="A93" i="16"/>
  <c r="A202" i="16"/>
  <c r="AE249" i="16"/>
  <c r="AA249" i="16" s="1"/>
  <c r="A17" i="27"/>
  <c r="AE132" i="16" s="1"/>
  <c r="AA132" i="16" s="1"/>
  <c r="BN18" i="27"/>
  <c r="G8" i="39"/>
  <c r="F8" i="39" s="1"/>
  <c r="AO117" i="7"/>
  <c r="AO116" i="7"/>
  <c r="AO75" i="7"/>
  <c r="AO74" i="7"/>
  <c r="AO138" i="7"/>
  <c r="AO137" i="7"/>
  <c r="AO95" i="7"/>
  <c r="AO96" i="7"/>
  <c r="BV67" i="25"/>
  <c r="Q80" i="25"/>
  <c r="S61" i="25"/>
  <c r="S62" i="25" s="1"/>
  <c r="O64" i="25"/>
  <c r="Q61" i="25"/>
  <c r="Q62" i="25" s="1"/>
  <c r="S45" i="25"/>
  <c r="S44" i="25"/>
  <c r="S107" i="28"/>
  <c r="S108" i="28"/>
  <c r="Q17" i="22"/>
  <c r="Q38" i="23"/>
  <c r="BV25" i="23"/>
  <c r="S19" i="23"/>
  <c r="S20" i="23" s="1"/>
  <c r="O22" i="23"/>
  <c r="Q19" i="23"/>
  <c r="Q20" i="23" s="1"/>
  <c r="S24" i="24"/>
  <c r="S23" i="24"/>
  <c r="BV130" i="28"/>
  <c r="O127" i="28"/>
  <c r="S124" i="28"/>
  <c r="S125" i="28" s="1"/>
  <c r="Q124" i="28"/>
  <c r="Q125" i="28" s="1"/>
  <c r="Q143" i="28"/>
  <c r="BV46" i="24"/>
  <c r="Q59" i="24"/>
  <c r="O43" i="24"/>
  <c r="S40" i="24"/>
  <c r="S41" i="24" s="1"/>
  <c r="Q40" i="24"/>
  <c r="Q41" i="24" s="1"/>
  <c r="S86" i="27"/>
  <c r="S87" i="27"/>
  <c r="O85" i="26"/>
  <c r="BV88" i="26"/>
  <c r="Q101" i="26"/>
  <c r="Q82" i="26"/>
  <c r="Q83" i="26" s="1"/>
  <c r="S82" i="26"/>
  <c r="S83" i="26" s="1"/>
  <c r="S103" i="27"/>
  <c r="S104" i="27" s="1"/>
  <c r="BV109" i="27"/>
  <c r="Q103" i="27"/>
  <c r="Q104" i="27" s="1"/>
  <c r="Q122" i="27"/>
  <c r="O106" i="27"/>
  <c r="K139" i="14"/>
  <c r="S129" i="14"/>
  <c r="S128" i="14"/>
  <c r="S66" i="26"/>
  <c r="S65" i="26"/>
  <c r="BQ146" i="7"/>
  <c r="BQ145" i="7"/>
  <c r="BQ147" i="7"/>
  <c r="BQ124" i="7"/>
  <c r="BQ126" i="7"/>
  <c r="BQ125" i="7"/>
  <c r="BQ105" i="7"/>
  <c r="BQ104" i="7"/>
  <c r="BQ103" i="7"/>
  <c r="BQ83" i="7"/>
  <c r="BQ82" i="7"/>
  <c r="BQ84" i="7"/>
  <c r="BQ63" i="7"/>
  <c r="BQ62" i="7"/>
  <c r="BQ61" i="7"/>
  <c r="BF123" i="7"/>
  <c r="BG81" i="7"/>
  <c r="BG144" i="7"/>
  <c r="BC102" i="7"/>
  <c r="K117" i="27"/>
  <c r="K96" i="26"/>
  <c r="K75" i="25"/>
  <c r="K138" i="28"/>
  <c r="AP81" i="7"/>
  <c r="AP92" i="7" s="1"/>
  <c r="DC80" i="7"/>
  <c r="CZ78" i="7" s="1"/>
  <c r="O75" i="7" s="1"/>
  <c r="AP144" i="7"/>
  <c r="AP155" i="7" s="1"/>
  <c r="DC143" i="7"/>
  <c r="CZ141" i="7" s="1"/>
  <c r="O138" i="7" s="1"/>
  <c r="AP102" i="7"/>
  <c r="AP113" i="7" s="1"/>
  <c r="DC101" i="7"/>
  <c r="CZ99" i="7" s="1"/>
  <c r="O96" i="7" s="1"/>
  <c r="AP123" i="7"/>
  <c r="AP134" i="7" s="1"/>
  <c r="DC122" i="7"/>
  <c r="CZ120" i="7" s="1"/>
  <c r="O117" i="7" s="1"/>
  <c r="E142" i="23"/>
  <c r="G142" i="23" s="1"/>
  <c r="E142" i="25"/>
  <c r="G142" i="25" s="1"/>
  <c r="E142" i="28"/>
  <c r="G142" i="28" s="1"/>
  <c r="E142" i="20"/>
  <c r="G142" i="20" s="1"/>
  <c r="E142" i="26"/>
  <c r="G142" i="26" s="1"/>
  <c r="E142" i="24"/>
  <c r="G142" i="24" s="1"/>
  <c r="E142" i="27"/>
  <c r="G142" i="27" s="1"/>
  <c r="E142" i="22"/>
  <c r="G142" i="22" s="1"/>
  <c r="E142" i="29"/>
  <c r="G142" i="29" s="1"/>
  <c r="K13" i="23"/>
  <c r="K34" i="24"/>
  <c r="O24" i="24"/>
  <c r="O23" i="24"/>
  <c r="K118" i="28"/>
  <c r="O108" i="28"/>
  <c r="O107" i="28"/>
  <c r="O65" i="26"/>
  <c r="K76" i="26"/>
  <c r="O66" i="26"/>
  <c r="O87" i="27"/>
  <c r="K97" i="27"/>
  <c r="O86" i="27"/>
  <c r="O45" i="25"/>
  <c r="O44" i="25"/>
  <c r="K55" i="25"/>
  <c r="AP44" i="14"/>
  <c r="K12" i="23"/>
  <c r="K33" i="24"/>
  <c r="K54" i="24" s="1"/>
  <c r="BN19" i="29"/>
  <c r="A19" i="29" s="1"/>
  <c r="CL12" i="29"/>
  <c r="BN45" i="29"/>
  <c r="A45" i="29" s="1"/>
  <c r="BN41" i="28"/>
  <c r="A41" i="28" s="1"/>
  <c r="CL12" i="28"/>
  <c r="BN20" i="28"/>
  <c r="A20" i="28" s="1"/>
  <c r="CL11" i="27"/>
  <c r="CL12" i="26"/>
  <c r="BN48" i="26"/>
  <c r="A48" i="26" s="1"/>
  <c r="BN19" i="25"/>
  <c r="A19" i="25" s="1"/>
  <c r="AL209" i="16" s="1"/>
  <c r="AY209" i="16" s="1"/>
  <c r="BN40" i="25"/>
  <c r="A40" i="25" s="1"/>
  <c r="CL11" i="25"/>
  <c r="BN41" i="24"/>
  <c r="A41" i="24" s="1"/>
  <c r="BN20" i="24"/>
  <c r="A20" i="24" s="1"/>
  <c r="AO217" i="16" s="1"/>
  <c r="CL11" i="24"/>
  <c r="CL13" i="23"/>
  <c r="CL12" i="22"/>
  <c r="BN18" i="21"/>
  <c r="A18" i="21" s="1"/>
  <c r="CL13" i="21"/>
  <c r="BN40" i="21"/>
  <c r="A40" i="21" s="1"/>
  <c r="CL14" i="20"/>
  <c r="S19" i="14"/>
  <c r="S20" i="14" s="1"/>
  <c r="CB40" i="14"/>
  <c r="CB41" i="14" s="1"/>
  <c r="CA44" i="14"/>
  <c r="AP101" i="7"/>
  <c r="CA103" i="7" s="1"/>
  <c r="CB61" i="7"/>
  <c r="CB62" i="7" s="1"/>
  <c r="CA65" i="7"/>
  <c r="CA149" i="7"/>
  <c r="CB145" i="7"/>
  <c r="CB146" i="7" s="1"/>
  <c r="Q19" i="14"/>
  <c r="Q20" i="14" s="1"/>
  <c r="CB124" i="7"/>
  <c r="CB125" i="7" s="1"/>
  <c r="CA128" i="7"/>
  <c r="CA86" i="7"/>
  <c r="CB82" i="7"/>
  <c r="CB83" i="7" s="1"/>
  <c r="Q59" i="14"/>
  <c r="BV46" i="14"/>
  <c r="O43" i="14"/>
  <c r="S40" i="14"/>
  <c r="S41" i="14" s="1"/>
  <c r="Q40" i="14"/>
  <c r="Q41" i="14" s="1"/>
  <c r="AS46" i="14"/>
  <c r="AR46" i="14" s="1"/>
  <c r="AQ46" i="14" s="1"/>
  <c r="Z46" i="14" s="1"/>
  <c r="AS121" i="16"/>
  <c r="X121" i="16" s="1"/>
  <c r="BN64" i="14"/>
  <c r="AB144" i="7"/>
  <c r="AB155" i="7" s="1"/>
  <c r="AW149" i="7"/>
  <c r="AC128" i="7"/>
  <c r="AY149" i="7"/>
  <c r="BB149" i="7"/>
  <c r="AB104" i="7"/>
  <c r="AW131" i="7"/>
  <c r="AY131" i="7"/>
  <c r="AB128" i="7"/>
  <c r="BJ131" i="7"/>
  <c r="BG149" i="7"/>
  <c r="AP107" i="7"/>
  <c r="AV110" i="7"/>
  <c r="AP103" i="7"/>
  <c r="AS103" i="7"/>
  <c r="AR103" i="7" s="1"/>
  <c r="AQ103" i="7" s="1"/>
  <c r="AA103" i="7" s="1"/>
  <c r="AW110" i="7"/>
  <c r="AX85" i="7"/>
  <c r="AU103" i="7"/>
  <c r="BF132" i="7"/>
  <c r="AS102" i="7"/>
  <c r="AR102" i="7" s="1"/>
  <c r="AQ102" i="7" s="1"/>
  <c r="Z102" i="7" s="1"/>
  <c r="Z113" i="7" s="1"/>
  <c r="AB103" i="7"/>
  <c r="AX103" i="7"/>
  <c r="AU148" i="7"/>
  <c r="BC148" i="7"/>
  <c r="AV126" i="7"/>
  <c r="BH149" i="7"/>
  <c r="BD150" i="7"/>
  <c r="AI25" i="14"/>
  <c r="BE46" i="14"/>
  <c r="AC81" i="7"/>
  <c r="AC92" i="7" s="1"/>
  <c r="AS149" i="7"/>
  <c r="AR149" i="7" s="1"/>
  <c r="AQ149" i="7" s="1"/>
  <c r="Z149" i="7" s="1"/>
  <c r="BE150" i="7"/>
  <c r="AK25" i="14"/>
  <c r="AB107" i="7"/>
  <c r="BE145" i="7"/>
  <c r="AT84" i="7"/>
  <c r="AB127" i="7"/>
  <c r="AV84" i="7"/>
  <c r="AS85" i="7"/>
  <c r="AR85" i="7" s="1"/>
  <c r="AQ85" i="7" s="1"/>
  <c r="Z85" i="7" s="1"/>
  <c r="AB87" i="7"/>
  <c r="BA149" i="7"/>
  <c r="BH25" i="14"/>
  <c r="BI84" i="7"/>
  <c r="AV85" i="7"/>
  <c r="AT128" i="7"/>
  <c r="AB25" i="14"/>
  <c r="BI46" i="14"/>
  <c r="AX44" i="14"/>
  <c r="AW85" i="7"/>
  <c r="AB123" i="7"/>
  <c r="AB134" i="7" s="1"/>
  <c r="AX128" i="7"/>
  <c r="AC25" i="14"/>
  <c r="AW47" i="14"/>
  <c r="BH46" i="14"/>
  <c r="BH128" i="7"/>
  <c r="AE25" i="14"/>
  <c r="BF46" i="14"/>
  <c r="BJ45" i="14"/>
  <c r="AZ102" i="7"/>
  <c r="AB108" i="7"/>
  <c r="AC111" i="7"/>
  <c r="AT126" i="7"/>
  <c r="AC127" i="7"/>
  <c r="BH144" i="7"/>
  <c r="AZ149" i="7"/>
  <c r="BB150" i="7"/>
  <c r="BG23" i="14"/>
  <c r="BK46" i="14"/>
  <c r="AT85" i="7"/>
  <c r="BB102" i="7"/>
  <c r="AP83" i="7"/>
  <c r="AB85" i="7"/>
  <c r="AU85" i="7"/>
  <c r="AP88" i="7"/>
  <c r="AB90" i="7"/>
  <c r="BE102" i="7"/>
  <c r="AB106" i="7"/>
  <c r="BH126" i="7"/>
  <c r="AS145" i="7"/>
  <c r="AR145" i="7" s="1"/>
  <c r="AQ145" i="7" s="1"/>
  <c r="Z145" i="7" s="1"/>
  <c r="AP22" i="14"/>
  <c r="BB44" i="14"/>
  <c r="AC90" i="7"/>
  <c r="AB102" i="7"/>
  <c r="AB113" i="7" s="1"/>
  <c r="BG102" i="7"/>
  <c r="AV109" i="7"/>
  <c r="AC123" i="7"/>
  <c r="AC134" i="7" s="1"/>
  <c r="BI152" i="7"/>
  <c r="BD109" i="7"/>
  <c r="AC124" i="7"/>
  <c r="AC48" i="14"/>
  <c r="BA146" i="7"/>
  <c r="BJ147" i="7"/>
  <c r="BJ149" i="7"/>
  <c r="AC82" i="7"/>
  <c r="AP85" i="7"/>
  <c r="BE85" i="7"/>
  <c r="AT102" i="7"/>
  <c r="AC144" i="7"/>
  <c r="AC155" i="7" s="1"/>
  <c r="BK149" i="7"/>
  <c r="AC151" i="7"/>
  <c r="AL45" i="14"/>
  <c r="AB83" i="7"/>
  <c r="BH85" i="7"/>
  <c r="AW102" i="7"/>
  <c r="AE44" i="14"/>
  <c r="BD87" i="7"/>
  <c r="AW87" i="7"/>
  <c r="BE87" i="7"/>
  <c r="AB109" i="7"/>
  <c r="AP132" i="7"/>
  <c r="AC145" i="7"/>
  <c r="AS147" i="7"/>
  <c r="AR147" i="7" s="1"/>
  <c r="AQ147" i="7" s="1"/>
  <c r="AA147" i="7" s="1"/>
  <c r="AP149" i="7"/>
  <c r="AP150" i="7"/>
  <c r="AB48" i="14"/>
  <c r="AG47" i="14"/>
  <c r="BC45" i="14"/>
  <c r="AG45" i="14"/>
  <c r="AX87" i="7"/>
  <c r="BF87" i="7"/>
  <c r="BF103" i="7"/>
  <c r="AC104" i="7"/>
  <c r="AC109" i="7"/>
  <c r="AP111" i="7"/>
  <c r="AP124" i="7"/>
  <c r="AT147" i="7"/>
  <c r="AT150" i="7"/>
  <c r="AP24" i="14"/>
  <c r="AC46" i="14"/>
  <c r="BB45" i="14"/>
  <c r="AE45" i="14"/>
  <c r="BE43" i="14"/>
  <c r="AC42" i="14"/>
  <c r="AY87" i="7"/>
  <c r="BG87" i="7"/>
  <c r="AC88" i="7"/>
  <c r="BF102" i="7"/>
  <c r="BH103" i="7"/>
  <c r="AP108" i="7"/>
  <c r="BB125" i="7"/>
  <c r="AP146" i="7"/>
  <c r="AV147" i="7"/>
  <c r="AT149" i="7"/>
  <c r="BC149" i="7"/>
  <c r="AV150" i="7"/>
  <c r="AD26" i="14"/>
  <c r="BB46" i="14"/>
  <c r="AB46" i="14"/>
  <c r="AU45" i="14"/>
  <c r="AM44" i="14"/>
  <c r="AW43" i="14"/>
  <c r="AB42" i="14"/>
  <c r="AV87" i="7"/>
  <c r="AP87" i="7"/>
  <c r="AZ87" i="7"/>
  <c r="BH87" i="7"/>
  <c r="AU108" i="7"/>
  <c r="AB129" i="7"/>
  <c r="AW146" i="7"/>
  <c r="AW147" i="7"/>
  <c r="AU149" i="7"/>
  <c r="BD149" i="7"/>
  <c r="AW150" i="7"/>
  <c r="AP151" i="7"/>
  <c r="AJ21" i="14"/>
  <c r="AE23" i="14"/>
  <c r="AE24" i="14"/>
  <c r="AE26" i="14"/>
  <c r="AZ46" i="14"/>
  <c r="AP45" i="14"/>
  <c r="AL44" i="14"/>
  <c r="AB81" i="7"/>
  <c r="AB92" i="7" s="1"/>
  <c r="AB86" i="7"/>
  <c r="AP86" i="7"/>
  <c r="AS87" i="7"/>
  <c r="AR87" i="7" s="1"/>
  <c r="AQ87" i="7" s="1"/>
  <c r="Z87" i="7" s="1"/>
  <c r="BA87" i="7"/>
  <c r="BI87" i="7"/>
  <c r="AP106" i="7"/>
  <c r="AX108" i="7"/>
  <c r="BA123" i="7"/>
  <c r="AC129" i="7"/>
  <c r="AB132" i="7"/>
  <c r="AC146" i="7"/>
  <c r="AY146" i="7"/>
  <c r="AX147" i="7"/>
  <c r="AV149" i="7"/>
  <c r="BE149" i="7"/>
  <c r="AY150" i="7"/>
  <c r="BK151" i="7"/>
  <c r="AF24" i="14"/>
  <c r="AF26" i="14"/>
  <c r="AW46" i="14"/>
  <c r="AG44" i="14"/>
  <c r="AT86" i="7"/>
  <c r="AT87" i="7"/>
  <c r="BB87" i="7"/>
  <c r="BJ87" i="7"/>
  <c r="AB153" i="7"/>
  <c r="AH24" i="14"/>
  <c r="AG26" i="14"/>
  <c r="AC27" i="14"/>
  <c r="AV86" i="7"/>
  <c r="AU87" i="7"/>
  <c r="BC87" i="7"/>
  <c r="AW107" i="7"/>
  <c r="AP148" i="7"/>
  <c r="AP23" i="14"/>
  <c r="AI24" i="14"/>
  <c r="AM26" i="14"/>
  <c r="BK45" i="14"/>
  <c r="AM45" i="14"/>
  <c r="BE82" i="7"/>
  <c r="BA85" i="7"/>
  <c r="BJ88" i="7"/>
  <c r="BG89" i="7"/>
  <c r="BA103" i="7"/>
  <c r="BB104" i="7"/>
  <c r="AW105" i="7"/>
  <c r="AU107" i="7"/>
  <c r="BH107" i="7"/>
  <c r="AS124" i="7"/>
  <c r="AR124" i="7" s="1"/>
  <c r="AQ124" i="7" s="1"/>
  <c r="AA124" i="7" s="1"/>
  <c r="AV127" i="7"/>
  <c r="BH127" i="7"/>
  <c r="AT129" i="7"/>
  <c r="BF151" i="7"/>
  <c r="AX152" i="7"/>
  <c r="BC23" i="14"/>
  <c r="BD24" i="14"/>
  <c r="BC25" i="14"/>
  <c r="BE44" i="14"/>
  <c r="AX127" i="7"/>
  <c r="BK82" i="7"/>
  <c r="BC85" i="7"/>
  <c r="BJ89" i="7"/>
  <c r="BA102" i="7"/>
  <c r="BC103" i="7"/>
  <c r="BI104" i="7"/>
  <c r="AV107" i="7"/>
  <c r="BK107" i="7"/>
  <c r="BA124" i="7"/>
  <c r="AW127" i="7"/>
  <c r="BK127" i="7"/>
  <c r="BC129" i="7"/>
  <c r="AT130" i="7"/>
  <c r="AT131" i="7"/>
  <c r="AX146" i="7"/>
  <c r="AX149" i="7"/>
  <c r="BF149" i="7"/>
  <c r="AU150" i="7"/>
  <c r="BC150" i="7"/>
  <c r="BI151" i="7"/>
  <c r="BE152" i="7"/>
  <c r="BF23" i="14"/>
  <c r="BF24" i="14"/>
  <c r="BD25" i="14"/>
  <c r="AT45" i="14"/>
  <c r="BC44" i="14"/>
  <c r="AZ127" i="7"/>
  <c r="AX83" i="7"/>
  <c r="BI85" i="7"/>
  <c r="BC86" i="7"/>
  <c r="AT89" i="7"/>
  <c r="AV103" i="7"/>
  <c r="BI103" i="7"/>
  <c r="AX106" i="7"/>
  <c r="AZ107" i="7"/>
  <c r="BE110" i="7"/>
  <c r="BA127" i="7"/>
  <c r="AU128" i="7"/>
  <c r="BE131" i="7"/>
  <c r="AS146" i="7"/>
  <c r="AR146" i="7" s="1"/>
  <c r="AQ146" i="7" s="1"/>
  <c r="AA146" i="7" s="1"/>
  <c r="BB146" i="7"/>
  <c r="AX150" i="7"/>
  <c r="BG150" i="7"/>
  <c r="AU151" i="7"/>
  <c r="BE45" i="14"/>
  <c r="AU44" i="14"/>
  <c r="AZ81" i="7"/>
  <c r="AU82" i="7"/>
  <c r="BJ85" i="7"/>
  <c r="AV89" i="7"/>
  <c r="BD106" i="7"/>
  <c r="BC107" i="7"/>
  <c r="BG110" i="7"/>
  <c r="AS127" i="7"/>
  <c r="AR127" i="7" s="1"/>
  <c r="AQ127" i="7" s="1"/>
  <c r="Z127" i="7" s="1"/>
  <c r="BB127" i="7"/>
  <c r="AT146" i="7"/>
  <c r="BF146" i="7"/>
  <c r="BH150" i="7"/>
  <c r="AX151" i="7"/>
  <c r="AV23" i="14"/>
  <c r="AT25" i="14"/>
  <c r="AT44" i="14"/>
  <c r="BD81" i="7"/>
  <c r="AV82" i="7"/>
  <c r="AV88" i="7"/>
  <c r="AW89" i="7"/>
  <c r="AX102" i="7"/>
  <c r="BH102" i="7"/>
  <c r="AY103" i="7"/>
  <c r="AS104" i="7"/>
  <c r="AR104" i="7" s="1"/>
  <c r="AQ104" i="7" s="1"/>
  <c r="Z104" i="7" s="1"/>
  <c r="BE107" i="7"/>
  <c r="AT127" i="7"/>
  <c r="BC127" i="7"/>
  <c r="BC128" i="7"/>
  <c r="AT145" i="7"/>
  <c r="AU146" i="7"/>
  <c r="BG146" i="7"/>
  <c r="AZ150" i="7"/>
  <c r="BI150" i="7"/>
  <c r="BA151" i="7"/>
  <c r="AS152" i="7"/>
  <c r="AR152" i="7" s="1"/>
  <c r="AQ152" i="7" s="1"/>
  <c r="AA152" i="7" s="1"/>
  <c r="AX23" i="14"/>
  <c r="AV24" i="14"/>
  <c r="AU25" i="14"/>
  <c r="BK44" i="14"/>
  <c r="AX107" i="7"/>
  <c r="BH81" i="7"/>
  <c r="BA82" i="7"/>
  <c r="BE84" i="7"/>
  <c r="AZ85" i="7"/>
  <c r="BD88" i="7"/>
  <c r="AY89" i="7"/>
  <c r="AY102" i="7"/>
  <c r="BI102" i="7"/>
  <c r="AZ103" i="7"/>
  <c r="AT104" i="7"/>
  <c r="BF107" i="7"/>
  <c r="AZ126" i="7"/>
  <c r="AU127" i="7"/>
  <c r="BF127" i="7"/>
  <c r="BD128" i="7"/>
  <c r="BD132" i="7"/>
  <c r="AX145" i="7"/>
  <c r="AV146" i="7"/>
  <c r="BK146" i="7"/>
  <c r="BD147" i="7"/>
  <c r="AS150" i="7"/>
  <c r="AR150" i="7" s="1"/>
  <c r="AQ150" i="7" s="1"/>
  <c r="AA150" i="7" s="1"/>
  <c r="BA150" i="7"/>
  <c r="BJ150" i="7"/>
  <c r="BB151" i="7"/>
  <c r="AV152" i="7"/>
  <c r="AY23" i="14"/>
  <c r="AX24" i="14"/>
  <c r="AY25" i="14"/>
  <c r="AY46" i="14"/>
  <c r="AX45" i="14"/>
  <c r="BJ44" i="14"/>
  <c r="AT83" i="7"/>
  <c r="AS82" i="7"/>
  <c r="AR82" i="7" s="1"/>
  <c r="AQ82" i="7" s="1"/>
  <c r="Z82" i="7" s="1"/>
  <c r="BI82" i="7"/>
  <c r="AV83" i="7"/>
  <c r="BB83" i="7"/>
  <c r="AW82" i="7"/>
  <c r="BI83" i="7"/>
  <c r="BJ83" i="7"/>
  <c r="BF83" i="7"/>
  <c r="BC82" i="7"/>
  <c r="BD82" i="7"/>
  <c r="BD84" i="7"/>
  <c r="BD85" i="7"/>
  <c r="AS86" i="7"/>
  <c r="AR86" i="7" s="1"/>
  <c r="AQ86" i="7" s="1"/>
  <c r="Z86" i="7" s="1"/>
  <c r="BB86" i="7"/>
  <c r="BK86" i="7"/>
  <c r="AT88" i="7"/>
  <c r="AS89" i="7"/>
  <c r="AR89" i="7" s="1"/>
  <c r="AQ89" i="7" s="1"/>
  <c r="AA89" i="7" s="1"/>
  <c r="BE89" i="7"/>
  <c r="BD103" i="7"/>
  <c r="BD104" i="7"/>
  <c r="AW106" i="7"/>
  <c r="BK106" i="7"/>
  <c r="BE108" i="7"/>
  <c r="BB109" i="7"/>
  <c r="AT123" i="7"/>
  <c r="BG123" i="7"/>
  <c r="BC124" i="7"/>
  <c r="BJ125" i="7"/>
  <c r="BD126" i="7"/>
  <c r="AZ128" i="7"/>
  <c r="BI128" i="7"/>
  <c r="AU129" i="7"/>
  <c r="BD129" i="7"/>
  <c r="AV130" i="7"/>
  <c r="BF145" i="7"/>
  <c r="BE147" i="7"/>
  <c r="AV148" i="7"/>
  <c r="BD148" i="7"/>
  <c r="BF150" i="7"/>
  <c r="AV151" i="7"/>
  <c r="BG151" i="7"/>
  <c r="AT152" i="7"/>
  <c r="BF152" i="7"/>
  <c r="AK21" i="14"/>
  <c r="AF23" i="14"/>
  <c r="AJ25" i="14"/>
  <c r="AK27" i="14"/>
  <c r="BG46" i="14"/>
  <c r="AX46" i="14"/>
  <c r="AM46" i="14"/>
  <c r="AD46" i="14"/>
  <c r="BF45" i="14"/>
  <c r="AD45" i="14"/>
  <c r="BF44" i="14"/>
  <c r="AD44" i="14"/>
  <c r="BF108" i="7"/>
  <c r="AU123" i="7"/>
  <c r="BH123" i="7"/>
  <c r="BD124" i="7"/>
  <c r="BE126" i="7"/>
  <c r="BD127" i="7"/>
  <c r="BA128" i="7"/>
  <c r="BJ128" i="7"/>
  <c r="AV129" i="7"/>
  <c r="BE129" i="7"/>
  <c r="BB130" i="7"/>
  <c r="AZ131" i="7"/>
  <c r="AV145" i="7"/>
  <c r="BI145" i="7"/>
  <c r="BI146" i="7"/>
  <c r="BF147" i="7"/>
  <c r="AW148" i="7"/>
  <c r="BE148" i="7"/>
  <c r="AH23" i="14"/>
  <c r="AL46" i="14"/>
  <c r="AS84" i="7"/>
  <c r="AR84" i="7" s="1"/>
  <c r="AQ84" i="7" s="1"/>
  <c r="AA84" i="7" s="1"/>
  <c r="BG84" i="7"/>
  <c r="BF85" i="7"/>
  <c r="AU86" i="7"/>
  <c r="BD86" i="7"/>
  <c r="BB88" i="7"/>
  <c r="BI89" i="7"/>
  <c r="BG103" i="7"/>
  <c r="BJ104" i="7"/>
  <c r="AZ106" i="7"/>
  <c r="AV108" i="7"/>
  <c r="BH108" i="7"/>
  <c r="BJ109" i="7"/>
  <c r="AY123" i="7"/>
  <c r="BI123" i="7"/>
  <c r="BI124" i="7"/>
  <c r="BG126" i="7"/>
  <c r="BE127" i="7"/>
  <c r="AS128" i="7"/>
  <c r="AR128" i="7" s="1"/>
  <c r="AQ128" i="7" s="1"/>
  <c r="AA128" i="7" s="1"/>
  <c r="BB128" i="7"/>
  <c r="BK128" i="7"/>
  <c r="AW129" i="7"/>
  <c r="BF129" i="7"/>
  <c r="BD130" i="7"/>
  <c r="BB131" i="7"/>
  <c r="AV132" i="7"/>
  <c r="AW145" i="7"/>
  <c r="BJ145" i="7"/>
  <c r="AZ146" i="7"/>
  <c r="BJ146" i="7"/>
  <c r="BI147" i="7"/>
  <c r="AX148" i="7"/>
  <c r="BF148" i="7"/>
  <c r="AY151" i="7"/>
  <c r="BJ151" i="7"/>
  <c r="AW152" i="7"/>
  <c r="BJ152" i="7"/>
  <c r="AE22" i="14"/>
  <c r="AV22" i="14"/>
  <c r="AI23" i="14"/>
  <c r="AL25" i="14"/>
  <c r="AX26" i="14"/>
  <c r="AU46" i="14"/>
  <c r="AK46" i="14"/>
  <c r="AG43" i="14"/>
  <c r="BE86" i="7"/>
  <c r="AV105" i="7"/>
  <c r="BC106" i="7"/>
  <c r="AW108" i="7"/>
  <c r="BK108" i="7"/>
  <c r="AZ123" i="7"/>
  <c r="BK124" i="7"/>
  <c r="AX129" i="7"/>
  <c r="BH129" i="7"/>
  <c r="BJ130" i="7"/>
  <c r="BD131" i="7"/>
  <c r="AY148" i="7"/>
  <c r="BG148" i="7"/>
  <c r="AF21" i="14"/>
  <c r="AF22" i="14"/>
  <c r="AM23" i="14"/>
  <c r="AD25" i="14"/>
  <c r="AM25" i="14"/>
  <c r="AS27" i="14"/>
  <c r="AR27" i="14" s="1"/>
  <c r="AQ27" i="14" s="1"/>
  <c r="AA27" i="14" s="1"/>
  <c r="BE47" i="14"/>
  <c r="BC46" i="14"/>
  <c r="AT46" i="14"/>
  <c r="AJ46" i="14"/>
  <c r="AW86" i="7"/>
  <c r="BF86" i="7"/>
  <c r="AZ129" i="7"/>
  <c r="BI129" i="7"/>
  <c r="BA145" i="7"/>
  <c r="AZ148" i="7"/>
  <c r="BH148" i="7"/>
  <c r="BA152" i="7"/>
  <c r="AG21" i="14"/>
  <c r="AH22" i="14"/>
  <c r="AI46" i="14"/>
  <c r="AW84" i="7"/>
  <c r="AX86" i="7"/>
  <c r="BH86" i="7"/>
  <c r="BA89" i="7"/>
  <c r="BK103" i="7"/>
  <c r="AV104" i="7"/>
  <c r="BD105" i="7"/>
  <c r="BE106" i="7"/>
  <c r="BD107" i="7"/>
  <c r="AZ108" i="7"/>
  <c r="AY110" i="7"/>
  <c r="BB123" i="7"/>
  <c r="AU124" i="7"/>
  <c r="AW126" i="7"/>
  <c r="BI127" i="7"/>
  <c r="AV128" i="7"/>
  <c r="BE128" i="7"/>
  <c r="BA129" i="7"/>
  <c r="BJ129" i="7"/>
  <c r="BG131" i="7"/>
  <c r="AZ144" i="7"/>
  <c r="BB145" i="7"/>
  <c r="BC146" i="7"/>
  <c r="BA147" i="7"/>
  <c r="AS148" i="7"/>
  <c r="AR148" i="7" s="1"/>
  <c r="AQ148" i="7" s="1"/>
  <c r="AA148" i="7" s="1"/>
  <c r="BA148" i="7"/>
  <c r="BJ148" i="7"/>
  <c r="AS151" i="7"/>
  <c r="AR151" i="7" s="1"/>
  <c r="AQ151" i="7" s="1"/>
  <c r="AA151" i="7" s="1"/>
  <c r="BC151" i="7"/>
  <c r="BB152" i="7"/>
  <c r="AH21" i="14"/>
  <c r="AI22" i="14"/>
  <c r="AM24" i="14"/>
  <c r="BG24" i="14"/>
  <c r="AF25" i="14"/>
  <c r="AH26" i="14"/>
  <c r="BJ46" i="14"/>
  <c r="BA46" i="14"/>
  <c r="AH46" i="14"/>
  <c r="AW45" i="14"/>
  <c r="AH45" i="14"/>
  <c r="AW44" i="14"/>
  <c r="AH44" i="14"/>
  <c r="AY84" i="7"/>
  <c r="BB85" i="7"/>
  <c r="BK85" i="7"/>
  <c r="AZ86" i="7"/>
  <c r="BI86" i="7"/>
  <c r="BB89" i="7"/>
  <c r="BD102" i="7"/>
  <c r="BA104" i="7"/>
  <c r="BE105" i="7"/>
  <c r="AU106" i="7"/>
  <c r="BF106" i="7"/>
  <c r="BC108" i="7"/>
  <c r="AT109" i="7"/>
  <c r="BD110" i="7"/>
  <c r="BC123" i="7"/>
  <c r="AV124" i="7"/>
  <c r="AT125" i="7"/>
  <c r="AY126" i="7"/>
  <c r="BJ127" i="7"/>
  <c r="AW128" i="7"/>
  <c r="BF128" i="7"/>
  <c r="AS129" i="7"/>
  <c r="AR129" i="7" s="1"/>
  <c r="AQ129" i="7" s="1"/>
  <c r="AA129" i="7" s="1"/>
  <c r="BB129" i="7"/>
  <c r="BK129" i="7"/>
  <c r="AV131" i="7"/>
  <c r="BH131" i="7"/>
  <c r="BD144" i="7"/>
  <c r="BD145" i="7"/>
  <c r="BD146" i="7"/>
  <c r="BB147" i="7"/>
  <c r="AT148" i="7"/>
  <c r="BB148" i="7"/>
  <c r="BK148" i="7"/>
  <c r="AT151" i="7"/>
  <c r="BD151" i="7"/>
  <c r="BD152" i="7"/>
  <c r="AI21" i="14"/>
  <c r="AM22" i="14"/>
  <c r="AH25" i="14"/>
  <c r="AL26" i="14"/>
  <c r="AG46" i="14"/>
  <c r="BA84" i="7"/>
  <c r="BA86" i="7"/>
  <c r="BJ86" i="7"/>
  <c r="BD89" i="7"/>
  <c r="AV106" i="7"/>
  <c r="BH106" i="7"/>
  <c r="BD108" i="7"/>
  <c r="AS123" i="7"/>
  <c r="AR123" i="7" s="1"/>
  <c r="AQ123" i="7" s="1"/>
  <c r="AA123" i="7" s="1"/>
  <c r="AA134" i="7" s="1"/>
  <c r="BD123" i="7"/>
  <c r="AE46" i="14"/>
  <c r="BA21" i="14"/>
  <c r="AX22" i="14"/>
  <c r="BD23" i="14"/>
  <c r="AU24" i="14"/>
  <c r="BK24" i="14"/>
  <c r="AV25" i="14"/>
  <c r="BF25" i="14"/>
  <c r="BB26" i="14"/>
  <c r="BA27" i="14"/>
  <c r="AZ21" i="14"/>
  <c r="BD21" i="14"/>
  <c r="AY22" i="14"/>
  <c r="AX25" i="14"/>
  <c r="BG25" i="14"/>
  <c r="BC26" i="14"/>
  <c r="BI27" i="14"/>
  <c r="AS21" i="14"/>
  <c r="AR21" i="14" s="1"/>
  <c r="AQ21" i="14" s="1"/>
  <c r="AA21" i="14" s="1"/>
  <c r="BE21" i="14"/>
  <c r="BC22" i="14"/>
  <c r="BD26" i="14"/>
  <c r="AV21" i="14"/>
  <c r="BF21" i="14"/>
  <c r="BD22" i="14"/>
  <c r="AU23" i="14"/>
  <c r="BK23" i="14"/>
  <c r="AY24" i="14"/>
  <c r="AZ25" i="14"/>
  <c r="BI25" i="14"/>
  <c r="AT26" i="14"/>
  <c r="BE26" i="14"/>
  <c r="AW21" i="14"/>
  <c r="BG21" i="14"/>
  <c r="BF22" i="14"/>
  <c r="BC24" i="14"/>
  <c r="BA25" i="14"/>
  <c r="BJ25" i="14"/>
  <c r="AU26" i="14"/>
  <c r="BF26" i="14"/>
  <c r="AX21" i="14"/>
  <c r="BH21" i="14"/>
  <c r="BG22" i="14"/>
  <c r="AS25" i="14"/>
  <c r="AR25" i="14" s="1"/>
  <c r="AQ25" i="14" s="1"/>
  <c r="BB25" i="14"/>
  <c r="BK25" i="14"/>
  <c r="AV26" i="14"/>
  <c r="BJ26" i="14"/>
  <c r="AY21" i="14"/>
  <c r="BI21" i="14"/>
  <c r="AU22" i="14"/>
  <c r="BK22" i="14"/>
  <c r="AW26" i="14"/>
  <c r="BK26" i="14"/>
  <c r="BK48" i="14"/>
  <c r="BC48" i="14"/>
  <c r="AU48" i="14"/>
  <c r="AM48" i="14"/>
  <c r="AE48" i="14"/>
  <c r="BD47" i="14"/>
  <c r="AV47" i="14"/>
  <c r="AF47" i="14"/>
  <c r="BD43" i="14"/>
  <c r="AV43" i="14"/>
  <c r="AF43" i="14"/>
  <c r="BK42" i="14"/>
  <c r="BC42" i="14"/>
  <c r="AU42" i="14"/>
  <c r="AM42" i="14"/>
  <c r="AE42" i="14"/>
  <c r="BJ48" i="14"/>
  <c r="BB48" i="14"/>
  <c r="AT48" i="14"/>
  <c r="AL48" i="14"/>
  <c r="AD48" i="14"/>
  <c r="BK47" i="14"/>
  <c r="BC47" i="14"/>
  <c r="AU47" i="14"/>
  <c r="AM47" i="14"/>
  <c r="AE47" i="14"/>
  <c r="BD45" i="14"/>
  <c r="AV45" i="14"/>
  <c r="AF45" i="14"/>
  <c r="BD44" i="14"/>
  <c r="AV44" i="14"/>
  <c r="AF44" i="14"/>
  <c r="BK43" i="14"/>
  <c r="BC43" i="14"/>
  <c r="AU43" i="14"/>
  <c r="AM43" i="14"/>
  <c r="AE43" i="14"/>
  <c r="BJ42" i="14"/>
  <c r="BB42" i="14"/>
  <c r="AT42" i="14"/>
  <c r="AL42" i="14"/>
  <c r="AD42" i="14"/>
  <c r="BI48" i="14"/>
  <c r="BA48" i="14"/>
  <c r="AS48" i="14"/>
  <c r="AR48" i="14" s="1"/>
  <c r="AQ48" i="14" s="1"/>
  <c r="AK48" i="14"/>
  <c r="BJ47" i="14"/>
  <c r="BB47" i="14"/>
  <c r="AT47" i="14"/>
  <c r="AL47" i="14"/>
  <c r="AD47" i="14"/>
  <c r="BJ43" i="14"/>
  <c r="BB43" i="14"/>
  <c r="AT43" i="14"/>
  <c r="AL43" i="14"/>
  <c r="AD43" i="14"/>
  <c r="BI42" i="14"/>
  <c r="BA42" i="14"/>
  <c r="AS42" i="14"/>
  <c r="AR42" i="14" s="1"/>
  <c r="AQ42" i="14" s="1"/>
  <c r="AK42" i="14"/>
  <c r="BH48" i="14"/>
  <c r="AZ48" i="14"/>
  <c r="AJ48" i="14"/>
  <c r="BI47" i="14"/>
  <c r="BA47" i="14"/>
  <c r="AS47" i="14"/>
  <c r="AR47" i="14" s="1"/>
  <c r="AQ47" i="14" s="1"/>
  <c r="AK47" i="14"/>
  <c r="AC47" i="14"/>
  <c r="BI43" i="14"/>
  <c r="BA43" i="14"/>
  <c r="AS43" i="14"/>
  <c r="AR43" i="14" s="1"/>
  <c r="AQ43" i="14" s="1"/>
  <c r="AK43" i="14"/>
  <c r="AC43" i="14"/>
  <c r="BH42" i="14"/>
  <c r="AZ42" i="14"/>
  <c r="AJ42" i="14"/>
  <c r="BG48" i="14"/>
  <c r="AY48" i="14"/>
  <c r="AI48" i="14"/>
  <c r="BH47" i="14"/>
  <c r="AZ47" i="14"/>
  <c r="AJ47" i="14"/>
  <c r="AB47" i="14"/>
  <c r="BI45" i="14"/>
  <c r="BA45" i="14"/>
  <c r="AS45" i="14"/>
  <c r="AR45" i="14" s="1"/>
  <c r="AQ45" i="14" s="1"/>
  <c r="AK45" i="14"/>
  <c r="AC45" i="14"/>
  <c r="BI44" i="14"/>
  <c r="BA44" i="14"/>
  <c r="AS44" i="14"/>
  <c r="AR44" i="14" s="1"/>
  <c r="AQ44" i="14" s="1"/>
  <c r="AK44" i="14"/>
  <c r="AC44" i="14"/>
  <c r="BH43" i="14"/>
  <c r="AZ43" i="14"/>
  <c r="AJ43" i="14"/>
  <c r="AB43" i="14"/>
  <c r="BG42" i="14"/>
  <c r="AY42" i="14"/>
  <c r="AI42" i="14"/>
  <c r="BF48" i="14"/>
  <c r="AX48" i="14"/>
  <c r="AH48" i="14"/>
  <c r="BG47" i="14"/>
  <c r="AY47" i="14"/>
  <c r="AI47" i="14"/>
  <c r="BD46" i="14"/>
  <c r="BH45" i="14"/>
  <c r="AZ45" i="14"/>
  <c r="AJ45" i="14"/>
  <c r="BH44" i="14"/>
  <c r="AZ44" i="14"/>
  <c r="AJ44" i="14"/>
  <c r="BG43" i="14"/>
  <c r="AY43" i="14"/>
  <c r="AI43" i="14"/>
  <c r="BF42" i="14"/>
  <c r="AX42" i="14"/>
  <c r="AH42" i="14"/>
  <c r="BE48" i="14"/>
  <c r="AW48" i="14"/>
  <c r="AG48" i="14"/>
  <c r="BF47" i="14"/>
  <c r="BG45" i="14"/>
  <c r="BG44" i="14"/>
  <c r="BF43" i="14"/>
  <c r="BE42" i="14"/>
  <c r="AW42" i="14"/>
  <c r="AG42" i="14"/>
  <c r="BD48" i="14"/>
  <c r="BD42" i="14"/>
  <c r="CA23" i="14"/>
  <c r="CB19" i="14"/>
  <c r="AG22" i="14"/>
  <c r="AW22" i="14"/>
  <c r="BE22" i="14"/>
  <c r="AG23" i="14"/>
  <c r="AW23" i="14"/>
  <c r="BE23" i="14"/>
  <c r="AG24" i="14"/>
  <c r="AW24" i="14"/>
  <c r="BE24" i="14"/>
  <c r="AE27" i="14"/>
  <c r="AM27" i="14"/>
  <c r="AU27" i="14"/>
  <c r="BC27" i="14"/>
  <c r="BK27" i="14"/>
  <c r="AV27" i="14"/>
  <c r="AC21" i="14"/>
  <c r="AP26" i="14"/>
  <c r="AG27" i="14"/>
  <c r="AW27" i="14"/>
  <c r="BE27" i="14"/>
  <c r="AB21" i="14"/>
  <c r="AD21" i="14"/>
  <c r="AL21" i="14"/>
  <c r="AT21" i="14"/>
  <c r="BB21" i="14"/>
  <c r="BJ21" i="14"/>
  <c r="AB22" i="14"/>
  <c r="AJ22" i="14"/>
  <c r="AZ22" i="14"/>
  <c r="BH22" i="14"/>
  <c r="AB23" i="14"/>
  <c r="AJ23" i="14"/>
  <c r="AZ23" i="14"/>
  <c r="BH23" i="14"/>
  <c r="AB24" i="14"/>
  <c r="AJ24" i="14"/>
  <c r="AZ24" i="14"/>
  <c r="BH24" i="14"/>
  <c r="AI26" i="14"/>
  <c r="AY26" i="14"/>
  <c r="BG26" i="14"/>
  <c r="AH27" i="14"/>
  <c r="AP27" i="14"/>
  <c r="AX27" i="14"/>
  <c r="BF27" i="14"/>
  <c r="AE21" i="14"/>
  <c r="AU21" i="14"/>
  <c r="BC21" i="14"/>
  <c r="AK22" i="14"/>
  <c r="AS22" i="14"/>
  <c r="AR22" i="14" s="1"/>
  <c r="AQ22" i="14" s="1"/>
  <c r="BA22" i="14"/>
  <c r="BI22" i="14"/>
  <c r="AK23" i="14"/>
  <c r="AS23" i="14"/>
  <c r="AR23" i="14" s="1"/>
  <c r="AQ23" i="14" s="1"/>
  <c r="BA23" i="14"/>
  <c r="BI23" i="14"/>
  <c r="AK24" i="14"/>
  <c r="AS24" i="14"/>
  <c r="AR24" i="14" s="1"/>
  <c r="AQ24" i="14" s="1"/>
  <c r="BA24" i="14"/>
  <c r="BI24" i="14"/>
  <c r="AW25" i="14"/>
  <c r="AB26" i="14"/>
  <c r="AJ26" i="14"/>
  <c r="AZ26" i="14"/>
  <c r="BH26" i="14"/>
  <c r="AI27" i="14"/>
  <c r="AY27" i="14"/>
  <c r="BG27" i="14"/>
  <c r="AF27" i="14"/>
  <c r="BD27" i="14"/>
  <c r="AD22" i="14"/>
  <c r="AT22" i="14"/>
  <c r="BB22" i="14"/>
  <c r="AD23" i="14"/>
  <c r="AT23" i="14"/>
  <c r="BB23" i="14"/>
  <c r="AD24" i="14"/>
  <c r="AT24" i="14"/>
  <c r="BB24" i="14"/>
  <c r="AS26" i="14"/>
  <c r="AR26" i="14" s="1"/>
  <c r="AQ26" i="14" s="1"/>
  <c r="BA26" i="14"/>
  <c r="AJ27" i="14"/>
  <c r="AZ27" i="14"/>
  <c r="BH27" i="14"/>
  <c r="AD27" i="14"/>
  <c r="AT27" i="14"/>
  <c r="BB27" i="14"/>
  <c r="BN140" i="7"/>
  <c r="BN141" i="7" s="1"/>
  <c r="BN142" i="7" s="1"/>
  <c r="AP141" i="7"/>
  <c r="AV153" i="7"/>
  <c r="BD153" i="7"/>
  <c r="AS144" i="7"/>
  <c r="AR144" i="7" s="1"/>
  <c r="BA144" i="7"/>
  <c r="BI144" i="7"/>
  <c r="R145" i="7"/>
  <c r="AP147" i="7"/>
  <c r="AP152" i="7"/>
  <c r="AW153" i="7"/>
  <c r="BE153" i="7"/>
  <c r="AO155" i="7"/>
  <c r="AT144" i="7"/>
  <c r="BB144" i="7"/>
  <c r="AU145" i="7"/>
  <c r="BC145" i="7"/>
  <c r="BK145" i="7"/>
  <c r="AY147" i="7"/>
  <c r="BG147" i="7"/>
  <c r="AB148" i="7"/>
  <c r="AB149" i="7"/>
  <c r="AB150" i="7"/>
  <c r="AY152" i="7"/>
  <c r="BG152" i="7"/>
  <c r="AP153" i="7"/>
  <c r="AX153" i="7"/>
  <c r="BF153" i="7"/>
  <c r="AU144" i="7"/>
  <c r="BC144" i="7"/>
  <c r="T145" i="7"/>
  <c r="BE146" i="7"/>
  <c r="AB147" i="7"/>
  <c r="AZ147" i="7"/>
  <c r="BH147" i="7"/>
  <c r="AW151" i="7"/>
  <c r="BE151" i="7"/>
  <c r="AB152" i="7"/>
  <c r="AZ152" i="7"/>
  <c r="BH152" i="7"/>
  <c r="AY153" i="7"/>
  <c r="BG153" i="7"/>
  <c r="AZ153" i="7"/>
  <c r="BH153" i="7"/>
  <c r="AW144" i="7"/>
  <c r="BE144" i="7"/>
  <c r="AP145" i="7"/>
  <c r="AS153" i="7"/>
  <c r="AR153" i="7" s="1"/>
  <c r="AQ153" i="7" s="1"/>
  <c r="BA153" i="7"/>
  <c r="BI153" i="7"/>
  <c r="AX144" i="7"/>
  <c r="BF144" i="7"/>
  <c r="AY145" i="7"/>
  <c r="BG145" i="7"/>
  <c r="AU147" i="7"/>
  <c r="BC147" i="7"/>
  <c r="O149" i="7"/>
  <c r="O150" i="7"/>
  <c r="AZ151" i="7"/>
  <c r="AU152" i="7"/>
  <c r="BC152" i="7"/>
  <c r="AT153" i="7"/>
  <c r="BB153" i="7"/>
  <c r="BJ153" i="7"/>
  <c r="AY144" i="7"/>
  <c r="AZ145" i="7"/>
  <c r="AU153" i="7"/>
  <c r="BC153" i="7"/>
  <c r="AP120" i="7"/>
  <c r="R124" i="7"/>
  <c r="AT124" i="7"/>
  <c r="BB124" i="7"/>
  <c r="BJ124" i="7"/>
  <c r="AU125" i="7"/>
  <c r="BC125" i="7"/>
  <c r="BK125" i="7"/>
  <c r="AP126" i="7"/>
  <c r="AX126" i="7"/>
  <c r="BF126" i="7"/>
  <c r="AY127" i="7"/>
  <c r="AY128" i="7"/>
  <c r="AY129" i="7"/>
  <c r="AU130" i="7"/>
  <c r="BC130" i="7"/>
  <c r="BK130" i="7"/>
  <c r="AP131" i="7"/>
  <c r="AX131" i="7"/>
  <c r="BF131" i="7"/>
  <c r="AW132" i="7"/>
  <c r="BE132" i="7"/>
  <c r="AO134" i="7"/>
  <c r="T124" i="7"/>
  <c r="AW125" i="7"/>
  <c r="BE125" i="7"/>
  <c r="AB126" i="7"/>
  <c r="AW130" i="7"/>
  <c r="BE130" i="7"/>
  <c r="AB131" i="7"/>
  <c r="AY132" i="7"/>
  <c r="BG132" i="7"/>
  <c r="AW124" i="7"/>
  <c r="BE124" i="7"/>
  <c r="AP125" i="7"/>
  <c r="AX125" i="7"/>
  <c r="BF125" i="7"/>
  <c r="AS126" i="7"/>
  <c r="AR126" i="7" s="1"/>
  <c r="AQ126" i="7" s="1"/>
  <c r="BA126" i="7"/>
  <c r="BI126" i="7"/>
  <c r="AP130" i="7"/>
  <c r="AX130" i="7"/>
  <c r="BF130" i="7"/>
  <c r="AS131" i="7"/>
  <c r="AR131" i="7" s="1"/>
  <c r="AQ131" i="7" s="1"/>
  <c r="BA131" i="7"/>
  <c r="BI131" i="7"/>
  <c r="AZ132" i="7"/>
  <c r="BH132" i="7"/>
  <c r="AV125" i="7"/>
  <c r="AX132" i="7"/>
  <c r="AW123" i="7"/>
  <c r="BE123" i="7"/>
  <c r="AX124" i="7"/>
  <c r="BF124" i="7"/>
  <c r="AY125" i="7"/>
  <c r="BG125" i="7"/>
  <c r="BB126" i="7"/>
  <c r="BJ126" i="7"/>
  <c r="AY130" i="7"/>
  <c r="BG130" i="7"/>
  <c r="AS132" i="7"/>
  <c r="AR132" i="7" s="1"/>
  <c r="AQ132" i="7" s="1"/>
  <c r="BA132" i="7"/>
  <c r="BI132" i="7"/>
  <c r="BN117" i="7"/>
  <c r="AX123" i="7"/>
  <c r="AY124" i="7"/>
  <c r="BG124" i="7"/>
  <c r="AB125" i="7"/>
  <c r="AZ125" i="7"/>
  <c r="BH125" i="7"/>
  <c r="AU126" i="7"/>
  <c r="BC126" i="7"/>
  <c r="O128" i="7"/>
  <c r="O129" i="7"/>
  <c r="AB130" i="7"/>
  <c r="AZ130" i="7"/>
  <c r="BH130" i="7"/>
  <c r="AU131" i="7"/>
  <c r="BC131" i="7"/>
  <c r="AT132" i="7"/>
  <c r="BB132" i="7"/>
  <c r="BJ132" i="7"/>
  <c r="BD125" i="7"/>
  <c r="AZ124" i="7"/>
  <c r="AS125" i="7"/>
  <c r="AR125" i="7" s="1"/>
  <c r="AQ125" i="7" s="1"/>
  <c r="BA125" i="7"/>
  <c r="AS130" i="7"/>
  <c r="AR130" i="7" s="1"/>
  <c r="AQ130" i="7" s="1"/>
  <c r="BA130" i="7"/>
  <c r="AU132" i="7"/>
  <c r="BC132" i="7"/>
  <c r="AC102" i="7"/>
  <c r="AC113" i="7" s="1"/>
  <c r="R103" i="7"/>
  <c r="AT103" i="7"/>
  <c r="BB103" i="7"/>
  <c r="BJ103" i="7"/>
  <c r="AU104" i="7"/>
  <c r="BC104" i="7"/>
  <c r="BK104" i="7"/>
  <c r="AP105" i="7"/>
  <c r="AX105" i="7"/>
  <c r="BF105" i="7"/>
  <c r="AY106" i="7"/>
  <c r="BG106" i="7"/>
  <c r="AY107" i="7"/>
  <c r="BG107" i="7"/>
  <c r="AY108" i="7"/>
  <c r="BG108" i="7"/>
  <c r="AU109" i="7"/>
  <c r="BC109" i="7"/>
  <c r="BK109" i="7"/>
  <c r="AP110" i="7"/>
  <c r="AX110" i="7"/>
  <c r="BF110" i="7"/>
  <c r="AW111" i="7"/>
  <c r="BE111" i="7"/>
  <c r="AO113" i="7"/>
  <c r="BD111" i="7"/>
  <c r="AY105" i="7"/>
  <c r="BG105" i="7"/>
  <c r="AX111" i="7"/>
  <c r="BF111" i="7"/>
  <c r="AU102" i="7"/>
  <c r="AW104" i="7"/>
  <c r="BE104" i="7"/>
  <c r="AB105" i="7"/>
  <c r="AZ105" i="7"/>
  <c r="BH105" i="7"/>
  <c r="AS106" i="7"/>
  <c r="AR106" i="7" s="1"/>
  <c r="AQ106" i="7" s="1"/>
  <c r="BA106" i="7"/>
  <c r="BI106" i="7"/>
  <c r="AS107" i="7"/>
  <c r="AR107" i="7" s="1"/>
  <c r="AQ107" i="7" s="1"/>
  <c r="BA107" i="7"/>
  <c r="BI107" i="7"/>
  <c r="AS108" i="7"/>
  <c r="AR108" i="7" s="1"/>
  <c r="AQ108" i="7" s="1"/>
  <c r="BA108" i="7"/>
  <c r="BI108" i="7"/>
  <c r="AW109" i="7"/>
  <c r="BE109" i="7"/>
  <c r="AB110" i="7"/>
  <c r="AZ110" i="7"/>
  <c r="BH110" i="7"/>
  <c r="AY111" i="7"/>
  <c r="BG111" i="7"/>
  <c r="AW103" i="7"/>
  <c r="AX104" i="7"/>
  <c r="BF104" i="7"/>
  <c r="AS105" i="7"/>
  <c r="AR105" i="7" s="1"/>
  <c r="AQ105" i="7" s="1"/>
  <c r="BA105" i="7"/>
  <c r="BI105" i="7"/>
  <c r="AT106" i="7"/>
  <c r="BB106" i="7"/>
  <c r="AT107" i="7"/>
  <c r="BB107" i="7"/>
  <c r="AT108" i="7"/>
  <c r="BB108" i="7"/>
  <c r="AX109" i="7"/>
  <c r="BF109" i="7"/>
  <c r="AS110" i="7"/>
  <c r="AR110" i="7" s="1"/>
  <c r="AQ110" i="7" s="1"/>
  <c r="BA110" i="7"/>
  <c r="BI110" i="7"/>
  <c r="AZ111" i="7"/>
  <c r="BH111" i="7"/>
  <c r="AY104" i="7"/>
  <c r="BG104" i="7"/>
  <c r="AT105" i="7"/>
  <c r="BB105" i="7"/>
  <c r="BJ105" i="7"/>
  <c r="AY109" i="7"/>
  <c r="BG109" i="7"/>
  <c r="AT110" i="7"/>
  <c r="BB110" i="7"/>
  <c r="BJ110" i="7"/>
  <c r="AS111" i="7"/>
  <c r="AR111" i="7" s="1"/>
  <c r="AQ111" i="7" s="1"/>
  <c r="BA111" i="7"/>
  <c r="BI111" i="7"/>
  <c r="AV111" i="7"/>
  <c r="BN96" i="7"/>
  <c r="AZ104" i="7"/>
  <c r="AU105" i="7"/>
  <c r="BC105" i="7"/>
  <c r="O107" i="7"/>
  <c r="AZ109" i="7"/>
  <c r="BH109" i="7"/>
  <c r="AU110" i="7"/>
  <c r="BC110" i="7"/>
  <c r="AT111" i="7"/>
  <c r="BB111" i="7"/>
  <c r="BJ111" i="7"/>
  <c r="AS109" i="7"/>
  <c r="AR109" i="7" s="1"/>
  <c r="AQ109" i="7" s="1"/>
  <c r="BA109" i="7"/>
  <c r="AU111" i="7"/>
  <c r="BC111" i="7"/>
  <c r="AP78" i="7"/>
  <c r="AS81" i="7"/>
  <c r="AR81" i="7" s="1"/>
  <c r="BA81" i="7"/>
  <c r="BI81" i="7"/>
  <c r="R82" i="7"/>
  <c r="AT82" i="7"/>
  <c r="BB82" i="7"/>
  <c r="BJ82" i="7"/>
  <c r="AU83" i="7"/>
  <c r="BC83" i="7"/>
  <c r="BK83" i="7"/>
  <c r="AP84" i="7"/>
  <c r="AX84" i="7"/>
  <c r="BF84" i="7"/>
  <c r="AY85" i="7"/>
  <c r="AY86" i="7"/>
  <c r="AU88" i="7"/>
  <c r="BC88" i="7"/>
  <c r="BK88" i="7"/>
  <c r="AP89" i="7"/>
  <c r="AX89" i="7"/>
  <c r="BF89" i="7"/>
  <c r="AW90" i="7"/>
  <c r="BE90" i="7"/>
  <c r="AO92" i="7"/>
  <c r="AT81" i="7"/>
  <c r="BB81" i="7"/>
  <c r="AX90" i="7"/>
  <c r="BF90" i="7"/>
  <c r="AU81" i="7"/>
  <c r="BC81" i="7"/>
  <c r="T82" i="7"/>
  <c r="AW83" i="7"/>
  <c r="BE83" i="7"/>
  <c r="AB84" i="7"/>
  <c r="AZ84" i="7"/>
  <c r="BH84" i="7"/>
  <c r="AW88" i="7"/>
  <c r="BE88" i="7"/>
  <c r="AB89" i="7"/>
  <c r="AZ89" i="7"/>
  <c r="BH89" i="7"/>
  <c r="AY90" i="7"/>
  <c r="BG90" i="7"/>
  <c r="AV90" i="7"/>
  <c r="AX88" i="7"/>
  <c r="BF88" i="7"/>
  <c r="AZ90" i="7"/>
  <c r="BH90" i="7"/>
  <c r="BD90" i="7"/>
  <c r="AW81" i="7"/>
  <c r="BE81" i="7"/>
  <c r="AP82" i="7"/>
  <c r="AX82" i="7"/>
  <c r="BF82" i="7"/>
  <c r="AY83" i="7"/>
  <c r="BG83" i="7"/>
  <c r="BB84" i="7"/>
  <c r="BJ84" i="7"/>
  <c r="AY88" i="7"/>
  <c r="BG88" i="7"/>
  <c r="AS90" i="7"/>
  <c r="AR90" i="7" s="1"/>
  <c r="AQ90" i="7" s="1"/>
  <c r="BA90" i="7"/>
  <c r="BI90" i="7"/>
  <c r="BN75" i="7"/>
  <c r="AX81" i="7"/>
  <c r="BF81" i="7"/>
  <c r="AY82" i="7"/>
  <c r="BG82" i="7"/>
  <c r="AZ83" i="7"/>
  <c r="BH83" i="7"/>
  <c r="AU84" i="7"/>
  <c r="BC84" i="7"/>
  <c r="O86" i="7"/>
  <c r="O87" i="7"/>
  <c r="AZ88" i="7"/>
  <c r="BH88" i="7"/>
  <c r="AU89" i="7"/>
  <c r="BC89" i="7"/>
  <c r="AT90" i="7"/>
  <c r="BB90" i="7"/>
  <c r="BJ90" i="7"/>
  <c r="AY81" i="7"/>
  <c r="AZ82" i="7"/>
  <c r="AS83" i="7"/>
  <c r="AR83" i="7" s="1"/>
  <c r="AQ83" i="7" s="1"/>
  <c r="BA83" i="7"/>
  <c r="AS88" i="7"/>
  <c r="AR88" i="7" s="1"/>
  <c r="AQ88" i="7" s="1"/>
  <c r="BA88" i="7"/>
  <c r="AU90" i="7"/>
  <c r="BC90" i="7"/>
  <c r="AP57" i="7"/>
  <c r="T61" i="7"/>
  <c r="BN54" i="7"/>
  <c r="BN55" i="7" s="1"/>
  <c r="O65" i="7"/>
  <c r="O66" i="7"/>
  <c r="B11" i="18"/>
  <c r="C11" i="18" s="1"/>
  <c r="G158" i="13"/>
  <c r="I157" i="13"/>
  <c r="G157" i="13"/>
  <c r="I156" i="13"/>
  <c r="G156" i="13"/>
  <c r="I155" i="13"/>
  <c r="G155" i="13"/>
  <c r="D155" i="13"/>
  <c r="G135" i="13"/>
  <c r="I134" i="13"/>
  <c r="G134" i="13"/>
  <c r="I133" i="13"/>
  <c r="G133" i="13"/>
  <c r="G132" i="13"/>
  <c r="D132" i="13"/>
  <c r="I132" i="13" s="1"/>
  <c r="G112" i="13"/>
  <c r="I111" i="13"/>
  <c r="G111" i="13"/>
  <c r="I110" i="13"/>
  <c r="G110" i="13"/>
  <c r="I109" i="13"/>
  <c r="G109" i="13"/>
  <c r="D109" i="13"/>
  <c r="G89" i="13"/>
  <c r="I88" i="13"/>
  <c r="G88" i="13"/>
  <c r="I87" i="13"/>
  <c r="G87" i="13"/>
  <c r="G86" i="13"/>
  <c r="D86" i="13"/>
  <c r="I86" i="13" s="1"/>
  <c r="G66" i="13"/>
  <c r="I65" i="13"/>
  <c r="G65" i="13"/>
  <c r="I64" i="13"/>
  <c r="G64" i="13"/>
  <c r="G63" i="13"/>
  <c r="D63" i="13"/>
  <c r="I63" i="13" s="1"/>
  <c r="T44" i="13"/>
  <c r="G43" i="13"/>
  <c r="I42" i="13"/>
  <c r="G42" i="13"/>
  <c r="T41" i="13"/>
  <c r="I41" i="13"/>
  <c r="G41" i="13"/>
  <c r="G40" i="13"/>
  <c r="D40" i="13"/>
  <c r="I40" i="13" s="1"/>
  <c r="G39" i="13"/>
  <c r="T21" i="13"/>
  <c r="T18" i="13"/>
  <c r="C14" i="9"/>
  <c r="T159" i="9"/>
  <c r="G158" i="9"/>
  <c r="I157" i="9"/>
  <c r="G157" i="9"/>
  <c r="T156" i="9"/>
  <c r="I156" i="9"/>
  <c r="G156" i="9"/>
  <c r="G155" i="9"/>
  <c r="D155" i="9"/>
  <c r="I155" i="9" s="1"/>
  <c r="G154" i="9"/>
  <c r="I153" i="9"/>
  <c r="I152" i="9"/>
  <c r="G152" i="9"/>
  <c r="C152" i="9"/>
  <c r="I151" i="9"/>
  <c r="I150" i="9"/>
  <c r="G150" i="9"/>
  <c r="U149" i="9"/>
  <c r="G149" i="9"/>
  <c r="I148" i="9"/>
  <c r="G148" i="9"/>
  <c r="G147" i="9"/>
  <c r="I146" i="9"/>
  <c r="T136" i="9"/>
  <c r="G135" i="9"/>
  <c r="I134" i="9"/>
  <c r="G134" i="9"/>
  <c r="T133" i="9"/>
  <c r="I133" i="9"/>
  <c r="G133" i="9"/>
  <c r="G132" i="9"/>
  <c r="D132" i="9"/>
  <c r="I132" i="9" s="1"/>
  <c r="G131" i="9"/>
  <c r="I130" i="9"/>
  <c r="I129" i="9"/>
  <c r="G129" i="9"/>
  <c r="C129" i="9"/>
  <c r="I128" i="9"/>
  <c r="I127" i="9"/>
  <c r="G127" i="9"/>
  <c r="U126" i="9"/>
  <c r="G126" i="9"/>
  <c r="I125" i="9"/>
  <c r="G125" i="9"/>
  <c r="G124" i="9"/>
  <c r="I123" i="9"/>
  <c r="T113" i="9"/>
  <c r="G112" i="9"/>
  <c r="I111" i="9"/>
  <c r="G111" i="9"/>
  <c r="T110" i="9"/>
  <c r="I110" i="9"/>
  <c r="G110" i="9"/>
  <c r="G109" i="9"/>
  <c r="D109" i="9"/>
  <c r="I109" i="9" s="1"/>
  <c r="G108" i="9"/>
  <c r="I107" i="9"/>
  <c r="I106" i="9"/>
  <c r="G106" i="9"/>
  <c r="C106" i="9"/>
  <c r="I105" i="9"/>
  <c r="I104" i="9"/>
  <c r="G104" i="9"/>
  <c r="U103" i="9"/>
  <c r="G103" i="9"/>
  <c r="I102" i="9"/>
  <c r="G102" i="9"/>
  <c r="G101" i="9"/>
  <c r="I100" i="9"/>
  <c r="T90" i="9"/>
  <c r="G89" i="9"/>
  <c r="I88" i="9"/>
  <c r="G88" i="9"/>
  <c r="T87" i="9"/>
  <c r="I87" i="9"/>
  <c r="G87" i="9"/>
  <c r="G86" i="9"/>
  <c r="D86" i="9"/>
  <c r="I86" i="9" s="1"/>
  <c r="G85" i="9"/>
  <c r="I84" i="9"/>
  <c r="I83" i="9"/>
  <c r="G83" i="9"/>
  <c r="C83" i="9"/>
  <c r="I82" i="9"/>
  <c r="I81" i="9"/>
  <c r="G81" i="9"/>
  <c r="U80" i="9"/>
  <c r="G80" i="9"/>
  <c r="I79" i="9"/>
  <c r="G79" i="9"/>
  <c r="G78" i="9"/>
  <c r="I77" i="9"/>
  <c r="T67" i="9"/>
  <c r="G66" i="9"/>
  <c r="I65" i="9"/>
  <c r="G65" i="9"/>
  <c r="T64" i="9"/>
  <c r="I64" i="9"/>
  <c r="G64" i="9"/>
  <c r="G63" i="9"/>
  <c r="D63" i="9"/>
  <c r="I63" i="9" s="1"/>
  <c r="G62" i="9"/>
  <c r="I61" i="9"/>
  <c r="I60" i="9"/>
  <c r="G60" i="9"/>
  <c r="C60" i="9"/>
  <c r="I59" i="9"/>
  <c r="I58" i="9"/>
  <c r="G58" i="9"/>
  <c r="U57" i="9"/>
  <c r="G57" i="9"/>
  <c r="I56" i="9"/>
  <c r="G56" i="9"/>
  <c r="G55" i="9"/>
  <c r="I54" i="9"/>
  <c r="T44" i="9"/>
  <c r="T41" i="9"/>
  <c r="M48" i="7"/>
  <c r="M47" i="7"/>
  <c r="M46" i="7"/>
  <c r="M45" i="7"/>
  <c r="M44" i="7"/>
  <c r="M43" i="7"/>
  <c r="M42" i="7"/>
  <c r="M41" i="7"/>
  <c r="U40" i="7"/>
  <c r="M40" i="7"/>
  <c r="M39" i="7"/>
  <c r="Q38" i="7"/>
  <c r="BP39" i="7"/>
  <c r="C41" i="7"/>
  <c r="T40" i="7"/>
  <c r="AP38" i="7"/>
  <c r="CA40" i="7" s="1"/>
  <c r="I8" i="18"/>
  <c r="H8" i="18" s="1"/>
  <c r="G1" i="18"/>
  <c r="I9" i="18" l="1"/>
  <c r="AF56" i="1"/>
  <c r="AA56" i="1" s="1"/>
  <c r="AA55" i="1"/>
  <c r="AO124" i="16"/>
  <c r="I10" i="18"/>
  <c r="H10" i="18" s="1"/>
  <c r="H9" i="18"/>
  <c r="AI241" i="16"/>
  <c r="AV241" i="16" s="1"/>
  <c r="AU241" i="16" s="1"/>
  <c r="M8" i="31"/>
  <c r="A18" i="27"/>
  <c r="BN19" i="27"/>
  <c r="A18" i="23"/>
  <c r="BN19" i="23"/>
  <c r="AI225" i="16"/>
  <c r="AV225" i="16" s="1"/>
  <c r="AU225" i="16" s="1"/>
  <c r="C8" i="33"/>
  <c r="BN42" i="22"/>
  <c r="A41" i="22"/>
  <c r="A18" i="20"/>
  <c r="BN19" i="20"/>
  <c r="A48" i="20"/>
  <c r="BN49" i="20"/>
  <c r="A18" i="26"/>
  <c r="BN19" i="26"/>
  <c r="A18" i="22"/>
  <c r="BN19" i="22"/>
  <c r="M8" i="36"/>
  <c r="C17" i="36"/>
  <c r="C12" i="32"/>
  <c r="C12" i="37"/>
  <c r="AL116" i="16"/>
  <c r="AY116" i="16" s="1"/>
  <c r="S107" i="27"/>
  <c r="S108" i="27"/>
  <c r="S150" i="14"/>
  <c r="S149" i="14"/>
  <c r="Q103" i="26"/>
  <c r="Q104" i="26" s="1"/>
  <c r="Q122" i="26"/>
  <c r="S103" i="26"/>
  <c r="S104" i="26" s="1"/>
  <c r="O106" i="26"/>
  <c r="BV109" i="26"/>
  <c r="Q61" i="24"/>
  <c r="Q62" i="24" s="1"/>
  <c r="O64" i="24"/>
  <c r="S61" i="24"/>
  <c r="S62" i="24" s="1"/>
  <c r="Q80" i="24"/>
  <c r="BV67" i="24"/>
  <c r="S45" i="24"/>
  <c r="S44" i="24"/>
  <c r="Q143" i="27"/>
  <c r="O127" i="27"/>
  <c r="Q124" i="27"/>
  <c r="Q125" i="27" s="1"/>
  <c r="BV130" i="27"/>
  <c r="S124" i="27"/>
  <c r="S125" i="27" s="1"/>
  <c r="Q145" i="28"/>
  <c r="Q146" i="28" s="1"/>
  <c r="O148" i="28"/>
  <c r="BV151" i="28"/>
  <c r="S145" i="28"/>
  <c r="S146" i="28" s="1"/>
  <c r="S87" i="26"/>
  <c r="S86" i="26"/>
  <c r="S24" i="23"/>
  <c r="S23" i="23"/>
  <c r="S66" i="25"/>
  <c r="S65" i="25"/>
  <c r="Q59" i="23"/>
  <c r="O43" i="23"/>
  <c r="Q40" i="23"/>
  <c r="Q41" i="23" s="1"/>
  <c r="BV46" i="23"/>
  <c r="S40" i="23"/>
  <c r="S41" i="23" s="1"/>
  <c r="Q17" i="21"/>
  <c r="Q38" i="22"/>
  <c r="BV25" i="22"/>
  <c r="Q19" i="22"/>
  <c r="Q20" i="22" s="1"/>
  <c r="O22" i="22"/>
  <c r="S19" i="22"/>
  <c r="S20" i="22" s="1"/>
  <c r="O85" i="25"/>
  <c r="Q82" i="25"/>
  <c r="Q83" i="25" s="1"/>
  <c r="S82" i="25"/>
  <c r="S83" i="25" s="1"/>
  <c r="BV88" i="25"/>
  <c r="Q101" i="25"/>
  <c r="S128" i="28"/>
  <c r="S129" i="28"/>
  <c r="BQ42" i="7"/>
  <c r="BQ41" i="7"/>
  <c r="BQ40" i="7"/>
  <c r="E143" i="7"/>
  <c r="AV81" i="7"/>
  <c r="BJ102" i="7"/>
  <c r="E80" i="7"/>
  <c r="G80" i="7" s="1"/>
  <c r="BJ81" i="7"/>
  <c r="BJ123" i="7"/>
  <c r="BJ144" i="7"/>
  <c r="AV123" i="7"/>
  <c r="E122" i="7"/>
  <c r="G122" i="7" s="1"/>
  <c r="AV102" i="7"/>
  <c r="AV144" i="7"/>
  <c r="E101" i="7"/>
  <c r="G101" i="7" s="1"/>
  <c r="K96" i="25"/>
  <c r="K75" i="24"/>
  <c r="K117" i="26"/>
  <c r="K138" i="27"/>
  <c r="Z147" i="7"/>
  <c r="Z152" i="7"/>
  <c r="O87" i="26"/>
  <c r="O86" i="26"/>
  <c r="K97" i="26"/>
  <c r="K139" i="28"/>
  <c r="O128" i="28"/>
  <c r="O129" i="28"/>
  <c r="O107" i="27"/>
  <c r="K118" i="27"/>
  <c r="O108" i="27"/>
  <c r="K55" i="24"/>
  <c r="O45" i="24"/>
  <c r="O44" i="24"/>
  <c r="O66" i="25"/>
  <c r="O65" i="25"/>
  <c r="K76" i="25"/>
  <c r="K13" i="22"/>
  <c r="O23" i="23"/>
  <c r="O24" i="23"/>
  <c r="K34" i="23"/>
  <c r="K12" i="22"/>
  <c r="K33" i="23"/>
  <c r="K54" i="23" s="1"/>
  <c r="CL13" i="29"/>
  <c r="BN46" i="29"/>
  <c r="A46" i="29" s="1"/>
  <c r="BN20" i="29"/>
  <c r="A20" i="29" s="1"/>
  <c r="CL13" i="28"/>
  <c r="BN42" i="28"/>
  <c r="A42" i="28" s="1"/>
  <c r="BN21" i="28"/>
  <c r="A21" i="28" s="1"/>
  <c r="CL12" i="27"/>
  <c r="BN49" i="26"/>
  <c r="A49" i="26" s="1"/>
  <c r="CL13" i="26"/>
  <c r="CL12" i="25"/>
  <c r="BN41" i="25"/>
  <c r="A41" i="25" s="1"/>
  <c r="BN20" i="25"/>
  <c r="A20" i="25" s="1"/>
  <c r="AO209" i="16" s="1"/>
  <c r="CL12" i="24"/>
  <c r="BN42" i="24"/>
  <c r="A42" i="24" s="1"/>
  <c r="BN21" i="24"/>
  <c r="A21" i="24" s="1"/>
  <c r="CL14" i="23"/>
  <c r="CL13" i="22"/>
  <c r="BN19" i="21"/>
  <c r="A19" i="21" s="1"/>
  <c r="CL14" i="21"/>
  <c r="BN41" i="21"/>
  <c r="A41" i="21" s="1"/>
  <c r="CL15" i="20"/>
  <c r="AA149" i="7"/>
  <c r="AA86" i="7"/>
  <c r="AR113" i="7"/>
  <c r="AQ113" i="7"/>
  <c r="AA102" i="7"/>
  <c r="AA113" i="7" s="1"/>
  <c r="Z103" i="7"/>
  <c r="AA82" i="7"/>
  <c r="AA85" i="7"/>
  <c r="AA145" i="7"/>
  <c r="Z129" i="7"/>
  <c r="Z89" i="7"/>
  <c r="AA104" i="7"/>
  <c r="AR134" i="7"/>
  <c r="BZ145" i="7"/>
  <c r="BZ144" i="7" s="1"/>
  <c r="BZ124" i="7"/>
  <c r="BV123" i="7" s="1"/>
  <c r="B128" i="7" s="1"/>
  <c r="BZ103" i="7"/>
  <c r="BV102" i="7" s="1"/>
  <c r="B107" i="7" s="1"/>
  <c r="Z84" i="7"/>
  <c r="BZ82" i="7"/>
  <c r="BV81" i="7" s="1"/>
  <c r="B86" i="7" s="1"/>
  <c r="AP99" i="7"/>
  <c r="AP36" i="7"/>
  <c r="AQ134" i="7"/>
  <c r="CB40" i="7"/>
  <c r="CB41" i="7" s="1"/>
  <c r="CA44" i="7"/>
  <c r="S40" i="7"/>
  <c r="S41" i="7" s="1"/>
  <c r="BV46" i="7"/>
  <c r="Q59" i="7"/>
  <c r="O43" i="7"/>
  <c r="CA107" i="7"/>
  <c r="CB103" i="7"/>
  <c r="CB104" i="7" s="1"/>
  <c r="AA46" i="14"/>
  <c r="Q80" i="14"/>
  <c r="BV67" i="14"/>
  <c r="Q61" i="14"/>
  <c r="Q62" i="14" s="1"/>
  <c r="O64" i="14"/>
  <c r="S61" i="14"/>
  <c r="S62" i="14" s="1"/>
  <c r="Z128" i="7"/>
  <c r="AA87" i="7"/>
  <c r="Z148" i="7"/>
  <c r="Z124" i="7"/>
  <c r="AS122" i="16"/>
  <c r="X122" i="16" s="1"/>
  <c r="Z27" i="14"/>
  <c r="BN65" i="14"/>
  <c r="Z21" i="14"/>
  <c r="AA127" i="7"/>
  <c r="Z151" i="7"/>
  <c r="Z146" i="7"/>
  <c r="X104" i="7"/>
  <c r="Z123" i="7"/>
  <c r="Z134" i="7" s="1"/>
  <c r="Z150" i="7"/>
  <c r="X125" i="7"/>
  <c r="X83" i="7"/>
  <c r="X146" i="7"/>
  <c r="AP98" i="7"/>
  <c r="Z25" i="14"/>
  <c r="AA25" i="14"/>
  <c r="Z44" i="14"/>
  <c r="AA44" i="14"/>
  <c r="Z47" i="14"/>
  <c r="AA47" i="14"/>
  <c r="Z48" i="14"/>
  <c r="AA48" i="14"/>
  <c r="Z43" i="14"/>
  <c r="AA43" i="14"/>
  <c r="Z45" i="14"/>
  <c r="AA45" i="14"/>
  <c r="Z42" i="14"/>
  <c r="AA42" i="14"/>
  <c r="AA24" i="14"/>
  <c r="Z24" i="14"/>
  <c r="Z22" i="14"/>
  <c r="AA22" i="14"/>
  <c r="AA26" i="14"/>
  <c r="Z26" i="14"/>
  <c r="Z23" i="14"/>
  <c r="AA23" i="14"/>
  <c r="CB20" i="14"/>
  <c r="AA153" i="7"/>
  <c r="Z153" i="7"/>
  <c r="AP140" i="7"/>
  <c r="BN143" i="7"/>
  <c r="AQ144" i="7"/>
  <c r="AR155" i="7"/>
  <c r="AA131" i="7"/>
  <c r="Z131" i="7"/>
  <c r="AP119" i="7"/>
  <c r="Z132" i="7"/>
  <c r="AA132" i="7"/>
  <c r="AA130" i="7"/>
  <c r="Z130" i="7"/>
  <c r="AA126" i="7"/>
  <c r="Z126" i="7"/>
  <c r="BN118" i="7"/>
  <c r="AA125" i="7"/>
  <c r="Z125" i="7"/>
  <c r="BN97" i="7"/>
  <c r="AA109" i="7"/>
  <c r="Z109" i="7"/>
  <c r="AA110" i="7"/>
  <c r="Z110" i="7"/>
  <c r="Z108" i="7"/>
  <c r="AA108" i="7"/>
  <c r="AA105" i="7"/>
  <c r="Z105" i="7"/>
  <c r="Z106" i="7"/>
  <c r="AA106" i="7"/>
  <c r="AA111" i="7"/>
  <c r="Z111" i="7"/>
  <c r="Z107" i="7"/>
  <c r="AA107" i="7"/>
  <c r="AQ81" i="7"/>
  <c r="AR92" i="7"/>
  <c r="AA83" i="7"/>
  <c r="Z83" i="7"/>
  <c r="AP77" i="7"/>
  <c r="AA90" i="7"/>
  <c r="Z90" i="7"/>
  <c r="AA88" i="7"/>
  <c r="Z88" i="7"/>
  <c r="BN76" i="7"/>
  <c r="BN56" i="7"/>
  <c r="H60" i="7" s="1"/>
  <c r="O45" i="7"/>
  <c r="Q40" i="7"/>
  <c r="Q41" i="7" s="1"/>
  <c r="O44" i="7"/>
  <c r="R40" i="7"/>
  <c r="I11" i="18" l="1"/>
  <c r="H11" i="18" s="1"/>
  <c r="AR217" i="16"/>
  <c r="C17" i="32"/>
  <c r="AI233" i="16"/>
  <c r="AV233" i="16" s="1"/>
  <c r="AU233" i="16" s="1"/>
  <c r="G8" i="32"/>
  <c r="F8" i="32" s="1"/>
  <c r="M8" i="37"/>
  <c r="A19" i="26"/>
  <c r="BN20" i="26"/>
  <c r="C8" i="37"/>
  <c r="A19" i="20"/>
  <c r="BN20" i="20"/>
  <c r="M8" i="32"/>
  <c r="A19" i="23"/>
  <c r="AL225" i="16" s="1"/>
  <c r="AY225" i="16" s="1"/>
  <c r="BN20" i="23"/>
  <c r="M12" i="36"/>
  <c r="AL140" i="16"/>
  <c r="AY140" i="16" s="1"/>
  <c r="C17" i="30"/>
  <c r="AI249" i="16"/>
  <c r="AV249" i="16" s="1"/>
  <c r="AU249" i="16" s="1"/>
  <c r="C12" i="30"/>
  <c r="C12" i="33"/>
  <c r="M8" i="33"/>
  <c r="M12" i="33"/>
  <c r="C10" i="33"/>
  <c r="C17" i="33"/>
  <c r="G8" i="33"/>
  <c r="F8" i="33" s="1"/>
  <c r="AI140" i="16"/>
  <c r="AV140" i="16" s="1"/>
  <c r="AU140" i="16" s="1"/>
  <c r="AR124" i="16"/>
  <c r="AI132" i="16"/>
  <c r="AV132" i="16" s="1"/>
  <c r="AU132" i="16" s="1"/>
  <c r="AL241" i="16"/>
  <c r="AY241" i="16" s="1"/>
  <c r="C10" i="37"/>
  <c r="A49" i="20"/>
  <c r="BN50" i="20"/>
  <c r="A50" i="20" s="1"/>
  <c r="AO116" i="16"/>
  <c r="BN43" i="22"/>
  <c r="A42" i="22"/>
  <c r="A19" i="22"/>
  <c r="BN20" i="22"/>
  <c r="C8" i="32"/>
  <c r="A19" i="27"/>
  <c r="BN20" i="27"/>
  <c r="S44" i="23"/>
  <c r="S45" i="23"/>
  <c r="S108" i="26"/>
  <c r="S107" i="26"/>
  <c r="S66" i="24"/>
  <c r="S65" i="24"/>
  <c r="O64" i="23"/>
  <c r="S61" i="23"/>
  <c r="S62" i="23" s="1"/>
  <c r="Q80" i="23"/>
  <c r="BV67" i="23"/>
  <c r="Q61" i="23"/>
  <c r="Q62" i="23" s="1"/>
  <c r="BV109" i="25"/>
  <c r="S103" i="25"/>
  <c r="S104" i="25" s="1"/>
  <c r="Q103" i="25"/>
  <c r="Q104" i="25" s="1"/>
  <c r="Q122" i="25"/>
  <c r="O106" i="25"/>
  <c r="S23" i="22"/>
  <c r="S24" i="22"/>
  <c r="S129" i="27"/>
  <c r="S128" i="27"/>
  <c r="BV46" i="22"/>
  <c r="Q59" i="22"/>
  <c r="S40" i="22"/>
  <c r="S41" i="22" s="1"/>
  <c r="Q40" i="22"/>
  <c r="Q41" i="22" s="1"/>
  <c r="O43" i="22"/>
  <c r="BV130" i="26"/>
  <c r="Q124" i="26"/>
  <c r="Q125" i="26" s="1"/>
  <c r="S124" i="26"/>
  <c r="S125" i="26" s="1"/>
  <c r="O127" i="26"/>
  <c r="Q143" i="26"/>
  <c r="S87" i="25"/>
  <c r="S86" i="25"/>
  <c r="Q19" i="21"/>
  <c r="Q20" i="21" s="1"/>
  <c r="Q17" i="20"/>
  <c r="BV25" i="21"/>
  <c r="O22" i="21"/>
  <c r="Q38" i="21"/>
  <c r="S19" i="21"/>
  <c r="S20" i="21" s="1"/>
  <c r="S82" i="24"/>
  <c r="S83" i="24" s="1"/>
  <c r="BV88" i="24"/>
  <c r="Q101" i="24"/>
  <c r="O85" i="24"/>
  <c r="Q82" i="24"/>
  <c r="Q83" i="24" s="1"/>
  <c r="S149" i="28"/>
  <c r="S150" i="28"/>
  <c r="Q145" i="27"/>
  <c r="Q146" i="27" s="1"/>
  <c r="O148" i="27"/>
  <c r="BV151" i="27"/>
  <c r="S145" i="27"/>
  <c r="S146" i="27" s="1"/>
  <c r="G143" i="7"/>
  <c r="G144" i="7" s="1"/>
  <c r="G145" i="7" s="1"/>
  <c r="AP97" i="7"/>
  <c r="AP76" i="7"/>
  <c r="BK144" i="7"/>
  <c r="AR133" i="7"/>
  <c r="AS133" i="7" s="1"/>
  <c r="BK102" i="7"/>
  <c r="AP139" i="7"/>
  <c r="BK123" i="7"/>
  <c r="AP118" i="7"/>
  <c r="AR112" i="7"/>
  <c r="BK81" i="7"/>
  <c r="K75" i="23"/>
  <c r="K138" i="26"/>
  <c r="K117" i="25"/>
  <c r="K96" i="24"/>
  <c r="K76" i="24"/>
  <c r="O66" i="24"/>
  <c r="O65" i="24"/>
  <c r="K139" i="27"/>
  <c r="O129" i="27"/>
  <c r="O128" i="27"/>
  <c r="O150" i="28"/>
  <c r="O149" i="28"/>
  <c r="O44" i="23"/>
  <c r="K55" i="23"/>
  <c r="O45" i="23"/>
  <c r="K118" i="26"/>
  <c r="O108" i="26"/>
  <c r="O107" i="26"/>
  <c r="K34" i="22"/>
  <c r="K13" i="21"/>
  <c r="O23" i="22"/>
  <c r="O24" i="22"/>
  <c r="O87" i="25"/>
  <c r="O86" i="25"/>
  <c r="K97" i="25"/>
  <c r="K12" i="21"/>
  <c r="K33" i="22"/>
  <c r="K54" i="22" s="1"/>
  <c r="CL14" i="29"/>
  <c r="BN21" i="29"/>
  <c r="A21" i="29" s="1"/>
  <c r="BN47" i="29"/>
  <c r="A47" i="29" s="1"/>
  <c r="BN22" i="28"/>
  <c r="A22" i="28" s="1"/>
  <c r="BN43" i="28"/>
  <c r="A43" i="28" s="1"/>
  <c r="CL14" i="28"/>
  <c r="CL13" i="27"/>
  <c r="BN50" i="26"/>
  <c r="A50" i="26" s="1"/>
  <c r="CL14" i="26"/>
  <c r="BN42" i="25"/>
  <c r="A42" i="25" s="1"/>
  <c r="BN21" i="25"/>
  <c r="A21" i="25" s="1"/>
  <c r="CL13" i="25"/>
  <c r="CL13" i="24"/>
  <c r="BN43" i="24"/>
  <c r="A43" i="24" s="1"/>
  <c r="BN22" i="24"/>
  <c r="A22" i="24" s="1"/>
  <c r="CL15" i="23"/>
  <c r="CL14" i="22"/>
  <c r="CL15" i="21"/>
  <c r="BN20" i="21"/>
  <c r="A20" i="21" s="1"/>
  <c r="BN42" i="21"/>
  <c r="A42" i="21" s="1"/>
  <c r="CL16" i="20"/>
  <c r="BZ123" i="7"/>
  <c r="BV144" i="7"/>
  <c r="B149" i="7" s="1"/>
  <c r="BZ81" i="7"/>
  <c r="BZ102" i="7"/>
  <c r="I12" i="18"/>
  <c r="H12" i="18" s="1"/>
  <c r="O64" i="7"/>
  <c r="BV67" i="7"/>
  <c r="Q61" i="7"/>
  <c r="Q62" i="7" s="1"/>
  <c r="Q80" i="7"/>
  <c r="S61" i="7"/>
  <c r="S62" i="7" s="1"/>
  <c r="BV88" i="14"/>
  <c r="Q101" i="14"/>
  <c r="S82" i="14"/>
  <c r="S83" i="14" s="1"/>
  <c r="O85" i="14"/>
  <c r="Q82" i="14"/>
  <c r="Q83" i="14" s="1"/>
  <c r="AS123" i="16"/>
  <c r="X123" i="16" s="1"/>
  <c r="BN66" i="14"/>
  <c r="AR91" i="7"/>
  <c r="AR154" i="7"/>
  <c r="AA144" i="7"/>
  <c r="AA155" i="7" s="1"/>
  <c r="Z144" i="7"/>
  <c r="Z155" i="7" s="1"/>
  <c r="AQ155" i="7"/>
  <c r="BN144" i="7"/>
  <c r="E145" i="7"/>
  <c r="E144" i="7"/>
  <c r="BN119" i="7"/>
  <c r="E123" i="7"/>
  <c r="E124" i="7"/>
  <c r="G123" i="7"/>
  <c r="G124" i="7" s="1"/>
  <c r="BN98" i="7"/>
  <c r="E103" i="7"/>
  <c r="G102" i="7"/>
  <c r="G103" i="7" s="1"/>
  <c r="E102" i="7"/>
  <c r="BN77" i="7"/>
  <c r="E82" i="7"/>
  <c r="G81" i="7"/>
  <c r="G82" i="7" s="1"/>
  <c r="E81" i="7"/>
  <c r="AA81" i="7"/>
  <c r="AA92" i="7" s="1"/>
  <c r="Z81" i="7"/>
  <c r="Z92" i="7" s="1"/>
  <c r="AQ92" i="7"/>
  <c r="BN57" i="7"/>
  <c r="H61" i="7" s="1"/>
  <c r="A20" i="27" l="1"/>
  <c r="BN21" i="27"/>
  <c r="AL233" i="16"/>
  <c r="AY233" i="16" s="1"/>
  <c r="A20" i="20"/>
  <c r="BN21" i="20"/>
  <c r="AO241" i="16"/>
  <c r="AL132" i="16"/>
  <c r="AY132" i="16" s="1"/>
  <c r="A20" i="23"/>
  <c r="BN21" i="23"/>
  <c r="AO132" i="16"/>
  <c r="AR209" i="16"/>
  <c r="A20" i="22"/>
  <c r="AO233" i="16" s="1"/>
  <c r="BN21" i="22"/>
  <c r="BN44" i="22"/>
  <c r="A43" i="22"/>
  <c r="A20" i="26"/>
  <c r="BN21" i="26"/>
  <c r="S65" i="23"/>
  <c r="S66" i="23"/>
  <c r="BV25" i="20"/>
  <c r="Q38" i="20"/>
  <c r="S19" i="20"/>
  <c r="S20" i="20" s="1"/>
  <c r="Q19" i="20"/>
  <c r="Q20" i="20" s="1"/>
  <c r="O22" i="20"/>
  <c r="S86" i="24"/>
  <c r="S87" i="24"/>
  <c r="Q103" i="24"/>
  <c r="Q104" i="24" s="1"/>
  <c r="Q122" i="24"/>
  <c r="BV109" i="24"/>
  <c r="O106" i="24"/>
  <c r="S103" i="24"/>
  <c r="S104" i="24" s="1"/>
  <c r="Q101" i="23"/>
  <c r="O85" i="23"/>
  <c r="BV88" i="23"/>
  <c r="S82" i="23"/>
  <c r="S83" i="23" s="1"/>
  <c r="Q82" i="23"/>
  <c r="Q83" i="23" s="1"/>
  <c r="S24" i="21"/>
  <c r="S23" i="21"/>
  <c r="BV130" i="25"/>
  <c r="S124" i="25"/>
  <c r="S125" i="25" s="1"/>
  <c r="Q124" i="25"/>
  <c r="Q125" i="25" s="1"/>
  <c r="O127" i="25"/>
  <c r="Q143" i="25"/>
  <c r="S44" i="22"/>
  <c r="S45" i="22"/>
  <c r="O148" i="26"/>
  <c r="BV151" i="26"/>
  <c r="S145" i="26"/>
  <c r="S146" i="26" s="1"/>
  <c r="Q145" i="26"/>
  <c r="Q146" i="26" s="1"/>
  <c r="O64" i="22"/>
  <c r="BV67" i="22"/>
  <c r="Q80" i="22"/>
  <c r="S61" i="22"/>
  <c r="S62" i="22" s="1"/>
  <c r="Q61" i="22"/>
  <c r="Q62" i="22" s="1"/>
  <c r="S108" i="25"/>
  <c r="S107" i="25"/>
  <c r="S40" i="21"/>
  <c r="S41" i="21" s="1"/>
  <c r="Q59" i="21"/>
  <c r="Q40" i="21"/>
  <c r="Q41" i="21" s="1"/>
  <c r="BV46" i="21"/>
  <c r="O43" i="21"/>
  <c r="S129" i="26"/>
  <c r="S128" i="26"/>
  <c r="S150" i="27"/>
  <c r="S149" i="27"/>
  <c r="AS112" i="7"/>
  <c r="K96" i="23"/>
  <c r="K75" i="22"/>
  <c r="K117" i="24"/>
  <c r="K138" i="25"/>
  <c r="K76" i="23"/>
  <c r="O66" i="23"/>
  <c r="O65" i="23"/>
  <c r="O150" i="27"/>
  <c r="O149" i="27"/>
  <c r="O108" i="25"/>
  <c r="O107" i="25"/>
  <c r="K118" i="25"/>
  <c r="K139" i="26"/>
  <c r="O129" i="26"/>
  <c r="O128" i="26"/>
  <c r="K13" i="20"/>
  <c r="K34" i="21"/>
  <c r="O24" i="21"/>
  <c r="O23" i="21"/>
  <c r="K55" i="22"/>
  <c r="O45" i="22"/>
  <c r="O44" i="22"/>
  <c r="K97" i="24"/>
  <c r="O86" i="24"/>
  <c r="O87" i="24"/>
  <c r="K12" i="20"/>
  <c r="K33" i="20" s="1"/>
  <c r="K54" i="20" s="1"/>
  <c r="K33" i="21"/>
  <c r="K54" i="21" s="1"/>
  <c r="CL15" i="29"/>
  <c r="BN48" i="29"/>
  <c r="A48" i="29" s="1"/>
  <c r="BN22" i="29"/>
  <c r="A22" i="29" s="1"/>
  <c r="CL15" i="28"/>
  <c r="BN44" i="28"/>
  <c r="A44" i="28" s="1"/>
  <c r="BN23" i="28"/>
  <c r="A23" i="28" s="1"/>
  <c r="CL14" i="27"/>
  <c r="CL15" i="26"/>
  <c r="CL14" i="25"/>
  <c r="BN22" i="25"/>
  <c r="A22" i="25" s="1"/>
  <c r="BN43" i="25"/>
  <c r="A43" i="25" s="1"/>
  <c r="BN23" i="24"/>
  <c r="A23" i="24" s="1"/>
  <c r="BN44" i="24"/>
  <c r="A44" i="24" s="1"/>
  <c r="CL14" i="24"/>
  <c r="CL16" i="23"/>
  <c r="CL15" i="22"/>
  <c r="BN43" i="21"/>
  <c r="A43" i="21" s="1"/>
  <c r="BN21" i="21"/>
  <c r="A21" i="21" s="1"/>
  <c r="CL16" i="21"/>
  <c r="CL17" i="20"/>
  <c r="I13" i="18"/>
  <c r="H13" i="18" s="1"/>
  <c r="O85" i="7"/>
  <c r="BV88" i="7"/>
  <c r="S82" i="7"/>
  <c r="S83" i="7" s="1"/>
  <c r="Q82" i="7"/>
  <c r="Q83" i="7" s="1"/>
  <c r="Q101" i="7"/>
  <c r="BV109" i="14"/>
  <c r="Q122" i="14"/>
  <c r="S103" i="14"/>
  <c r="S104" i="14" s="1"/>
  <c r="Q103" i="14"/>
  <c r="Q104" i="14" s="1"/>
  <c r="O106" i="14"/>
  <c r="AS124" i="16"/>
  <c r="X124" i="16" s="1"/>
  <c r="BN67" i="14"/>
  <c r="E105" i="7"/>
  <c r="E147" i="7"/>
  <c r="E84" i="7"/>
  <c r="E126" i="7"/>
  <c r="AS154" i="7"/>
  <c r="AS91" i="7"/>
  <c r="BN145" i="7"/>
  <c r="E146" i="7"/>
  <c r="W146" i="7"/>
  <c r="U146" i="7" s="1"/>
  <c r="V146" i="7"/>
  <c r="BN120" i="7"/>
  <c r="W125" i="7"/>
  <c r="U125" i="7" s="1"/>
  <c r="E125" i="7"/>
  <c r="V125" i="7"/>
  <c r="E104" i="7"/>
  <c r="W104" i="7"/>
  <c r="U104" i="7" s="1"/>
  <c r="V104" i="7"/>
  <c r="BN99" i="7"/>
  <c r="E83" i="7"/>
  <c r="W83" i="7"/>
  <c r="U83" i="7" s="1"/>
  <c r="V83" i="7"/>
  <c r="BN78" i="7"/>
  <c r="BN58" i="7"/>
  <c r="H62" i="7" s="1"/>
  <c r="C17" i="37" l="1"/>
  <c r="G8" i="37"/>
  <c r="F8" i="37" s="1"/>
  <c r="M12" i="37"/>
  <c r="AO140" i="16"/>
  <c r="AR241" i="16"/>
  <c r="BN45" i="22"/>
  <c r="A44" i="22"/>
  <c r="A21" i="22"/>
  <c r="BN22" i="22"/>
  <c r="A21" i="27"/>
  <c r="BN22" i="27"/>
  <c r="A21" i="26"/>
  <c r="BN22" i="26"/>
  <c r="AR140" i="16"/>
  <c r="A21" i="23"/>
  <c r="BN22" i="23"/>
  <c r="AO225" i="16"/>
  <c r="A21" i="20"/>
  <c r="AR249" i="16" s="1"/>
  <c r="BN22" i="20"/>
  <c r="AO249" i="16"/>
  <c r="S24" i="20"/>
  <c r="S23" i="20"/>
  <c r="S61" i="21"/>
  <c r="S62" i="21" s="1"/>
  <c r="Q80" i="21"/>
  <c r="O64" i="21"/>
  <c r="Q61" i="21"/>
  <c r="Q62" i="21" s="1"/>
  <c r="BV67" i="21"/>
  <c r="S107" i="24"/>
  <c r="S108" i="24"/>
  <c r="Q103" i="23"/>
  <c r="Q104" i="23" s="1"/>
  <c r="S103" i="23"/>
  <c r="S104" i="23" s="1"/>
  <c r="Q122" i="23"/>
  <c r="O106" i="23"/>
  <c r="BV109" i="23"/>
  <c r="S150" i="26"/>
  <c r="S149" i="26"/>
  <c r="S86" i="23"/>
  <c r="S87" i="23"/>
  <c r="S65" i="22"/>
  <c r="S66" i="22"/>
  <c r="S128" i="25"/>
  <c r="S129" i="25"/>
  <c r="O43" i="20"/>
  <c r="BV46" i="20"/>
  <c r="S40" i="20"/>
  <c r="S41" i="20" s="1"/>
  <c r="Q40" i="20"/>
  <c r="Q41" i="20" s="1"/>
  <c r="Q59" i="20"/>
  <c r="BV130" i="24"/>
  <c r="S124" i="24"/>
  <c r="S125" i="24" s="1"/>
  <c r="Q124" i="24"/>
  <c r="Q125" i="24" s="1"/>
  <c r="Q143" i="24"/>
  <c r="O127" i="24"/>
  <c r="BV88" i="22"/>
  <c r="Q101" i="22"/>
  <c r="O85" i="22"/>
  <c r="S82" i="22"/>
  <c r="S83" i="22" s="1"/>
  <c r="Q82" i="22"/>
  <c r="Q83" i="22" s="1"/>
  <c r="O148" i="25"/>
  <c r="BV151" i="25"/>
  <c r="S145" i="25"/>
  <c r="S146" i="25" s="1"/>
  <c r="Q145" i="25"/>
  <c r="Q146" i="25" s="1"/>
  <c r="S45" i="21"/>
  <c r="S44" i="21"/>
  <c r="K117" i="23"/>
  <c r="K75" i="21"/>
  <c r="K75" i="20"/>
  <c r="K138" i="24"/>
  <c r="K96" i="22"/>
  <c r="O108" i="24"/>
  <c r="K118" i="24"/>
  <c r="O107" i="24"/>
  <c r="O45" i="21"/>
  <c r="O44" i="21"/>
  <c r="K55" i="21"/>
  <c r="O128" i="25"/>
  <c r="O129" i="25"/>
  <c r="K139" i="25"/>
  <c r="O150" i="26"/>
  <c r="O149" i="26"/>
  <c r="O24" i="20"/>
  <c r="O23" i="20"/>
  <c r="K34" i="20"/>
  <c r="K76" i="22"/>
  <c r="O66" i="22"/>
  <c r="O65" i="22"/>
  <c r="K97" i="23"/>
  <c r="O87" i="23"/>
  <c r="O86" i="23"/>
  <c r="BN23" i="29"/>
  <c r="A23" i="29" s="1"/>
  <c r="BN49" i="29"/>
  <c r="A49" i="29" s="1"/>
  <c r="CL16" i="29"/>
  <c r="BN24" i="28"/>
  <c r="A24" i="28" s="1"/>
  <c r="BN45" i="28"/>
  <c r="A45" i="28" s="1"/>
  <c r="CL16" i="28"/>
  <c r="CL15" i="27"/>
  <c r="CL16" i="26"/>
  <c r="BN44" i="25"/>
  <c r="A44" i="25" s="1"/>
  <c r="BN23" i="25"/>
  <c r="A23" i="25" s="1"/>
  <c r="CL15" i="25"/>
  <c r="BN24" i="24"/>
  <c r="A24" i="24" s="1"/>
  <c r="BN45" i="24"/>
  <c r="A45" i="24" s="1"/>
  <c r="CL15" i="24"/>
  <c r="CL17" i="23"/>
  <c r="CL16" i="22"/>
  <c r="CL17" i="21"/>
  <c r="BN22" i="21"/>
  <c r="A22" i="21" s="1"/>
  <c r="BN44" i="21"/>
  <c r="A44" i="21" s="1"/>
  <c r="CL18" i="20"/>
  <c r="I14" i="18"/>
  <c r="BV109" i="7"/>
  <c r="Q122" i="7"/>
  <c r="O106" i="7"/>
  <c r="S103" i="7"/>
  <c r="S104" i="7" s="1"/>
  <c r="Q103" i="7"/>
  <c r="Q104" i="7" s="1"/>
  <c r="BV130" i="14"/>
  <c r="Q124" i="14"/>
  <c r="Q125" i="14" s="1"/>
  <c r="S124" i="14"/>
  <c r="S125" i="14" s="1"/>
  <c r="Q143" i="14"/>
  <c r="O127" i="14"/>
  <c r="AS125" i="16"/>
  <c r="X125" i="16" s="1"/>
  <c r="BN68" i="14"/>
  <c r="BN146" i="7"/>
  <c r="BN121" i="7"/>
  <c r="BN100" i="7"/>
  <c r="BN79" i="7"/>
  <c r="BN59" i="7"/>
  <c r="H63" i="7" s="1"/>
  <c r="A22" i="22" l="1"/>
  <c r="BN23" i="22"/>
  <c r="H14" i="18"/>
  <c r="I15" i="18"/>
  <c r="C10" i="36"/>
  <c r="C12" i="36"/>
  <c r="C8" i="36"/>
  <c r="G8" i="36"/>
  <c r="F8" i="36" s="1"/>
  <c r="A22" i="23"/>
  <c r="BN23" i="23"/>
  <c r="AR233" i="16"/>
  <c r="AR225" i="16"/>
  <c r="A22" i="26"/>
  <c r="BN23" i="26"/>
  <c r="BN46" i="22"/>
  <c r="A45" i="22"/>
  <c r="A22" i="20"/>
  <c r="BN23" i="20"/>
  <c r="A22" i="27"/>
  <c r="BN23" i="27"/>
  <c r="BV67" i="20"/>
  <c r="S61" i="20"/>
  <c r="S62" i="20" s="1"/>
  <c r="Q61" i="20"/>
  <c r="Q62" i="20" s="1"/>
  <c r="O64" i="20"/>
  <c r="Q80" i="20"/>
  <c r="S108" i="23"/>
  <c r="S107" i="23"/>
  <c r="S128" i="24"/>
  <c r="S129" i="24"/>
  <c r="Q103" i="22"/>
  <c r="Q104" i="22" s="1"/>
  <c r="O106" i="22"/>
  <c r="BV109" i="22"/>
  <c r="S103" i="22"/>
  <c r="S104" i="22" s="1"/>
  <c r="Q122" i="22"/>
  <c r="S149" i="25"/>
  <c r="S150" i="25"/>
  <c r="S87" i="22"/>
  <c r="S86" i="22"/>
  <c r="O148" i="24"/>
  <c r="BV151" i="24"/>
  <c r="S145" i="24"/>
  <c r="S146" i="24" s="1"/>
  <c r="Q145" i="24"/>
  <c r="Q146" i="24" s="1"/>
  <c r="S45" i="20"/>
  <c r="S44" i="20"/>
  <c r="S66" i="21"/>
  <c r="S65" i="21"/>
  <c r="Q124" i="23"/>
  <c r="Q125" i="23" s="1"/>
  <c r="S124" i="23"/>
  <c r="S125" i="23" s="1"/>
  <c r="Q143" i="23"/>
  <c r="BV130" i="23"/>
  <c r="O127" i="23"/>
  <c r="BV88" i="21"/>
  <c r="S82" i="21"/>
  <c r="S83" i="21" s="1"/>
  <c r="Q101" i="21"/>
  <c r="O85" i="21"/>
  <c r="Q82" i="21"/>
  <c r="Q83" i="21" s="1"/>
  <c r="K96" i="21"/>
  <c r="K117" i="22"/>
  <c r="K138" i="23"/>
  <c r="K96" i="20"/>
  <c r="O108" i="23"/>
  <c r="O107" i="23"/>
  <c r="K118" i="23"/>
  <c r="O149" i="25"/>
  <c r="O150" i="25"/>
  <c r="O45" i="20"/>
  <c r="O44" i="20"/>
  <c r="K55" i="20"/>
  <c r="O128" i="24"/>
  <c r="K139" i="24"/>
  <c r="O129" i="24"/>
  <c r="K97" i="22"/>
  <c r="O87" i="22"/>
  <c r="O86" i="22"/>
  <c r="K76" i="21"/>
  <c r="O66" i="21"/>
  <c r="O65" i="21"/>
  <c r="BN24" i="29"/>
  <c r="A24" i="29" s="1"/>
  <c r="CL17" i="29"/>
  <c r="BN50" i="29"/>
  <c r="A50" i="29" s="1"/>
  <c r="CL17" i="28"/>
  <c r="BN46" i="28"/>
  <c r="A46" i="28" s="1"/>
  <c r="BN25" i="28"/>
  <c r="A25" i="28" s="1"/>
  <c r="CL16" i="27"/>
  <c r="CL17" i="26"/>
  <c r="CL16" i="25"/>
  <c r="BN24" i="25"/>
  <c r="A24" i="25" s="1"/>
  <c r="BN45" i="25"/>
  <c r="A45" i="25" s="1"/>
  <c r="CL16" i="24"/>
  <c r="BN46" i="24"/>
  <c r="A46" i="24" s="1"/>
  <c r="BN25" i="24"/>
  <c r="A25" i="24" s="1"/>
  <c r="CL18" i="23"/>
  <c r="CL17" i="22"/>
  <c r="BN45" i="21"/>
  <c r="A45" i="21" s="1"/>
  <c r="BN23" i="21"/>
  <c r="A23" i="21" s="1"/>
  <c r="CL18" i="21"/>
  <c r="CL19" i="20"/>
  <c r="O127" i="7"/>
  <c r="BV130" i="7"/>
  <c r="S124" i="7"/>
  <c r="S125" i="7" s="1"/>
  <c r="Q124" i="7"/>
  <c r="Q125" i="7" s="1"/>
  <c r="Q143" i="7"/>
  <c r="BV151" i="14"/>
  <c r="S145" i="14"/>
  <c r="S146" i="14" s="1"/>
  <c r="Q145" i="14"/>
  <c r="Q146" i="14" s="1"/>
  <c r="O148" i="14"/>
  <c r="AS126" i="16"/>
  <c r="X126" i="16" s="1"/>
  <c r="BN69" i="14"/>
  <c r="BN147" i="7"/>
  <c r="BN122" i="7"/>
  <c r="BN101" i="7"/>
  <c r="BN80" i="7"/>
  <c r="BN60" i="7"/>
  <c r="H64" i="7" s="1"/>
  <c r="A23" i="27" l="1"/>
  <c r="BN24" i="27"/>
  <c r="BN47" i="22"/>
  <c r="A46" i="22"/>
  <c r="A23" i="26"/>
  <c r="BN24" i="26"/>
  <c r="A23" i="22"/>
  <c r="BN24" i="22"/>
  <c r="C8" i="35"/>
  <c r="M12" i="35"/>
  <c r="A23" i="20"/>
  <c r="BN24" i="20"/>
  <c r="A23" i="23"/>
  <c r="BN24" i="23"/>
  <c r="I16" i="18"/>
  <c r="H15" i="18"/>
  <c r="S129" i="23"/>
  <c r="S128" i="23"/>
  <c r="S150" i="24"/>
  <c r="S149" i="24"/>
  <c r="BV109" i="21"/>
  <c r="Q122" i="21"/>
  <c r="O106" i="21"/>
  <c r="S103" i="21"/>
  <c r="S104" i="21" s="1"/>
  <c r="Q103" i="21"/>
  <c r="Q104" i="21" s="1"/>
  <c r="S66" i="20"/>
  <c r="S65" i="20"/>
  <c r="S87" i="21"/>
  <c r="S86" i="21"/>
  <c r="Q124" i="22"/>
  <c r="Q125" i="22" s="1"/>
  <c r="O127" i="22"/>
  <c r="BV130" i="22"/>
  <c r="Q143" i="22"/>
  <c r="S124" i="22"/>
  <c r="S125" i="22" s="1"/>
  <c r="O148" i="23"/>
  <c r="BV151" i="23"/>
  <c r="Q145" i="23"/>
  <c r="Q146" i="23" s="1"/>
  <c r="S145" i="23"/>
  <c r="S146" i="23" s="1"/>
  <c r="BV88" i="20"/>
  <c r="Q101" i="20"/>
  <c r="S82" i="20"/>
  <c r="S83" i="20" s="1"/>
  <c r="Q82" i="20"/>
  <c r="Q83" i="20" s="1"/>
  <c r="O85" i="20"/>
  <c r="S108" i="22"/>
  <c r="S107" i="22"/>
  <c r="K138" i="22"/>
  <c r="K117" i="21"/>
  <c r="K117" i="20"/>
  <c r="O150" i="24"/>
  <c r="O149" i="24"/>
  <c r="O66" i="20"/>
  <c r="K76" i="20"/>
  <c r="O65" i="20"/>
  <c r="K139" i="23"/>
  <c r="O128" i="23"/>
  <c r="O129" i="23"/>
  <c r="O108" i="22"/>
  <c r="K118" i="22"/>
  <c r="O107" i="22"/>
  <c r="K97" i="21"/>
  <c r="O87" i="21"/>
  <c r="O86" i="21"/>
  <c r="CL18" i="29"/>
  <c r="BN25" i="29"/>
  <c r="A25" i="29" s="1"/>
  <c r="BN26" i="28"/>
  <c r="A26" i="28" s="1"/>
  <c r="BN47" i="28"/>
  <c r="A47" i="28" s="1"/>
  <c r="CL18" i="28"/>
  <c r="CL17" i="27"/>
  <c r="CL18" i="26"/>
  <c r="BN46" i="25"/>
  <c r="A46" i="25" s="1"/>
  <c r="BN25" i="25"/>
  <c r="A25" i="25" s="1"/>
  <c r="CL17" i="25"/>
  <c r="BN26" i="24"/>
  <c r="A26" i="24" s="1"/>
  <c r="BN47" i="24"/>
  <c r="A47" i="24" s="1"/>
  <c r="CL17" i="24"/>
  <c r="CL19" i="23"/>
  <c r="CL18" i="22"/>
  <c r="CL19" i="21"/>
  <c r="BN24" i="21"/>
  <c r="A24" i="21" s="1"/>
  <c r="BN46" i="21"/>
  <c r="A46" i="21" s="1"/>
  <c r="CL20" i="20"/>
  <c r="O148" i="7"/>
  <c r="BV151" i="7"/>
  <c r="Q145" i="7"/>
  <c r="S145" i="7"/>
  <c r="AS127" i="16"/>
  <c r="X127" i="16" s="1"/>
  <c r="BN70" i="14"/>
  <c r="BN148" i="7"/>
  <c r="BN123" i="7"/>
  <c r="BN102" i="7"/>
  <c r="BN81" i="7"/>
  <c r="BN61" i="7"/>
  <c r="H65" i="7" s="1"/>
  <c r="A24" i="27" l="1"/>
  <c r="BN25" i="27"/>
  <c r="A24" i="23"/>
  <c r="BN25" i="23"/>
  <c r="BN48" i="22"/>
  <c r="A47" i="22"/>
  <c r="A24" i="22"/>
  <c r="BN25" i="22"/>
  <c r="A24" i="26"/>
  <c r="BN25" i="26"/>
  <c r="H16" i="18"/>
  <c r="I17" i="18"/>
  <c r="A24" i="20"/>
  <c r="BN25" i="20"/>
  <c r="S129" i="22"/>
  <c r="S128" i="22"/>
  <c r="O148" i="22"/>
  <c r="BV151" i="22"/>
  <c r="S145" i="22"/>
  <c r="S146" i="22" s="1"/>
  <c r="Q145" i="22"/>
  <c r="Q146" i="22" s="1"/>
  <c r="Q122" i="20"/>
  <c r="O106" i="20"/>
  <c r="S103" i="20"/>
  <c r="S104" i="20" s="1"/>
  <c r="BV109" i="20"/>
  <c r="Q103" i="20"/>
  <c r="Q104" i="20" s="1"/>
  <c r="S150" i="23"/>
  <c r="S149" i="23"/>
  <c r="Q143" i="21"/>
  <c r="S124" i="21"/>
  <c r="S125" i="21" s="1"/>
  <c r="O127" i="21"/>
  <c r="Q124" i="21"/>
  <c r="Q125" i="21" s="1"/>
  <c r="BV130" i="21"/>
  <c r="S108" i="21"/>
  <c r="S107" i="21"/>
  <c r="S86" i="20"/>
  <c r="S87" i="20"/>
  <c r="K138" i="21"/>
  <c r="K138" i="20"/>
  <c r="O87" i="20"/>
  <c r="O86" i="20"/>
  <c r="K97" i="20"/>
  <c r="O107" i="21"/>
  <c r="O108" i="21"/>
  <c r="K118" i="21"/>
  <c r="K139" i="22"/>
  <c r="O128" i="22"/>
  <c r="O129" i="22"/>
  <c r="O149" i="23"/>
  <c r="O150" i="23"/>
  <c r="BN26" i="29"/>
  <c r="A26" i="29" s="1"/>
  <c r="CL19" i="29"/>
  <c r="CL19" i="28"/>
  <c r="BN48" i="28"/>
  <c r="A48" i="28" s="1"/>
  <c r="BN27" i="28"/>
  <c r="A27" i="28" s="1"/>
  <c r="CL18" i="27"/>
  <c r="CL19" i="26"/>
  <c r="CL18" i="25"/>
  <c r="BN26" i="25"/>
  <c r="A26" i="25" s="1"/>
  <c r="BN47" i="25"/>
  <c r="A47" i="25" s="1"/>
  <c r="CL18" i="24"/>
  <c r="BN48" i="24"/>
  <c r="A48" i="24" s="1"/>
  <c r="BN27" i="24"/>
  <c r="A27" i="24" s="1"/>
  <c r="CL20" i="23"/>
  <c r="CL19" i="22"/>
  <c r="BN47" i="21"/>
  <c r="A47" i="21" s="1"/>
  <c r="BN25" i="21"/>
  <c r="A25" i="21" s="1"/>
  <c r="CL20" i="21"/>
  <c r="CL21" i="20"/>
  <c r="Q146" i="7"/>
  <c r="S146" i="7"/>
  <c r="AS128" i="16"/>
  <c r="X128" i="16" s="1"/>
  <c r="BN71" i="14"/>
  <c r="BN149" i="7"/>
  <c r="BN124" i="7"/>
  <c r="BN103" i="7"/>
  <c r="BN82" i="7"/>
  <c r="BN62" i="7"/>
  <c r="H66" i="7" s="1"/>
  <c r="AA44" i="16"/>
  <c r="G24" i="16"/>
  <c r="I2" i="40" s="1"/>
  <c r="G23" i="16"/>
  <c r="F2" i="40" s="1"/>
  <c r="G22" i="16"/>
  <c r="E2" i="40" s="1"/>
  <c r="AC56" i="16"/>
  <c r="AB1" i="16"/>
  <c r="Z56" i="16"/>
  <c r="AR25" i="16"/>
  <c r="AR26" i="16" s="1"/>
  <c r="A83" i="16"/>
  <c r="AC17" i="16"/>
  <c r="AB17" i="16"/>
  <c r="AA17" i="16"/>
  <c r="Z17" i="16"/>
  <c r="A53" i="16"/>
  <c r="W53" i="16" s="1"/>
  <c r="W54" i="16" s="1"/>
  <c r="W80" i="16" s="1"/>
  <c r="G20" i="16"/>
  <c r="D2" i="40" s="1"/>
  <c r="G19" i="16"/>
  <c r="C2" i="40" s="1"/>
  <c r="G18" i="16"/>
  <c r="G17" i="16"/>
  <c r="G16" i="16"/>
  <c r="B2" i="40" s="1"/>
  <c r="G14" i="16"/>
  <c r="G13" i="16"/>
  <c r="G12" i="16"/>
  <c r="G11" i="16"/>
  <c r="O7" i="16"/>
  <c r="A2" i="40" s="1"/>
  <c r="AL3" i="16"/>
  <c r="A25" i="22" l="1"/>
  <c r="BN26" i="22"/>
  <c r="A25" i="27"/>
  <c r="BN26" i="27"/>
  <c r="A25" i="20"/>
  <c r="BN26" i="20"/>
  <c r="H17" i="18"/>
  <c r="I18" i="18"/>
  <c r="A25" i="26"/>
  <c r="BN26" i="26"/>
  <c r="BN49" i="22"/>
  <c r="A48" i="22"/>
  <c r="A25" i="23"/>
  <c r="BN26" i="23"/>
  <c r="S107" i="20"/>
  <c r="S108" i="20"/>
  <c r="S150" i="22"/>
  <c r="S149" i="22"/>
  <c r="S124" i="20"/>
  <c r="S125" i="20" s="1"/>
  <c r="O127" i="20"/>
  <c r="BV130" i="20"/>
  <c r="Q143" i="20"/>
  <c r="Q124" i="20"/>
  <c r="Q125" i="20" s="1"/>
  <c r="S128" i="21"/>
  <c r="S129" i="21"/>
  <c r="BV151" i="21"/>
  <c r="O148" i="21"/>
  <c r="S145" i="21"/>
  <c r="S146" i="21" s="1"/>
  <c r="Q145" i="21"/>
  <c r="Q146" i="21" s="1"/>
  <c r="S17" i="16"/>
  <c r="O107" i="20"/>
  <c r="O108" i="20"/>
  <c r="K118" i="20"/>
  <c r="O149" i="22"/>
  <c r="O150" i="22"/>
  <c r="O129" i="21"/>
  <c r="O128" i="21"/>
  <c r="K139" i="21"/>
  <c r="CL20" i="29"/>
  <c r="BN27" i="29"/>
  <c r="A27" i="29" s="1"/>
  <c r="BN28" i="28"/>
  <c r="A28" i="28" s="1"/>
  <c r="BN49" i="28"/>
  <c r="A49" i="28" s="1"/>
  <c r="CL20" i="28"/>
  <c r="CL19" i="27"/>
  <c r="CL20" i="26"/>
  <c r="BN48" i="25"/>
  <c r="A48" i="25" s="1"/>
  <c r="BN27" i="25"/>
  <c r="A27" i="25" s="1"/>
  <c r="CL19" i="25"/>
  <c r="BN28" i="24"/>
  <c r="A28" i="24" s="1"/>
  <c r="BN49" i="24"/>
  <c r="A49" i="24" s="1"/>
  <c r="CL19" i="24"/>
  <c r="CL21" i="23"/>
  <c r="CL20" i="22"/>
  <c r="CL21" i="21"/>
  <c r="BN26" i="21"/>
  <c r="A26" i="21" s="1"/>
  <c r="BN48" i="21"/>
  <c r="A48" i="21" s="1"/>
  <c r="O90" i="16"/>
  <c r="O199" i="16"/>
  <c r="S19" i="16"/>
  <c r="M19" i="16" s="1"/>
  <c r="AS129" i="16"/>
  <c r="X129" i="16" s="1"/>
  <c r="BN150" i="7"/>
  <c r="BN125" i="7"/>
  <c r="BN104" i="7"/>
  <c r="BN83" i="7"/>
  <c r="BN63" i="7"/>
  <c r="H67" i="7" s="1"/>
  <c r="W79" i="16"/>
  <c r="X56" i="16"/>
  <c r="W56" i="16" s="1"/>
  <c r="W84" i="16" s="1"/>
  <c r="A26" i="23" l="1"/>
  <c r="BN27" i="23"/>
  <c r="A26" i="27"/>
  <c r="BN27" i="27"/>
  <c r="A26" i="26"/>
  <c r="BN27" i="26"/>
  <c r="H18" i="18"/>
  <c r="I19" i="18"/>
  <c r="C10" i="32"/>
  <c r="M12" i="32"/>
  <c r="BN50" i="22"/>
  <c r="A50" i="22" s="1"/>
  <c r="A49" i="22"/>
  <c r="A26" i="20"/>
  <c r="BN27" i="20"/>
  <c r="A26" i="22"/>
  <c r="BN27" i="22"/>
  <c r="C19" i="34"/>
  <c r="S149" i="21"/>
  <c r="S150" i="21"/>
  <c r="O148" i="20"/>
  <c r="BV151" i="20"/>
  <c r="S145" i="20"/>
  <c r="S146" i="20" s="1"/>
  <c r="Q145" i="20"/>
  <c r="Q146" i="20" s="1"/>
  <c r="S128" i="20"/>
  <c r="S129" i="20"/>
  <c r="M17" i="16"/>
  <c r="K2" i="40"/>
  <c r="O149" i="21"/>
  <c r="O150" i="21"/>
  <c r="O128" i="20"/>
  <c r="O129" i="20"/>
  <c r="K139" i="20"/>
  <c r="BN28" i="29"/>
  <c r="A28" i="29" s="1"/>
  <c r="CL21" i="29"/>
  <c r="BN50" i="28"/>
  <c r="A50" i="28" s="1"/>
  <c r="CL21" i="28"/>
  <c r="BN29" i="28"/>
  <c r="A29" i="28" s="1"/>
  <c r="CL20" i="27"/>
  <c r="CL21" i="26"/>
  <c r="CL20" i="25"/>
  <c r="BN28" i="25"/>
  <c r="A28" i="25" s="1"/>
  <c r="BN49" i="25"/>
  <c r="A49" i="25" s="1"/>
  <c r="CL20" i="24"/>
  <c r="BN50" i="24"/>
  <c r="A50" i="24" s="1"/>
  <c r="BN29" i="24"/>
  <c r="A29" i="24" s="1"/>
  <c r="U129" i="34" s="1"/>
  <c r="CL21" i="22"/>
  <c r="BN49" i="21"/>
  <c r="A49" i="21" s="1"/>
  <c r="BN27" i="21"/>
  <c r="A27" i="21" s="1"/>
  <c r="W147" i="16"/>
  <c r="W256" i="16" s="1"/>
  <c r="X148" i="16"/>
  <c r="Y148" i="16" s="1"/>
  <c r="AS130" i="16"/>
  <c r="X130" i="16" s="1"/>
  <c r="X99" i="16"/>
  <c r="W99" i="16" s="1"/>
  <c r="W114" i="16"/>
  <c r="X106" i="16"/>
  <c r="W113" i="16"/>
  <c r="X105" i="16"/>
  <c r="W112" i="16"/>
  <c r="X104" i="16"/>
  <c r="X103" i="16"/>
  <c r="X102" i="16"/>
  <c r="X101" i="16"/>
  <c r="X100" i="16"/>
  <c r="W85" i="16"/>
  <c r="W86" i="16" s="1"/>
  <c r="W87" i="16" s="1"/>
  <c r="W88" i="16" s="1"/>
  <c r="W89" i="16" s="1"/>
  <c r="W90" i="16" s="1"/>
  <c r="BN151" i="7"/>
  <c r="BN126" i="7"/>
  <c r="BN105" i="7"/>
  <c r="BN84" i="7"/>
  <c r="BN64" i="7"/>
  <c r="H68" i="7" s="1"/>
  <c r="W57" i="16"/>
  <c r="W74" i="16"/>
  <c r="C144" i="34" l="1"/>
  <c r="L144" i="34" s="1"/>
  <c r="C148" i="34"/>
  <c r="M81" i="34"/>
  <c r="C29" i="34"/>
  <c r="L29" i="34" s="1"/>
  <c r="U10" i="34"/>
  <c r="C109" i="34"/>
  <c r="C157" i="34"/>
  <c r="U79" i="34"/>
  <c r="M104" i="34"/>
  <c r="C33" i="34"/>
  <c r="U106" i="34"/>
  <c r="U55" i="34"/>
  <c r="M75" i="34"/>
  <c r="C134" i="34"/>
  <c r="M127" i="34"/>
  <c r="C19" i="35"/>
  <c r="U30" i="34"/>
  <c r="C58" i="34"/>
  <c r="U7" i="34"/>
  <c r="U37" i="34"/>
  <c r="G54" i="34"/>
  <c r="F54" i="34" s="1"/>
  <c r="U35" i="34"/>
  <c r="C56" i="34"/>
  <c r="M146" i="34"/>
  <c r="M77" i="34"/>
  <c r="C10" i="31"/>
  <c r="C12" i="31"/>
  <c r="C17" i="31"/>
  <c r="G8" i="31"/>
  <c r="F8" i="31" s="1"/>
  <c r="C8" i="31"/>
  <c r="M12" i="31"/>
  <c r="C155" i="34"/>
  <c r="U6" i="34"/>
  <c r="C86" i="34"/>
  <c r="C79" i="34"/>
  <c r="U9" i="34"/>
  <c r="U98" i="34"/>
  <c r="H19" i="18"/>
  <c r="I20" i="18"/>
  <c r="C31" i="34"/>
  <c r="D144" i="34"/>
  <c r="U152" i="34"/>
  <c r="U56" i="34"/>
  <c r="U104" i="34"/>
  <c r="C52" i="34"/>
  <c r="L52" i="34" s="1"/>
  <c r="U58" i="34"/>
  <c r="A27" i="23"/>
  <c r="BN28" i="23"/>
  <c r="C132" i="34"/>
  <c r="V136" i="34"/>
  <c r="C111" i="34"/>
  <c r="U127" i="34"/>
  <c r="U99" i="34"/>
  <c r="C127" i="34"/>
  <c r="C88" i="34"/>
  <c r="G146" i="34"/>
  <c r="F146" i="34" s="1"/>
  <c r="M123" i="34"/>
  <c r="M31" i="34"/>
  <c r="U145" i="34"/>
  <c r="U148" i="34"/>
  <c r="C77" i="34"/>
  <c r="V44" i="34"/>
  <c r="U83" i="34"/>
  <c r="V113" i="34"/>
  <c r="C65" i="34"/>
  <c r="M35" i="34"/>
  <c r="V21" i="34"/>
  <c r="U125" i="34"/>
  <c r="C54" i="34"/>
  <c r="A27" i="22"/>
  <c r="BN28" i="22"/>
  <c r="C40" i="34"/>
  <c r="D121" i="34"/>
  <c r="U122" i="34"/>
  <c r="M54" i="34"/>
  <c r="U81" i="34"/>
  <c r="U101" i="34"/>
  <c r="U52" i="34"/>
  <c r="G100" i="34"/>
  <c r="F100" i="34" s="1"/>
  <c r="A27" i="27"/>
  <c r="BN28" i="27"/>
  <c r="U29" i="34"/>
  <c r="U78" i="34"/>
  <c r="G123" i="34"/>
  <c r="F123" i="34" s="1"/>
  <c r="U60" i="34"/>
  <c r="U102" i="34"/>
  <c r="A27" i="20"/>
  <c r="BN28" i="20"/>
  <c r="U121" i="34"/>
  <c r="V90" i="34"/>
  <c r="D52" i="34"/>
  <c r="U32" i="34"/>
  <c r="U147" i="34"/>
  <c r="D75" i="34"/>
  <c r="U124" i="34"/>
  <c r="M100" i="34"/>
  <c r="M121" i="34"/>
  <c r="U144" i="34"/>
  <c r="C75" i="34"/>
  <c r="L75" i="34" s="1"/>
  <c r="C98" i="34"/>
  <c r="L98" i="34" s="1"/>
  <c r="D29" i="34"/>
  <c r="M98" i="34"/>
  <c r="C150" i="34"/>
  <c r="C42" i="34"/>
  <c r="M144" i="34"/>
  <c r="M150" i="34"/>
  <c r="C121" i="34"/>
  <c r="L121" i="34" s="1"/>
  <c r="U14" i="34"/>
  <c r="C146" i="34"/>
  <c r="G77" i="34"/>
  <c r="F77" i="34" s="1"/>
  <c r="U12" i="34"/>
  <c r="U53" i="34"/>
  <c r="V67" i="34"/>
  <c r="C35" i="34"/>
  <c r="U150" i="34"/>
  <c r="G31" i="34"/>
  <c r="F31" i="34" s="1"/>
  <c r="D98" i="34"/>
  <c r="C63" i="34"/>
  <c r="U76" i="34"/>
  <c r="C104" i="34"/>
  <c r="C102" i="34"/>
  <c r="M52" i="34"/>
  <c r="A27" i="26"/>
  <c r="BN28" i="26"/>
  <c r="U75" i="34"/>
  <c r="V159" i="34"/>
  <c r="M29" i="34"/>
  <c r="M58" i="34"/>
  <c r="C81" i="34"/>
  <c r="C125" i="34"/>
  <c r="C123" i="34"/>
  <c r="C100" i="34"/>
  <c r="U33" i="34"/>
  <c r="S150" i="20"/>
  <c r="S149" i="20"/>
  <c r="O149" i="20"/>
  <c r="O150" i="20"/>
  <c r="BN29" i="29"/>
  <c r="A29" i="29" s="1"/>
  <c r="CL21" i="27"/>
  <c r="BN50" i="25"/>
  <c r="A50" i="25" s="1"/>
  <c r="BN29" i="25"/>
  <c r="A29" i="25" s="1"/>
  <c r="U29" i="35" s="1"/>
  <c r="CL21" i="25"/>
  <c r="CL21" i="24"/>
  <c r="BN28" i="21"/>
  <c r="A28" i="21" s="1"/>
  <c r="BN50" i="21"/>
  <c r="A50" i="21" s="1"/>
  <c r="W91" i="16"/>
  <c r="W92" i="16" s="1"/>
  <c r="W93" i="16" s="1"/>
  <c r="W94" i="16" s="1"/>
  <c r="W95" i="16" s="1"/>
  <c r="W96" i="16" s="1"/>
  <c r="W97" i="16" s="1"/>
  <c r="W98" i="16" s="1"/>
  <c r="X90" i="16"/>
  <c r="X7" i="16" s="1"/>
  <c r="AS131" i="16"/>
  <c r="X131" i="16" s="1"/>
  <c r="BN152" i="7"/>
  <c r="BN127" i="7"/>
  <c r="BN106" i="7"/>
  <c r="BN85" i="7"/>
  <c r="BN65" i="7"/>
  <c r="H69" i="7" s="1"/>
  <c r="W58" i="16"/>
  <c r="W75" i="16"/>
  <c r="C42" i="35" l="1"/>
  <c r="U30" i="35"/>
  <c r="A28" i="26"/>
  <c r="U99" i="36" s="1"/>
  <c r="BN29" i="26"/>
  <c r="A29" i="26" s="1"/>
  <c r="C134" i="36" s="1"/>
  <c r="G100" i="35"/>
  <c r="F100" i="35" s="1"/>
  <c r="V136" i="35"/>
  <c r="C98" i="35"/>
  <c r="L98" i="35" s="1"/>
  <c r="D52" i="35"/>
  <c r="U75" i="35"/>
  <c r="C54" i="35"/>
  <c r="C157" i="35"/>
  <c r="U104" i="35"/>
  <c r="C125" i="35"/>
  <c r="G54" i="35"/>
  <c r="F54" i="35" s="1"/>
  <c r="G77" i="35"/>
  <c r="F77" i="35" s="1"/>
  <c r="U58" i="35"/>
  <c r="U127" i="35"/>
  <c r="M81" i="35"/>
  <c r="C148" i="35"/>
  <c r="U32" i="35"/>
  <c r="U55" i="35"/>
  <c r="C10" i="30"/>
  <c r="C8" i="30"/>
  <c r="G8" i="30"/>
  <c r="F8" i="30" s="1"/>
  <c r="M12" i="30"/>
  <c r="M8" i="30"/>
  <c r="V21" i="35"/>
  <c r="A28" i="27"/>
  <c r="G77" i="37" s="1"/>
  <c r="F77" i="37" s="1"/>
  <c r="BN29" i="27"/>
  <c r="A29" i="27" s="1"/>
  <c r="U75" i="37" s="1"/>
  <c r="M52" i="36"/>
  <c r="A28" i="22"/>
  <c r="C144" i="32" s="1"/>
  <c r="L144" i="32" s="1"/>
  <c r="BN29" i="22"/>
  <c r="A29" i="22" s="1"/>
  <c r="C33" i="32" s="1"/>
  <c r="C29" i="36"/>
  <c r="L29" i="36" s="1"/>
  <c r="V44" i="35"/>
  <c r="U7" i="35"/>
  <c r="C75" i="32"/>
  <c r="L75" i="32" s="1"/>
  <c r="H18" i="34"/>
  <c r="H13" i="34"/>
  <c r="U152" i="36"/>
  <c r="U106" i="36"/>
  <c r="U147" i="36"/>
  <c r="C56" i="36"/>
  <c r="U122" i="36"/>
  <c r="C121" i="36"/>
  <c r="L121" i="36" s="1"/>
  <c r="U60" i="36"/>
  <c r="U7" i="36"/>
  <c r="U58" i="36"/>
  <c r="U55" i="36"/>
  <c r="C31" i="36"/>
  <c r="A28" i="20"/>
  <c r="BN29" i="20"/>
  <c r="A29" i="20" s="1"/>
  <c r="V67" i="37"/>
  <c r="U30" i="37"/>
  <c r="U152" i="37"/>
  <c r="D29" i="37"/>
  <c r="C54" i="37"/>
  <c r="C132" i="37"/>
  <c r="U53" i="37"/>
  <c r="C125" i="37"/>
  <c r="U122" i="37"/>
  <c r="U56" i="37"/>
  <c r="M54" i="37"/>
  <c r="M77" i="37"/>
  <c r="G31" i="37"/>
  <c r="F31" i="37" s="1"/>
  <c r="V44" i="37"/>
  <c r="C33" i="37"/>
  <c r="M104" i="37"/>
  <c r="C150" i="37"/>
  <c r="C42" i="37"/>
  <c r="U127" i="37"/>
  <c r="M144" i="37"/>
  <c r="C121" i="37"/>
  <c r="L121" i="37" s="1"/>
  <c r="U56" i="32"/>
  <c r="C52" i="32"/>
  <c r="L52" i="32" s="1"/>
  <c r="U106" i="32"/>
  <c r="M29" i="32"/>
  <c r="U147" i="32"/>
  <c r="U150" i="32"/>
  <c r="M127" i="35"/>
  <c r="U104" i="32"/>
  <c r="C88" i="32"/>
  <c r="M98" i="36"/>
  <c r="C63" i="36"/>
  <c r="U76" i="36"/>
  <c r="C40" i="36"/>
  <c r="V113" i="36"/>
  <c r="U56" i="36"/>
  <c r="C127" i="36"/>
  <c r="U101" i="36"/>
  <c r="D98" i="36"/>
  <c r="U52" i="36"/>
  <c r="C146" i="36"/>
  <c r="U37" i="36"/>
  <c r="D29" i="35"/>
  <c r="C63" i="35"/>
  <c r="H20" i="18"/>
  <c r="I21" i="18"/>
  <c r="G77" i="32"/>
  <c r="F77" i="32" s="1"/>
  <c r="M35" i="36"/>
  <c r="V90" i="36"/>
  <c r="C81" i="36"/>
  <c r="C86" i="36"/>
  <c r="C79" i="36"/>
  <c r="D75" i="36"/>
  <c r="C102" i="36"/>
  <c r="M127" i="36"/>
  <c r="U78" i="36"/>
  <c r="C54" i="36"/>
  <c r="M31" i="36"/>
  <c r="M58" i="35"/>
  <c r="C58" i="35"/>
  <c r="C148" i="36"/>
  <c r="C104" i="36"/>
  <c r="U124" i="36"/>
  <c r="U129" i="36"/>
  <c r="D144" i="36"/>
  <c r="C125" i="36"/>
  <c r="C19" i="36"/>
  <c r="G123" i="36"/>
  <c r="F123" i="36" s="1"/>
  <c r="C155" i="36"/>
  <c r="M104" i="36"/>
  <c r="I75" i="34"/>
  <c r="D89" i="34"/>
  <c r="I89" i="34" s="1"/>
  <c r="K75" i="34"/>
  <c r="C98" i="36"/>
  <c r="L98" i="36" s="1"/>
  <c r="U124" i="35"/>
  <c r="C19" i="31"/>
  <c r="G31" i="36"/>
  <c r="F31" i="36" s="1"/>
  <c r="C111" i="36"/>
  <c r="U121" i="36"/>
  <c r="U32" i="36"/>
  <c r="U30" i="36"/>
  <c r="M123" i="36"/>
  <c r="U9" i="36"/>
  <c r="V44" i="36"/>
  <c r="C33" i="36"/>
  <c r="D43" i="34"/>
  <c r="I43" i="34" s="1"/>
  <c r="K29" i="34"/>
  <c r="I29" i="34"/>
  <c r="M100" i="36"/>
  <c r="M75" i="35"/>
  <c r="M77" i="36"/>
  <c r="C77" i="36"/>
  <c r="M81" i="36"/>
  <c r="U33" i="36"/>
  <c r="G100" i="36"/>
  <c r="F100" i="36" s="1"/>
  <c r="C58" i="36"/>
  <c r="U14" i="36"/>
  <c r="U6" i="36"/>
  <c r="C150" i="36"/>
  <c r="M150" i="36"/>
  <c r="U150" i="36"/>
  <c r="K98" i="34"/>
  <c r="I98" i="34"/>
  <c r="D112" i="34"/>
  <c r="I112" i="34" s="1"/>
  <c r="D66" i="34"/>
  <c r="I66" i="34" s="1"/>
  <c r="I52" i="34"/>
  <c r="K52" i="34"/>
  <c r="D135" i="34"/>
  <c r="I135" i="34" s="1"/>
  <c r="K121" i="34"/>
  <c r="I121" i="34"/>
  <c r="C134" i="35"/>
  <c r="A28" i="23"/>
  <c r="BN29" i="23"/>
  <c r="A29" i="23" s="1"/>
  <c r="K144" i="34"/>
  <c r="I144" i="34"/>
  <c r="D158" i="34"/>
  <c r="I158" i="34" s="1"/>
  <c r="C35" i="32"/>
  <c r="D29" i="32"/>
  <c r="V67" i="36"/>
  <c r="V113" i="31"/>
  <c r="C58" i="32"/>
  <c r="V136" i="36"/>
  <c r="U145" i="36"/>
  <c r="U148" i="36"/>
  <c r="U144" i="36"/>
  <c r="C52" i="36"/>
  <c r="L52" i="36" s="1"/>
  <c r="M144" i="36"/>
  <c r="C100" i="36"/>
  <c r="U79" i="36"/>
  <c r="M54" i="36"/>
  <c r="U10" i="36"/>
  <c r="U32" i="32"/>
  <c r="BN29" i="21"/>
  <c r="A29" i="21" s="1"/>
  <c r="D144" i="31" s="1"/>
  <c r="S90" i="16"/>
  <c r="AS132" i="16"/>
  <c r="X132" i="16" s="1"/>
  <c r="BN153" i="7"/>
  <c r="BN128" i="7"/>
  <c r="BN107" i="7"/>
  <c r="BN86" i="7"/>
  <c r="BN66" i="7"/>
  <c r="W59" i="16"/>
  <c r="W76" i="16"/>
  <c r="D52" i="31" l="1"/>
  <c r="M75" i="32"/>
  <c r="C111" i="37"/>
  <c r="M58" i="37"/>
  <c r="G123" i="37"/>
  <c r="F123" i="37" s="1"/>
  <c r="U6" i="31"/>
  <c r="D52" i="32"/>
  <c r="D66" i="32" s="1"/>
  <c r="I66" i="32" s="1"/>
  <c r="D98" i="37"/>
  <c r="D112" i="37" s="1"/>
  <c r="I112" i="37" s="1"/>
  <c r="U52" i="37"/>
  <c r="C77" i="37"/>
  <c r="C77" i="32"/>
  <c r="U78" i="37"/>
  <c r="C127" i="37"/>
  <c r="G146" i="37"/>
  <c r="F146" i="37" s="1"/>
  <c r="U35" i="32"/>
  <c r="U29" i="32"/>
  <c r="V113" i="32"/>
  <c r="D52" i="37"/>
  <c r="U129" i="37"/>
  <c r="U55" i="30"/>
  <c r="U99" i="32"/>
  <c r="U52" i="32"/>
  <c r="C148" i="37"/>
  <c r="D75" i="37"/>
  <c r="K75" i="37" s="1"/>
  <c r="U10" i="37"/>
  <c r="U76" i="32"/>
  <c r="U144" i="37"/>
  <c r="U99" i="37"/>
  <c r="U12" i="37"/>
  <c r="U10" i="32"/>
  <c r="V159" i="32"/>
  <c r="G100" i="37"/>
  <c r="F100" i="37" s="1"/>
  <c r="M58" i="32"/>
  <c r="M35" i="32"/>
  <c r="U76" i="37"/>
  <c r="C109" i="37"/>
  <c r="U35" i="37"/>
  <c r="U98" i="32"/>
  <c r="M35" i="37"/>
  <c r="C42" i="32"/>
  <c r="C157" i="32"/>
  <c r="C65" i="32"/>
  <c r="U129" i="32"/>
  <c r="C98" i="32"/>
  <c r="L98" i="32" s="1"/>
  <c r="M31" i="32"/>
  <c r="U150" i="37"/>
  <c r="C146" i="37"/>
  <c r="C40" i="37"/>
  <c r="M127" i="32"/>
  <c r="M104" i="33"/>
  <c r="U101" i="32"/>
  <c r="C86" i="32"/>
  <c r="D144" i="37"/>
  <c r="I144" i="37" s="1"/>
  <c r="U124" i="37"/>
  <c r="U148" i="37"/>
  <c r="U78" i="32"/>
  <c r="C81" i="32"/>
  <c r="U81" i="32"/>
  <c r="C102" i="32"/>
  <c r="V113" i="37"/>
  <c r="C155" i="37"/>
  <c r="U121" i="37"/>
  <c r="M54" i="32"/>
  <c r="U6" i="32"/>
  <c r="U9" i="32"/>
  <c r="G31" i="32"/>
  <c r="F31" i="32" s="1"/>
  <c r="C19" i="37"/>
  <c r="C144" i="37"/>
  <c r="L144" i="37" s="1"/>
  <c r="I144" i="31"/>
  <c r="D158" i="31"/>
  <c r="I158" i="31" s="1"/>
  <c r="K144" i="31"/>
  <c r="C132" i="31"/>
  <c r="K29" i="32"/>
  <c r="D43" i="32"/>
  <c r="I43" i="32" s="1"/>
  <c r="I29" i="32"/>
  <c r="C121" i="31"/>
  <c r="L121" i="31" s="1"/>
  <c r="M144" i="31"/>
  <c r="M77" i="31"/>
  <c r="D75" i="31"/>
  <c r="U30" i="31"/>
  <c r="G31" i="31"/>
  <c r="F31" i="31" s="1"/>
  <c r="M150" i="31"/>
  <c r="C40" i="31"/>
  <c r="U144" i="31"/>
  <c r="U60" i="31"/>
  <c r="U127" i="31"/>
  <c r="U144" i="32"/>
  <c r="C157" i="30"/>
  <c r="M75" i="30"/>
  <c r="U104" i="30"/>
  <c r="G31" i="30"/>
  <c r="F31" i="30" s="1"/>
  <c r="D144" i="30"/>
  <c r="G100" i="30"/>
  <c r="F100" i="30" s="1"/>
  <c r="C29" i="30"/>
  <c r="L29" i="30" s="1"/>
  <c r="C125" i="30"/>
  <c r="U29" i="30"/>
  <c r="C104" i="30"/>
  <c r="U125" i="30"/>
  <c r="C134" i="30"/>
  <c r="U75" i="30"/>
  <c r="U106" i="30"/>
  <c r="M81" i="30"/>
  <c r="C77" i="31"/>
  <c r="U129" i="31"/>
  <c r="M127" i="33"/>
  <c r="U76" i="33"/>
  <c r="D121" i="33"/>
  <c r="U129" i="33"/>
  <c r="M81" i="33"/>
  <c r="U104" i="33"/>
  <c r="U121" i="33"/>
  <c r="C54" i="33"/>
  <c r="U29" i="33"/>
  <c r="V90" i="33"/>
  <c r="M121" i="33"/>
  <c r="C81" i="33"/>
  <c r="U99" i="33"/>
  <c r="M100" i="33"/>
  <c r="C125" i="32"/>
  <c r="D66" i="31"/>
  <c r="I66" i="31" s="1"/>
  <c r="K52" i="31"/>
  <c r="I52" i="31"/>
  <c r="C75" i="31"/>
  <c r="L75" i="31" s="1"/>
  <c r="U55" i="31"/>
  <c r="C42" i="31"/>
  <c r="U104" i="31"/>
  <c r="C155" i="31"/>
  <c r="D98" i="31"/>
  <c r="U12" i="31"/>
  <c r="D43" i="37"/>
  <c r="I43" i="37" s="1"/>
  <c r="I29" i="37"/>
  <c r="K29" i="37"/>
  <c r="M104" i="31"/>
  <c r="C157" i="31"/>
  <c r="U33" i="32"/>
  <c r="U58" i="30"/>
  <c r="U35" i="30"/>
  <c r="U52" i="30"/>
  <c r="U121" i="30"/>
  <c r="C155" i="30"/>
  <c r="M127" i="30"/>
  <c r="U144" i="30"/>
  <c r="C111" i="30"/>
  <c r="U124" i="30"/>
  <c r="M35" i="30"/>
  <c r="G54" i="30"/>
  <c r="F54" i="30" s="1"/>
  <c r="U7" i="30"/>
  <c r="U56" i="30"/>
  <c r="U102" i="30"/>
  <c r="U9" i="30"/>
  <c r="C127" i="31"/>
  <c r="M146" i="31"/>
  <c r="U52" i="33"/>
  <c r="U102" i="33"/>
  <c r="M98" i="33"/>
  <c r="M35" i="33"/>
  <c r="V113" i="33"/>
  <c r="C102" i="33"/>
  <c r="C123" i="33"/>
  <c r="U10" i="33"/>
  <c r="U37" i="33"/>
  <c r="V67" i="33"/>
  <c r="C56" i="33"/>
  <c r="C121" i="33"/>
  <c r="L121" i="33" s="1"/>
  <c r="V44" i="33"/>
  <c r="U32" i="33"/>
  <c r="M35" i="31"/>
  <c r="C123" i="31"/>
  <c r="C63" i="31"/>
  <c r="H13" i="36"/>
  <c r="H18" i="36"/>
  <c r="U9" i="31"/>
  <c r="M54" i="31"/>
  <c r="K76" i="34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I90" i="34"/>
  <c r="I91" i="34" s="1"/>
  <c r="I92" i="34" s="1"/>
  <c r="U86" i="34"/>
  <c r="U87" i="34" s="1"/>
  <c r="T88" i="34" s="1"/>
  <c r="K144" i="36"/>
  <c r="D158" i="36"/>
  <c r="I158" i="36" s="1"/>
  <c r="I144" i="36"/>
  <c r="C81" i="31"/>
  <c r="M31" i="31"/>
  <c r="M100" i="31"/>
  <c r="G100" i="31"/>
  <c r="F100" i="31" s="1"/>
  <c r="U78" i="31"/>
  <c r="K52" i="32"/>
  <c r="C35" i="31"/>
  <c r="U122" i="31"/>
  <c r="V159" i="30"/>
  <c r="U83" i="30"/>
  <c r="V67" i="30"/>
  <c r="M146" i="30"/>
  <c r="C146" i="30"/>
  <c r="V113" i="30"/>
  <c r="M58" i="30"/>
  <c r="M31" i="30"/>
  <c r="U14" i="30"/>
  <c r="U6" i="30"/>
  <c r="U78" i="30"/>
  <c r="D121" i="30"/>
  <c r="C75" i="30"/>
  <c r="L75" i="30" s="1"/>
  <c r="C54" i="30"/>
  <c r="U53" i="36"/>
  <c r="M75" i="31"/>
  <c r="V159" i="31"/>
  <c r="C29" i="33"/>
  <c r="L29" i="33" s="1"/>
  <c r="U106" i="33"/>
  <c r="C75" i="33"/>
  <c r="L75" i="33" s="1"/>
  <c r="C155" i="33"/>
  <c r="V21" i="33"/>
  <c r="G146" i="33"/>
  <c r="F146" i="33" s="1"/>
  <c r="C109" i="33"/>
  <c r="U14" i="33"/>
  <c r="C157" i="33"/>
  <c r="U9" i="33"/>
  <c r="C42" i="33"/>
  <c r="U127" i="33"/>
  <c r="C79" i="33"/>
  <c r="C144" i="33"/>
  <c r="L144" i="33" s="1"/>
  <c r="U56" i="31"/>
  <c r="C134" i="31"/>
  <c r="D29" i="31"/>
  <c r="C150" i="31"/>
  <c r="U79" i="31"/>
  <c r="U125" i="31"/>
  <c r="I98" i="36"/>
  <c r="D112" i="36"/>
  <c r="I112" i="36" s="1"/>
  <c r="K98" i="36"/>
  <c r="M52" i="31"/>
  <c r="U35" i="31"/>
  <c r="K144" i="37"/>
  <c r="D158" i="37"/>
  <c r="I158" i="37" s="1"/>
  <c r="U83" i="31"/>
  <c r="C29" i="31"/>
  <c r="L29" i="31" s="1"/>
  <c r="U152" i="32"/>
  <c r="V159" i="37"/>
  <c r="U81" i="37"/>
  <c r="M29" i="37"/>
  <c r="M123" i="37"/>
  <c r="U58" i="37"/>
  <c r="U104" i="37"/>
  <c r="M144" i="30"/>
  <c r="M29" i="30"/>
  <c r="U145" i="30"/>
  <c r="M100" i="30"/>
  <c r="U76" i="30"/>
  <c r="M121" i="30"/>
  <c r="C123" i="30"/>
  <c r="C33" i="30"/>
  <c r="U32" i="30"/>
  <c r="C127" i="30"/>
  <c r="G123" i="30"/>
  <c r="F123" i="30" s="1"/>
  <c r="U53" i="30"/>
  <c r="C35" i="30"/>
  <c r="M104" i="30"/>
  <c r="C81" i="30"/>
  <c r="D66" i="35"/>
  <c r="I66" i="35" s="1"/>
  <c r="I52" i="35"/>
  <c r="K52" i="35"/>
  <c r="C125" i="31"/>
  <c r="V67" i="32"/>
  <c r="C127" i="33"/>
  <c r="C31" i="33"/>
  <c r="C77" i="33"/>
  <c r="U30" i="33"/>
  <c r="G54" i="33"/>
  <c r="F54" i="33" s="1"/>
  <c r="U79" i="33"/>
  <c r="U78" i="33"/>
  <c r="D52" i="33"/>
  <c r="C132" i="33"/>
  <c r="C150" i="33"/>
  <c r="D144" i="33"/>
  <c r="C104" i="33"/>
  <c r="G77" i="33"/>
  <c r="F77" i="33" s="1"/>
  <c r="C40" i="33"/>
  <c r="C56" i="31"/>
  <c r="U63" i="34"/>
  <c r="U64" i="34" s="1"/>
  <c r="T65" i="34" s="1"/>
  <c r="I67" i="34"/>
  <c r="I68" i="34" s="1"/>
  <c r="I69" i="34" s="1"/>
  <c r="K53" i="34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V136" i="31"/>
  <c r="K122" i="34"/>
  <c r="K123" i="34" s="1"/>
  <c r="K124" i="34" s="1"/>
  <c r="K125" i="34" s="1"/>
  <c r="K126" i="34" s="1"/>
  <c r="K127" i="34" s="1"/>
  <c r="K128" i="34" s="1"/>
  <c r="K129" i="34" s="1"/>
  <c r="K130" i="34" s="1"/>
  <c r="K131" i="34" s="1"/>
  <c r="K132" i="34" s="1"/>
  <c r="K133" i="34" s="1"/>
  <c r="K134" i="34" s="1"/>
  <c r="K135" i="34" s="1"/>
  <c r="I136" i="34"/>
  <c r="I137" i="34" s="1"/>
  <c r="I138" i="34" s="1"/>
  <c r="U132" i="34"/>
  <c r="U133" i="34" s="1"/>
  <c r="T134" i="34" s="1"/>
  <c r="C79" i="31"/>
  <c r="V21" i="31"/>
  <c r="C86" i="31"/>
  <c r="M58" i="31"/>
  <c r="I159" i="34"/>
  <c r="I160" i="34" s="1"/>
  <c r="I161" i="34" s="1"/>
  <c r="U155" i="34"/>
  <c r="U156" i="34" s="1"/>
  <c r="T157" i="34" s="1"/>
  <c r="K145" i="34"/>
  <c r="K146" i="34" s="1"/>
  <c r="K147" i="34" s="1"/>
  <c r="K148" i="34" s="1"/>
  <c r="K149" i="34" s="1"/>
  <c r="K150" i="34" s="1"/>
  <c r="K151" i="34" s="1"/>
  <c r="K152" i="34" s="1"/>
  <c r="K153" i="34" s="1"/>
  <c r="K154" i="34" s="1"/>
  <c r="K155" i="34" s="1"/>
  <c r="K156" i="34" s="1"/>
  <c r="K157" i="34" s="1"/>
  <c r="K158" i="34" s="1"/>
  <c r="G54" i="31"/>
  <c r="F54" i="31" s="1"/>
  <c r="U124" i="31"/>
  <c r="U106" i="31"/>
  <c r="C146" i="31"/>
  <c r="C100" i="31"/>
  <c r="C148" i="31"/>
  <c r="D89" i="36"/>
  <c r="I89" i="36" s="1"/>
  <c r="I75" i="36"/>
  <c r="K75" i="36"/>
  <c r="C31" i="31"/>
  <c r="U29" i="31"/>
  <c r="H21" i="18"/>
  <c r="I22" i="18"/>
  <c r="U76" i="31"/>
  <c r="M127" i="31"/>
  <c r="G146" i="32"/>
  <c r="F146" i="32" s="1"/>
  <c r="U81" i="30"/>
  <c r="U12" i="30"/>
  <c r="U30" i="30"/>
  <c r="C150" i="30"/>
  <c r="M98" i="30"/>
  <c r="U98" i="30"/>
  <c r="C31" i="30"/>
  <c r="C79" i="30"/>
  <c r="C19" i="30"/>
  <c r="D98" i="30"/>
  <c r="D52" i="30"/>
  <c r="D75" i="30"/>
  <c r="C77" i="30"/>
  <c r="C56" i="30"/>
  <c r="C146" i="32"/>
  <c r="G123" i="31"/>
  <c r="F123" i="31" s="1"/>
  <c r="U55" i="32"/>
  <c r="M150" i="33"/>
  <c r="U122" i="33"/>
  <c r="C19" i="33"/>
  <c r="V159" i="33"/>
  <c r="U124" i="33"/>
  <c r="V136" i="33"/>
  <c r="M52" i="33"/>
  <c r="U6" i="33"/>
  <c r="U152" i="33"/>
  <c r="C86" i="33"/>
  <c r="U150" i="33"/>
  <c r="U144" i="33"/>
  <c r="U98" i="33"/>
  <c r="U81" i="33"/>
  <c r="V44" i="31"/>
  <c r="U37" i="31"/>
  <c r="M121" i="31"/>
  <c r="C65" i="31"/>
  <c r="U145" i="31"/>
  <c r="C102" i="31"/>
  <c r="U81" i="31"/>
  <c r="U58" i="31"/>
  <c r="C144" i="31"/>
  <c r="L144" i="31" s="1"/>
  <c r="U10" i="31"/>
  <c r="U98" i="31"/>
  <c r="U52" i="31"/>
  <c r="C98" i="31"/>
  <c r="L98" i="31" s="1"/>
  <c r="M81" i="31"/>
  <c r="U14" i="31"/>
  <c r="M52" i="30"/>
  <c r="V90" i="30"/>
  <c r="V136" i="30"/>
  <c r="C148" i="30"/>
  <c r="U148" i="30"/>
  <c r="C144" i="30"/>
  <c r="L144" i="30" s="1"/>
  <c r="C109" i="30"/>
  <c r="U10" i="30"/>
  <c r="C132" i="30"/>
  <c r="U127" i="30"/>
  <c r="C102" i="30"/>
  <c r="M77" i="30"/>
  <c r="D29" i="30"/>
  <c r="C86" i="30"/>
  <c r="C100" i="30"/>
  <c r="U53" i="31"/>
  <c r="M123" i="31"/>
  <c r="M31" i="33"/>
  <c r="C100" i="33"/>
  <c r="C52" i="33"/>
  <c r="L52" i="33" s="1"/>
  <c r="M58" i="33"/>
  <c r="U145" i="33"/>
  <c r="M146" i="33"/>
  <c r="C134" i="33"/>
  <c r="C35" i="33"/>
  <c r="M123" i="33"/>
  <c r="C111" i="33"/>
  <c r="U83" i="33"/>
  <c r="C98" i="33"/>
  <c r="L98" i="33" s="1"/>
  <c r="U55" i="33"/>
  <c r="C148" i="33"/>
  <c r="U101" i="31"/>
  <c r="U150" i="31"/>
  <c r="U58" i="33"/>
  <c r="D98" i="33"/>
  <c r="I113" i="34"/>
  <c r="I114" i="34" s="1"/>
  <c r="I115" i="34" s="1"/>
  <c r="K99" i="34"/>
  <c r="K100" i="34" s="1"/>
  <c r="K101" i="34" s="1"/>
  <c r="K102" i="34" s="1"/>
  <c r="K103" i="34" s="1"/>
  <c r="K104" i="34" s="1"/>
  <c r="K105" i="34" s="1"/>
  <c r="K106" i="34" s="1"/>
  <c r="K107" i="34" s="1"/>
  <c r="K108" i="34" s="1"/>
  <c r="K109" i="34" s="1"/>
  <c r="K110" i="34" s="1"/>
  <c r="K111" i="34" s="1"/>
  <c r="K112" i="34" s="1"/>
  <c r="U109" i="34"/>
  <c r="U110" i="34" s="1"/>
  <c r="T111" i="34" s="1"/>
  <c r="C104" i="31"/>
  <c r="U148" i="31"/>
  <c r="U40" i="34"/>
  <c r="U41" i="34" s="1"/>
  <c r="T42" i="34" s="1"/>
  <c r="I44" i="34"/>
  <c r="I45" i="34" s="1"/>
  <c r="I46" i="34" s="1"/>
  <c r="K30" i="34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U99" i="31"/>
  <c r="D121" i="31"/>
  <c r="C111" i="31"/>
  <c r="U152" i="31"/>
  <c r="V67" i="31"/>
  <c r="U147" i="31"/>
  <c r="C54" i="31"/>
  <c r="C88" i="31"/>
  <c r="C33" i="31"/>
  <c r="U7" i="31"/>
  <c r="M121" i="32"/>
  <c r="D75" i="32"/>
  <c r="M52" i="32"/>
  <c r="U124" i="32"/>
  <c r="G54" i="32"/>
  <c r="F54" i="32" s="1"/>
  <c r="M98" i="32"/>
  <c r="M150" i="32"/>
  <c r="U37" i="32"/>
  <c r="C123" i="32"/>
  <c r="C111" i="32"/>
  <c r="M104" i="32"/>
  <c r="U121" i="32"/>
  <c r="C100" i="32"/>
  <c r="C121" i="32"/>
  <c r="L121" i="32" s="1"/>
  <c r="V44" i="32"/>
  <c r="D98" i="32"/>
  <c r="V136" i="32"/>
  <c r="C40" i="32"/>
  <c r="U83" i="32"/>
  <c r="U102" i="32"/>
  <c r="U79" i="32"/>
  <c r="C56" i="32"/>
  <c r="U53" i="32"/>
  <c r="C104" i="32"/>
  <c r="D144" i="32"/>
  <c r="G100" i="32"/>
  <c r="F100" i="32" s="1"/>
  <c r="U30" i="32"/>
  <c r="C127" i="32"/>
  <c r="C134" i="32"/>
  <c r="C155" i="32"/>
  <c r="U127" i="32"/>
  <c r="U125" i="32"/>
  <c r="C31" i="32"/>
  <c r="U60" i="32"/>
  <c r="U145" i="32"/>
  <c r="M77" i="32"/>
  <c r="C54" i="32"/>
  <c r="U75" i="32"/>
  <c r="C109" i="32"/>
  <c r="C19" i="32"/>
  <c r="M123" i="32"/>
  <c r="U148" i="32"/>
  <c r="C29" i="32"/>
  <c r="L29" i="32" s="1"/>
  <c r="U7" i="32"/>
  <c r="H13" i="32" s="1"/>
  <c r="U58" i="32"/>
  <c r="C79" i="32"/>
  <c r="U14" i="32"/>
  <c r="G123" i="32"/>
  <c r="F123" i="32" s="1"/>
  <c r="C63" i="32"/>
  <c r="D121" i="32"/>
  <c r="M81" i="32"/>
  <c r="U12" i="32"/>
  <c r="M146" i="32"/>
  <c r="M144" i="32"/>
  <c r="V21" i="32"/>
  <c r="C150" i="32"/>
  <c r="V90" i="32"/>
  <c r="C132" i="32"/>
  <c r="U122" i="32"/>
  <c r="M100" i="32"/>
  <c r="C148" i="32"/>
  <c r="V21" i="30"/>
  <c r="U33" i="30"/>
  <c r="V44" i="30"/>
  <c r="U129" i="30"/>
  <c r="G146" i="30"/>
  <c r="F146" i="30" s="1"/>
  <c r="M54" i="30"/>
  <c r="M150" i="30"/>
  <c r="C58" i="30"/>
  <c r="U122" i="30"/>
  <c r="U99" i="30"/>
  <c r="U60" i="30"/>
  <c r="C98" i="30"/>
  <c r="L98" i="30" s="1"/>
  <c r="C63" i="30"/>
  <c r="C58" i="31"/>
  <c r="G77" i="31"/>
  <c r="F77" i="31" s="1"/>
  <c r="C146" i="33"/>
  <c r="C63" i="33"/>
  <c r="M29" i="33"/>
  <c r="M77" i="33"/>
  <c r="C65" i="33"/>
  <c r="C58" i="33"/>
  <c r="D75" i="33"/>
  <c r="M75" i="33"/>
  <c r="U60" i="33"/>
  <c r="U12" i="33"/>
  <c r="C33" i="33"/>
  <c r="G31" i="33"/>
  <c r="F31" i="33" s="1"/>
  <c r="U35" i="33"/>
  <c r="D29" i="33"/>
  <c r="M144" i="33"/>
  <c r="U121" i="31"/>
  <c r="G146" i="31"/>
  <c r="F146" i="31" s="1"/>
  <c r="M98" i="31"/>
  <c r="U75" i="31"/>
  <c r="V90" i="31"/>
  <c r="C52" i="31"/>
  <c r="L52" i="31" s="1"/>
  <c r="I29" i="35"/>
  <c r="D43" i="35"/>
  <c r="I43" i="35" s="1"/>
  <c r="K29" i="35"/>
  <c r="U33" i="31"/>
  <c r="M29" i="31"/>
  <c r="D66" i="37"/>
  <c r="I66" i="37" s="1"/>
  <c r="K52" i="37"/>
  <c r="I52" i="37"/>
  <c r="U32" i="31"/>
  <c r="C109" i="31"/>
  <c r="C52" i="30"/>
  <c r="L52" i="30" s="1"/>
  <c r="U150" i="30"/>
  <c r="C88" i="30"/>
  <c r="G77" i="30"/>
  <c r="F77" i="30" s="1"/>
  <c r="U152" i="30"/>
  <c r="C42" i="30"/>
  <c r="U147" i="30"/>
  <c r="C121" i="30"/>
  <c r="L121" i="30" s="1"/>
  <c r="M123" i="30"/>
  <c r="U79" i="30"/>
  <c r="C65" i="30"/>
  <c r="U37" i="30"/>
  <c r="U101" i="30"/>
  <c r="C40" i="30"/>
  <c r="U102" i="31"/>
  <c r="G100" i="33"/>
  <c r="F100" i="33" s="1"/>
  <c r="G123" i="33"/>
  <c r="F123" i="33" s="1"/>
  <c r="U56" i="33"/>
  <c r="C125" i="33"/>
  <c r="U7" i="33"/>
  <c r="U148" i="33"/>
  <c r="U53" i="33"/>
  <c r="U75" i="33"/>
  <c r="U125" i="33"/>
  <c r="C88" i="33"/>
  <c r="M54" i="33"/>
  <c r="U147" i="33"/>
  <c r="U101" i="33"/>
  <c r="U33" i="33"/>
  <c r="AS133" i="16"/>
  <c r="X133" i="16" s="1"/>
  <c r="Z148" i="16"/>
  <c r="W148" i="16" s="1"/>
  <c r="Y149" i="16"/>
  <c r="BN154" i="7"/>
  <c r="BN129" i="7"/>
  <c r="BN108" i="7"/>
  <c r="BN87" i="7"/>
  <c r="BN67" i="7"/>
  <c r="W60" i="16"/>
  <c r="W78" i="16" s="1"/>
  <c r="W77" i="16"/>
  <c r="I75" i="37" l="1"/>
  <c r="D89" i="37"/>
  <c r="I89" i="37" s="1"/>
  <c r="I98" i="37"/>
  <c r="K98" i="37"/>
  <c r="I113" i="37" s="1"/>
  <c r="I114" i="37" s="1"/>
  <c r="I115" i="37" s="1"/>
  <c r="I52" i="32"/>
  <c r="D89" i="33"/>
  <c r="I89" i="33" s="1"/>
  <c r="K75" i="33"/>
  <c r="I75" i="33"/>
  <c r="K145" i="36"/>
  <c r="K146" i="36" s="1"/>
  <c r="K147" i="36" s="1"/>
  <c r="K148" i="36" s="1"/>
  <c r="K149" i="36" s="1"/>
  <c r="K150" i="36" s="1"/>
  <c r="K151" i="36" s="1"/>
  <c r="K152" i="36" s="1"/>
  <c r="K153" i="36" s="1"/>
  <c r="K154" i="36" s="1"/>
  <c r="K155" i="36" s="1"/>
  <c r="K156" i="36" s="1"/>
  <c r="K157" i="36" s="1"/>
  <c r="K158" i="36" s="1"/>
  <c r="U155" i="36"/>
  <c r="U156" i="36" s="1"/>
  <c r="T157" i="36" s="1"/>
  <c r="I159" i="36"/>
  <c r="I160" i="36" s="1"/>
  <c r="I161" i="36" s="1"/>
  <c r="K121" i="31"/>
  <c r="I121" i="31"/>
  <c r="D135" i="31"/>
  <c r="I135" i="31" s="1"/>
  <c r="D66" i="33"/>
  <c r="I66" i="33" s="1"/>
  <c r="K52" i="33"/>
  <c r="I52" i="33"/>
  <c r="K29" i="33"/>
  <c r="I29" i="33"/>
  <c r="D43" i="33"/>
  <c r="I43" i="33" s="1"/>
  <c r="I159" i="37"/>
  <c r="I160" i="37" s="1"/>
  <c r="I161" i="37" s="1"/>
  <c r="K145" i="37"/>
  <c r="K146" i="37" s="1"/>
  <c r="K147" i="37" s="1"/>
  <c r="K148" i="37" s="1"/>
  <c r="K149" i="37" s="1"/>
  <c r="K150" i="37" s="1"/>
  <c r="K151" i="37" s="1"/>
  <c r="K152" i="37" s="1"/>
  <c r="K153" i="37" s="1"/>
  <c r="K154" i="37" s="1"/>
  <c r="K155" i="37" s="1"/>
  <c r="K156" i="37" s="1"/>
  <c r="K157" i="37" s="1"/>
  <c r="K158" i="37" s="1"/>
  <c r="U155" i="37"/>
  <c r="U156" i="37" s="1"/>
  <c r="T157" i="37" s="1"/>
  <c r="H87" i="34"/>
  <c r="H82" i="34"/>
  <c r="K144" i="30"/>
  <c r="D158" i="30"/>
  <c r="I158" i="30" s="1"/>
  <c r="I144" i="30"/>
  <c r="K75" i="31"/>
  <c r="I75" i="31"/>
  <c r="D89" i="31"/>
  <c r="I89" i="31" s="1"/>
  <c r="U40" i="32"/>
  <c r="U41" i="32" s="1"/>
  <c r="T42" i="32" s="1"/>
  <c r="H36" i="32" s="1"/>
  <c r="I44" i="32"/>
  <c r="I45" i="32" s="1"/>
  <c r="I46" i="32" s="1"/>
  <c r="K30" i="32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H18" i="32"/>
  <c r="I29" i="30"/>
  <c r="D43" i="30"/>
  <c r="I43" i="30" s="1"/>
  <c r="K29" i="30"/>
  <c r="I75" i="30"/>
  <c r="K75" i="30"/>
  <c r="D89" i="30"/>
  <c r="I89" i="30" s="1"/>
  <c r="H133" i="34"/>
  <c r="H128" i="34"/>
  <c r="K53" i="35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I67" i="35"/>
  <c r="I68" i="35" s="1"/>
  <c r="I69" i="35" s="1"/>
  <c r="U63" i="35"/>
  <c r="U64" i="35" s="1"/>
  <c r="T65" i="35" s="1"/>
  <c r="D135" i="33"/>
  <c r="I135" i="33" s="1"/>
  <c r="K121" i="33"/>
  <c r="I121" i="33"/>
  <c r="U109" i="37"/>
  <c r="U110" i="37" s="1"/>
  <c r="T111" i="37" s="1"/>
  <c r="U86" i="37"/>
  <c r="U87" i="37" s="1"/>
  <c r="T88" i="37" s="1"/>
  <c r="K76" i="37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I90" i="37"/>
  <c r="I91" i="37" s="1"/>
  <c r="I92" i="37" s="1"/>
  <c r="H64" i="34"/>
  <c r="H59" i="34"/>
  <c r="I67" i="37"/>
  <c r="I68" i="37" s="1"/>
  <c r="I69" i="37" s="1"/>
  <c r="K53" i="37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U63" i="37"/>
  <c r="U64" i="37" s="1"/>
  <c r="T65" i="37" s="1"/>
  <c r="I121" i="32"/>
  <c r="D135" i="32"/>
  <c r="I135" i="32" s="1"/>
  <c r="K121" i="32"/>
  <c r="I75" i="32"/>
  <c r="D89" i="32"/>
  <c r="I89" i="32" s="1"/>
  <c r="K75" i="32"/>
  <c r="I52" i="30"/>
  <c r="K52" i="30"/>
  <c r="D66" i="30"/>
  <c r="I66" i="30" s="1"/>
  <c r="H22" i="18"/>
  <c r="I23" i="18"/>
  <c r="H156" i="34"/>
  <c r="H151" i="34"/>
  <c r="K98" i="31"/>
  <c r="D112" i="31"/>
  <c r="I112" i="31" s="1"/>
  <c r="I98" i="31"/>
  <c r="I98" i="30"/>
  <c r="K98" i="30"/>
  <c r="D112" i="30"/>
  <c r="I112" i="30" s="1"/>
  <c r="I121" i="30"/>
  <c r="K121" i="30"/>
  <c r="D135" i="30"/>
  <c r="I135" i="30" s="1"/>
  <c r="U63" i="31"/>
  <c r="U64" i="31" s="1"/>
  <c r="T65" i="31" s="1"/>
  <c r="H59" i="31" s="1"/>
  <c r="I67" i="31"/>
  <c r="I68" i="31" s="1"/>
  <c r="I69" i="31" s="1"/>
  <c r="K53" i="3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I144" i="32"/>
  <c r="K144" i="32"/>
  <c r="D158" i="32"/>
  <c r="I158" i="32" s="1"/>
  <c r="H36" i="34"/>
  <c r="H41" i="34"/>
  <c r="K98" i="32"/>
  <c r="D112" i="32"/>
  <c r="I112" i="32" s="1"/>
  <c r="I98" i="32"/>
  <c r="K144" i="33"/>
  <c r="I144" i="33"/>
  <c r="D158" i="33"/>
  <c r="I158" i="33" s="1"/>
  <c r="H18" i="33"/>
  <c r="H13" i="33"/>
  <c r="H18" i="31"/>
  <c r="H13" i="31"/>
  <c r="H18" i="30"/>
  <c r="H13" i="30"/>
  <c r="I159" i="31"/>
  <c r="I160" i="31" s="1"/>
  <c r="I161" i="31" s="1"/>
  <c r="K145" i="31"/>
  <c r="K146" i="31" s="1"/>
  <c r="K147" i="31" s="1"/>
  <c r="K148" i="31" s="1"/>
  <c r="K149" i="31" s="1"/>
  <c r="K150" i="31" s="1"/>
  <c r="K151" i="31" s="1"/>
  <c r="K152" i="31" s="1"/>
  <c r="K153" i="31" s="1"/>
  <c r="K154" i="31" s="1"/>
  <c r="K155" i="31" s="1"/>
  <c r="K156" i="31" s="1"/>
  <c r="K157" i="31" s="1"/>
  <c r="K158" i="31" s="1"/>
  <c r="U155" i="31"/>
  <c r="U156" i="31" s="1"/>
  <c r="T157" i="31" s="1"/>
  <c r="H156" i="31" s="1"/>
  <c r="K98" i="33"/>
  <c r="I98" i="33"/>
  <c r="D112" i="33"/>
  <c r="I112" i="33" s="1"/>
  <c r="K99" i="36"/>
  <c r="K100" i="36" s="1"/>
  <c r="K101" i="36" s="1"/>
  <c r="K102" i="36" s="1"/>
  <c r="K103" i="36" s="1"/>
  <c r="K104" i="36" s="1"/>
  <c r="K105" i="36" s="1"/>
  <c r="K106" i="36" s="1"/>
  <c r="K107" i="36" s="1"/>
  <c r="K108" i="36" s="1"/>
  <c r="K109" i="36" s="1"/>
  <c r="K110" i="36" s="1"/>
  <c r="K111" i="36" s="1"/>
  <c r="K112" i="36" s="1"/>
  <c r="I113" i="36"/>
  <c r="I114" i="36" s="1"/>
  <c r="I115" i="36" s="1"/>
  <c r="U109" i="36"/>
  <c r="U110" i="36" s="1"/>
  <c r="T111" i="36" s="1"/>
  <c r="K29" i="31"/>
  <c r="I29" i="31"/>
  <c r="D43" i="31"/>
  <c r="I43" i="31" s="1"/>
  <c r="U40" i="35"/>
  <c r="U41" i="35" s="1"/>
  <c r="T42" i="35" s="1"/>
  <c r="I44" i="35"/>
  <c r="I45" i="35" s="1"/>
  <c r="I46" i="35" s="1"/>
  <c r="K30" i="35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H110" i="34"/>
  <c r="H105" i="34"/>
  <c r="K76" i="36"/>
  <c r="K77" i="36" s="1"/>
  <c r="K78" i="36" s="1"/>
  <c r="K79" i="36" s="1"/>
  <c r="K80" i="36" s="1"/>
  <c r="K81" i="36" s="1"/>
  <c r="K82" i="36" s="1"/>
  <c r="K83" i="36" s="1"/>
  <c r="K84" i="36" s="1"/>
  <c r="K85" i="36" s="1"/>
  <c r="K86" i="36" s="1"/>
  <c r="K87" i="36" s="1"/>
  <c r="K88" i="36" s="1"/>
  <c r="K89" i="36" s="1"/>
  <c r="I90" i="36"/>
  <c r="I91" i="36" s="1"/>
  <c r="I92" i="36" s="1"/>
  <c r="U86" i="36"/>
  <c r="U87" i="36" s="1"/>
  <c r="T88" i="36" s="1"/>
  <c r="U63" i="32"/>
  <c r="U64" i="32" s="1"/>
  <c r="T65" i="32" s="1"/>
  <c r="H64" i="32" s="1"/>
  <c r="K53" i="32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I67" i="32"/>
  <c r="I68" i="32" s="1"/>
  <c r="I69" i="32" s="1"/>
  <c r="I44" i="37"/>
  <c r="I45" i="37" s="1"/>
  <c r="I46" i="37" s="1"/>
  <c r="U40" i="37"/>
  <c r="U41" i="37" s="1"/>
  <c r="T42" i="37" s="1"/>
  <c r="K30" i="37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AS134" i="16"/>
  <c r="X134" i="16" s="1"/>
  <c r="Y150" i="16"/>
  <c r="Z149" i="16"/>
  <c r="W149" i="16" s="1"/>
  <c r="BN155" i="7"/>
  <c r="BN130" i="7"/>
  <c r="BN109" i="7"/>
  <c r="BN88" i="7"/>
  <c r="BN68" i="7"/>
  <c r="AR3" i="16"/>
  <c r="AJ3" i="16"/>
  <c r="AJ2" i="16"/>
  <c r="C5" i="17"/>
  <c r="F5" i="17" s="1"/>
  <c r="AR4" i="16" s="1"/>
  <c r="K99" i="37" l="1"/>
  <c r="K100" i="37" s="1"/>
  <c r="K101" i="37" s="1"/>
  <c r="K102" i="37" s="1"/>
  <c r="K103" i="37" s="1"/>
  <c r="K104" i="37" s="1"/>
  <c r="K105" i="37" s="1"/>
  <c r="K106" i="37" s="1"/>
  <c r="K107" i="37" s="1"/>
  <c r="K108" i="37" s="1"/>
  <c r="K109" i="37" s="1"/>
  <c r="K110" i="37" s="1"/>
  <c r="K111" i="37" s="1"/>
  <c r="K112" i="37" s="1"/>
  <c r="H151" i="31"/>
  <c r="K122" i="33"/>
  <c r="K123" i="33" s="1"/>
  <c r="K124" i="33" s="1"/>
  <c r="K125" i="33" s="1"/>
  <c r="K126" i="33" s="1"/>
  <c r="K127" i="33" s="1"/>
  <c r="K128" i="33" s="1"/>
  <c r="K129" i="33" s="1"/>
  <c r="K130" i="33" s="1"/>
  <c r="K131" i="33" s="1"/>
  <c r="K132" i="33" s="1"/>
  <c r="K133" i="33" s="1"/>
  <c r="K134" i="33" s="1"/>
  <c r="K135" i="33" s="1"/>
  <c r="I136" i="33"/>
  <c r="I137" i="33" s="1"/>
  <c r="I138" i="33" s="1"/>
  <c r="U132" i="33"/>
  <c r="U133" i="33" s="1"/>
  <c r="T134" i="33" s="1"/>
  <c r="K76" i="30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U86" i="30"/>
  <c r="U87" i="30" s="1"/>
  <c r="T88" i="30" s="1"/>
  <c r="I90" i="30"/>
  <c r="I91" i="30" s="1"/>
  <c r="I92" i="30" s="1"/>
  <c r="I67" i="33"/>
  <c r="I68" i="33" s="1"/>
  <c r="I69" i="33" s="1"/>
  <c r="K53" i="33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U63" i="33"/>
  <c r="U64" i="33" s="1"/>
  <c r="T65" i="33" s="1"/>
  <c r="H151" i="36"/>
  <c r="H156" i="36"/>
  <c r="K99" i="32"/>
  <c r="K100" i="32" s="1"/>
  <c r="K101" i="32" s="1"/>
  <c r="K102" i="32" s="1"/>
  <c r="K103" i="32" s="1"/>
  <c r="K104" i="32" s="1"/>
  <c r="K105" i="32" s="1"/>
  <c r="K106" i="32" s="1"/>
  <c r="K107" i="32" s="1"/>
  <c r="K108" i="32" s="1"/>
  <c r="K109" i="32" s="1"/>
  <c r="K110" i="32" s="1"/>
  <c r="K111" i="32" s="1"/>
  <c r="K112" i="32" s="1"/>
  <c r="I113" i="32"/>
  <c r="I114" i="32" s="1"/>
  <c r="I115" i="32" s="1"/>
  <c r="U109" i="32"/>
  <c r="U110" i="32" s="1"/>
  <c r="T111" i="32" s="1"/>
  <c r="H23" i="18"/>
  <c r="I24" i="18"/>
  <c r="K122" i="32"/>
  <c r="K123" i="32" s="1"/>
  <c r="K124" i="32" s="1"/>
  <c r="K125" i="32" s="1"/>
  <c r="K126" i="32" s="1"/>
  <c r="K127" i="32" s="1"/>
  <c r="K128" i="32" s="1"/>
  <c r="K129" i="32" s="1"/>
  <c r="K130" i="32" s="1"/>
  <c r="K131" i="32" s="1"/>
  <c r="K132" i="32" s="1"/>
  <c r="K133" i="32" s="1"/>
  <c r="K134" i="32" s="1"/>
  <c r="K135" i="32" s="1"/>
  <c r="I136" i="32"/>
  <c r="I137" i="32" s="1"/>
  <c r="I138" i="32" s="1"/>
  <c r="U132" i="32"/>
  <c r="U133" i="32" s="1"/>
  <c r="T134" i="32" s="1"/>
  <c r="I90" i="31"/>
  <c r="I91" i="31" s="1"/>
  <c r="I92" i="31" s="1"/>
  <c r="U86" i="31"/>
  <c r="U87" i="31" s="1"/>
  <c r="T88" i="31" s="1"/>
  <c r="K76" i="31"/>
  <c r="K77" i="31" s="1"/>
  <c r="K78" i="31" s="1"/>
  <c r="K79" i="31" s="1"/>
  <c r="K80" i="31" s="1"/>
  <c r="K81" i="31" s="1"/>
  <c r="K82" i="31" s="1"/>
  <c r="K83" i="31" s="1"/>
  <c r="K84" i="31" s="1"/>
  <c r="K85" i="31" s="1"/>
  <c r="K86" i="31" s="1"/>
  <c r="K87" i="31" s="1"/>
  <c r="K88" i="31" s="1"/>
  <c r="K89" i="31" s="1"/>
  <c r="U109" i="31"/>
  <c r="U110" i="31" s="1"/>
  <c r="T111" i="31" s="1"/>
  <c r="I113" i="31"/>
  <c r="I114" i="31" s="1"/>
  <c r="I115" i="31" s="1"/>
  <c r="K99" i="31"/>
  <c r="K100" i="31" s="1"/>
  <c r="K101" i="31" s="1"/>
  <c r="K102" i="31" s="1"/>
  <c r="K103" i="31" s="1"/>
  <c r="K104" i="31" s="1"/>
  <c r="K105" i="31" s="1"/>
  <c r="K106" i="31" s="1"/>
  <c r="K107" i="31" s="1"/>
  <c r="K108" i="31" s="1"/>
  <c r="K109" i="31" s="1"/>
  <c r="K110" i="31" s="1"/>
  <c r="K111" i="31" s="1"/>
  <c r="K112" i="31" s="1"/>
  <c r="U40" i="30"/>
  <c r="U41" i="30" s="1"/>
  <c r="T42" i="30" s="1"/>
  <c r="I44" i="30"/>
  <c r="I45" i="30" s="1"/>
  <c r="I46" i="30" s="1"/>
  <c r="K30" i="30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I136" i="30"/>
  <c r="I137" i="30" s="1"/>
  <c r="I138" i="30" s="1"/>
  <c r="U132" i="30"/>
  <c r="U133" i="30" s="1"/>
  <c r="T134" i="30" s="1"/>
  <c r="K122" i="30"/>
  <c r="K123" i="30" s="1"/>
  <c r="K124" i="30" s="1"/>
  <c r="K125" i="30" s="1"/>
  <c r="K126" i="30" s="1"/>
  <c r="K127" i="30" s="1"/>
  <c r="K128" i="30" s="1"/>
  <c r="K129" i="30" s="1"/>
  <c r="K130" i="30" s="1"/>
  <c r="K131" i="30" s="1"/>
  <c r="K132" i="30" s="1"/>
  <c r="K133" i="30" s="1"/>
  <c r="K134" i="30" s="1"/>
  <c r="K135" i="30" s="1"/>
  <c r="H41" i="32"/>
  <c r="U109" i="33"/>
  <c r="U110" i="33" s="1"/>
  <c r="T111" i="33" s="1"/>
  <c r="K99" i="33"/>
  <c r="K100" i="33" s="1"/>
  <c r="K101" i="33" s="1"/>
  <c r="K102" i="33" s="1"/>
  <c r="K103" i="33" s="1"/>
  <c r="K104" i="33" s="1"/>
  <c r="K105" i="33" s="1"/>
  <c r="K106" i="33" s="1"/>
  <c r="K107" i="33" s="1"/>
  <c r="K108" i="33" s="1"/>
  <c r="K109" i="33" s="1"/>
  <c r="K110" i="33" s="1"/>
  <c r="K111" i="33" s="1"/>
  <c r="K112" i="33" s="1"/>
  <c r="I113" i="33"/>
  <c r="I114" i="33" s="1"/>
  <c r="I115" i="33" s="1"/>
  <c r="U155" i="33"/>
  <c r="U156" i="33" s="1"/>
  <c r="T157" i="33" s="1"/>
  <c r="K145" i="33"/>
  <c r="K146" i="33" s="1"/>
  <c r="K147" i="33" s="1"/>
  <c r="K148" i="33" s="1"/>
  <c r="K149" i="33" s="1"/>
  <c r="K150" i="33" s="1"/>
  <c r="K151" i="33" s="1"/>
  <c r="K152" i="33" s="1"/>
  <c r="K153" i="33" s="1"/>
  <c r="K154" i="33" s="1"/>
  <c r="K155" i="33" s="1"/>
  <c r="K156" i="33" s="1"/>
  <c r="K157" i="33" s="1"/>
  <c r="K158" i="33" s="1"/>
  <c r="I159" i="33"/>
  <c r="I160" i="33" s="1"/>
  <c r="I161" i="33" s="1"/>
  <c r="I67" i="30"/>
  <c r="I68" i="30" s="1"/>
  <c r="I69" i="30" s="1"/>
  <c r="K53" i="30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U63" i="30"/>
  <c r="U64" i="30" s="1"/>
  <c r="T65" i="30" s="1"/>
  <c r="I159" i="30"/>
  <c r="I160" i="30" s="1"/>
  <c r="I161" i="30" s="1"/>
  <c r="U155" i="30"/>
  <c r="U156" i="30" s="1"/>
  <c r="T157" i="30" s="1"/>
  <c r="K145" i="30"/>
  <c r="K146" i="30" s="1"/>
  <c r="K147" i="30" s="1"/>
  <c r="K148" i="30" s="1"/>
  <c r="K149" i="30" s="1"/>
  <c r="K150" i="30" s="1"/>
  <c r="K151" i="30" s="1"/>
  <c r="K152" i="30" s="1"/>
  <c r="K153" i="30" s="1"/>
  <c r="K154" i="30" s="1"/>
  <c r="K155" i="30" s="1"/>
  <c r="K156" i="30" s="1"/>
  <c r="K157" i="30" s="1"/>
  <c r="K158" i="30" s="1"/>
  <c r="AJ4" i="16"/>
  <c r="H59" i="32"/>
  <c r="I159" i="32"/>
  <c r="I160" i="32" s="1"/>
  <c r="I161" i="32" s="1"/>
  <c r="K145" i="32"/>
  <c r="K146" i="32" s="1"/>
  <c r="K147" i="32" s="1"/>
  <c r="K148" i="32" s="1"/>
  <c r="K149" i="32" s="1"/>
  <c r="K150" i="32" s="1"/>
  <c r="K151" i="32" s="1"/>
  <c r="K152" i="32" s="1"/>
  <c r="K153" i="32" s="1"/>
  <c r="K154" i="32" s="1"/>
  <c r="K155" i="32" s="1"/>
  <c r="K156" i="32" s="1"/>
  <c r="K157" i="32" s="1"/>
  <c r="K158" i="32" s="1"/>
  <c r="U155" i="32"/>
  <c r="U156" i="32" s="1"/>
  <c r="T157" i="32" s="1"/>
  <c r="H64" i="31"/>
  <c r="K76" i="33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I90" i="33"/>
  <c r="I91" i="33" s="1"/>
  <c r="I92" i="33" s="1"/>
  <c r="U86" i="33"/>
  <c r="U87" i="33" s="1"/>
  <c r="T88" i="33" s="1"/>
  <c r="K30" i="3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I44" i="31"/>
  <c r="I45" i="31" s="1"/>
  <c r="I46" i="31" s="1"/>
  <c r="U40" i="31"/>
  <c r="U41" i="31" s="1"/>
  <c r="T42" i="31" s="1"/>
  <c r="I113" i="30"/>
  <c r="I114" i="30" s="1"/>
  <c r="I115" i="30" s="1"/>
  <c r="U109" i="30"/>
  <c r="U110" i="30" s="1"/>
  <c r="T111" i="30" s="1"/>
  <c r="K99" i="30"/>
  <c r="K100" i="30" s="1"/>
  <c r="K101" i="30" s="1"/>
  <c r="K102" i="30" s="1"/>
  <c r="K103" i="30" s="1"/>
  <c r="K104" i="30" s="1"/>
  <c r="K105" i="30" s="1"/>
  <c r="K106" i="30" s="1"/>
  <c r="K107" i="30" s="1"/>
  <c r="K108" i="30" s="1"/>
  <c r="K109" i="30" s="1"/>
  <c r="K110" i="30" s="1"/>
  <c r="K111" i="30" s="1"/>
  <c r="K112" i="30" s="1"/>
  <c r="K76" i="32"/>
  <c r="K77" i="32" s="1"/>
  <c r="K78" i="32" s="1"/>
  <c r="K79" i="32" s="1"/>
  <c r="K80" i="32" s="1"/>
  <c r="K81" i="32" s="1"/>
  <c r="K82" i="32" s="1"/>
  <c r="K83" i="32" s="1"/>
  <c r="K84" i="32" s="1"/>
  <c r="K85" i="32" s="1"/>
  <c r="K86" i="32" s="1"/>
  <c r="K87" i="32" s="1"/>
  <c r="K88" i="32" s="1"/>
  <c r="K89" i="32" s="1"/>
  <c r="I90" i="32"/>
  <c r="I91" i="32" s="1"/>
  <c r="I92" i="32" s="1"/>
  <c r="U86" i="32"/>
  <c r="U87" i="32" s="1"/>
  <c r="T88" i="32" s="1"/>
  <c r="I44" i="33"/>
  <c r="I45" i="33" s="1"/>
  <c r="I46" i="33" s="1"/>
  <c r="K30" i="33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U40" i="33"/>
  <c r="U41" i="33" s="1"/>
  <c r="T42" i="33" s="1"/>
  <c r="U132" i="31"/>
  <c r="U133" i="31" s="1"/>
  <c r="T134" i="31" s="1"/>
  <c r="K122" i="31"/>
  <c r="K123" i="31" s="1"/>
  <c r="K124" i="31" s="1"/>
  <c r="K125" i="31" s="1"/>
  <c r="K126" i="31" s="1"/>
  <c r="K127" i="31" s="1"/>
  <c r="K128" i="31" s="1"/>
  <c r="K129" i="31" s="1"/>
  <c r="K130" i="31" s="1"/>
  <c r="K131" i="31" s="1"/>
  <c r="K132" i="31" s="1"/>
  <c r="K133" i="31" s="1"/>
  <c r="K134" i="31" s="1"/>
  <c r="K135" i="31" s="1"/>
  <c r="I136" i="31"/>
  <c r="I137" i="31" s="1"/>
  <c r="I138" i="31" s="1"/>
  <c r="AS135" i="16"/>
  <c r="X135" i="16" s="1"/>
  <c r="Y151" i="16"/>
  <c r="Z150" i="16"/>
  <c r="W150" i="16" s="1"/>
  <c r="BN131" i="7"/>
  <c r="BN110" i="7"/>
  <c r="BN89" i="7"/>
  <c r="BN69" i="7"/>
  <c r="D5" i="17"/>
  <c r="AL4" i="16" s="1"/>
  <c r="W47" i="16"/>
  <c r="W72" i="16" s="1"/>
  <c r="H299" i="6"/>
  <c r="I299" i="6" s="1"/>
  <c r="H303" i="6"/>
  <c r="I303" i="6" s="1"/>
  <c r="N15" i="1"/>
  <c r="P1" i="13"/>
  <c r="U34" i="13"/>
  <c r="U11" i="13"/>
  <c r="AP36" i="14"/>
  <c r="BN32" i="14"/>
  <c r="BN33" i="14" s="1"/>
  <c r="BM31" i="14"/>
  <c r="BP18" i="14"/>
  <c r="BN11" i="14"/>
  <c r="BX6" i="14"/>
  <c r="BX5" i="14"/>
  <c r="BX4" i="14"/>
  <c r="BN4" i="14"/>
  <c r="CL3" i="14"/>
  <c r="BX3" i="14"/>
  <c r="BN3" i="14"/>
  <c r="CJ2" i="14"/>
  <c r="CI2" i="14"/>
  <c r="AA1" i="14" s="1"/>
  <c r="CH2" i="14"/>
  <c r="BX2" i="14"/>
  <c r="BN2" i="14"/>
  <c r="CQ1" i="14"/>
  <c r="CM1" i="14"/>
  <c r="BX1" i="14"/>
  <c r="BN1" i="14"/>
  <c r="A1" i="14"/>
  <c r="G154" i="13"/>
  <c r="I153" i="13"/>
  <c r="I152" i="13"/>
  <c r="G152" i="13"/>
  <c r="C152" i="13"/>
  <c r="I151" i="13"/>
  <c r="I150" i="13"/>
  <c r="G150" i="13"/>
  <c r="G149" i="13"/>
  <c r="I148" i="13"/>
  <c r="G148" i="13"/>
  <c r="G147" i="13"/>
  <c r="I146" i="13"/>
  <c r="G131" i="13"/>
  <c r="I130" i="13"/>
  <c r="I129" i="13"/>
  <c r="G129" i="13"/>
  <c r="C129" i="13"/>
  <c r="I128" i="13"/>
  <c r="I127" i="13"/>
  <c r="G127" i="13"/>
  <c r="G126" i="13"/>
  <c r="I125" i="13"/>
  <c r="G125" i="13"/>
  <c r="G124" i="13"/>
  <c r="I123" i="13"/>
  <c r="G108" i="13"/>
  <c r="I107" i="13"/>
  <c r="I106" i="13"/>
  <c r="G106" i="13"/>
  <c r="C106" i="13"/>
  <c r="I105" i="13"/>
  <c r="I104" i="13"/>
  <c r="G104" i="13"/>
  <c r="G103" i="13"/>
  <c r="I102" i="13"/>
  <c r="G102" i="13"/>
  <c r="G101" i="13"/>
  <c r="I100" i="13"/>
  <c r="G85" i="13"/>
  <c r="I84" i="13"/>
  <c r="I83" i="13"/>
  <c r="G83" i="13"/>
  <c r="C83" i="13"/>
  <c r="I82" i="13"/>
  <c r="I81" i="13"/>
  <c r="G81" i="13"/>
  <c r="G80" i="13"/>
  <c r="I79" i="13"/>
  <c r="G79" i="13"/>
  <c r="G78" i="13"/>
  <c r="I77" i="13"/>
  <c r="G62" i="13"/>
  <c r="I61" i="13"/>
  <c r="I60" i="13"/>
  <c r="G60" i="13"/>
  <c r="C60" i="13"/>
  <c r="I59" i="13"/>
  <c r="I58" i="13"/>
  <c r="G58" i="13"/>
  <c r="G57" i="13"/>
  <c r="I56" i="13"/>
  <c r="G56" i="13"/>
  <c r="G55" i="13"/>
  <c r="I54" i="13"/>
  <c r="I38" i="13"/>
  <c r="I37" i="13"/>
  <c r="G37" i="13"/>
  <c r="C37" i="13"/>
  <c r="I36" i="13"/>
  <c r="I35" i="13"/>
  <c r="G35" i="13"/>
  <c r="G34" i="13"/>
  <c r="I33" i="13"/>
  <c r="G33" i="13"/>
  <c r="G32" i="13"/>
  <c r="I31" i="13"/>
  <c r="B26" i="13"/>
  <c r="B49" i="13" s="1"/>
  <c r="G20" i="13"/>
  <c r="I19" i="13"/>
  <c r="G19" i="13"/>
  <c r="I18" i="13"/>
  <c r="G18" i="13"/>
  <c r="G17" i="13"/>
  <c r="D17" i="13"/>
  <c r="I17" i="13" s="1"/>
  <c r="G16" i="13"/>
  <c r="I15" i="13"/>
  <c r="I14" i="13"/>
  <c r="G14" i="13"/>
  <c r="C14" i="13"/>
  <c r="I13" i="13"/>
  <c r="I12" i="13"/>
  <c r="G12" i="13"/>
  <c r="G11" i="13"/>
  <c r="I10" i="13"/>
  <c r="G10" i="13"/>
  <c r="G9" i="13"/>
  <c r="I8" i="13"/>
  <c r="F37" i="1"/>
  <c r="G37" i="1" s="1"/>
  <c r="P292" i="6"/>
  <c r="P293" i="6" s="1"/>
  <c r="O292" i="6"/>
  <c r="O293" i="6" s="1"/>
  <c r="P213" i="6"/>
  <c r="P220" i="6" s="1"/>
  <c r="P227" i="6" s="1"/>
  <c r="P234" i="6" s="1"/>
  <c r="P241" i="6" s="1"/>
  <c r="P248" i="6" s="1"/>
  <c r="P255" i="6" s="1"/>
  <c r="P262" i="6" s="1"/>
  <c r="P269" i="6" s="1"/>
  <c r="P276" i="6" s="1"/>
  <c r="P283" i="6" s="1"/>
  <c r="O213" i="6"/>
  <c r="O220" i="6" s="1"/>
  <c r="P207" i="6"/>
  <c r="P208" i="6" s="1"/>
  <c r="O207" i="6"/>
  <c r="P128" i="6"/>
  <c r="P135" i="6" s="1"/>
  <c r="P142" i="6" s="1"/>
  <c r="P149" i="6" s="1"/>
  <c r="P156" i="6" s="1"/>
  <c r="P163" i="6" s="1"/>
  <c r="P170" i="6" s="1"/>
  <c r="P177" i="6" s="1"/>
  <c r="P184" i="6" s="1"/>
  <c r="P191" i="6" s="1"/>
  <c r="P198" i="6" s="1"/>
  <c r="P122" i="6"/>
  <c r="P123" i="6" s="1"/>
  <c r="O128" i="6"/>
  <c r="O122" i="6"/>
  <c r="O123" i="6" s="1"/>
  <c r="O124" i="6" s="1"/>
  <c r="O125" i="6" s="1"/>
  <c r="O126" i="6" s="1"/>
  <c r="O127" i="6" s="1"/>
  <c r="F120" i="6"/>
  <c r="G120" i="6" s="1"/>
  <c r="H120" i="6" s="1"/>
  <c r="I120" i="6" s="1"/>
  <c r="C120" i="6"/>
  <c r="S50" i="13" l="1"/>
  <c r="H87" i="33"/>
  <c r="H82" i="33"/>
  <c r="H133" i="30"/>
  <c r="H128" i="30"/>
  <c r="H110" i="32"/>
  <c r="H105" i="32"/>
  <c r="H82" i="31"/>
  <c r="H87" i="31"/>
  <c r="H87" i="30"/>
  <c r="H82" i="30"/>
  <c r="O221" i="6"/>
  <c r="A220" i="6"/>
  <c r="J220" i="6" s="1"/>
  <c r="H156" i="30"/>
  <c r="H151" i="30"/>
  <c r="H151" i="33"/>
  <c r="H156" i="33"/>
  <c r="H87" i="32"/>
  <c r="H82" i="32"/>
  <c r="A2" i="13"/>
  <c r="AB1" i="13"/>
  <c r="H133" i="31"/>
  <c r="H128" i="31"/>
  <c r="H105" i="30"/>
  <c r="H110" i="30"/>
  <c r="H128" i="32"/>
  <c r="H133" i="32"/>
  <c r="H128" i="33"/>
  <c r="H133" i="33"/>
  <c r="O129" i="6"/>
  <c r="BN12" i="14"/>
  <c r="A12" i="14" s="1"/>
  <c r="A11" i="14"/>
  <c r="H36" i="33"/>
  <c r="H41" i="33"/>
  <c r="H156" i="32"/>
  <c r="H151" i="32"/>
  <c r="H36" i="30"/>
  <c r="H41" i="30"/>
  <c r="H36" i="31"/>
  <c r="H41" i="31"/>
  <c r="H64" i="30"/>
  <c r="H59" i="30"/>
  <c r="H110" i="33"/>
  <c r="H105" i="33"/>
  <c r="H64" i="33"/>
  <c r="H59" i="33"/>
  <c r="H105" i="31"/>
  <c r="H110" i="31"/>
  <c r="A33" i="14"/>
  <c r="A32" i="14"/>
  <c r="B31" i="14"/>
  <c r="A31" i="14"/>
  <c r="BM52" i="14"/>
  <c r="H24" i="18"/>
  <c r="I25" i="18"/>
  <c r="BQ19" i="14"/>
  <c r="BQ21" i="14"/>
  <c r="BQ20" i="14"/>
  <c r="CG52" i="14"/>
  <c r="CG53" i="14" s="1"/>
  <c r="CG54" i="14" s="1"/>
  <c r="CG55" i="14" s="1"/>
  <c r="CG56" i="14" s="1"/>
  <c r="CG57" i="14" s="1"/>
  <c r="CG58" i="14" s="1"/>
  <c r="CG59" i="14" s="1"/>
  <c r="CG60" i="14" s="1"/>
  <c r="CG61" i="14" s="1"/>
  <c r="CG62" i="14" s="1"/>
  <c r="CG63" i="14" s="1"/>
  <c r="CG64" i="14" s="1"/>
  <c r="CG65" i="14" s="1"/>
  <c r="CG66" i="14" s="1"/>
  <c r="CG67" i="14" s="1"/>
  <c r="CG68" i="14" s="1"/>
  <c r="CG69" i="14" s="1"/>
  <c r="CG70" i="14" s="1"/>
  <c r="CG71" i="14" s="1"/>
  <c r="CG72" i="14" s="1"/>
  <c r="E54" i="14"/>
  <c r="E12" i="14"/>
  <c r="E33" i="14"/>
  <c r="AS136" i="16"/>
  <c r="X136" i="16" s="1"/>
  <c r="Y152" i="16"/>
  <c r="Z151" i="16"/>
  <c r="W151" i="16" s="1"/>
  <c r="O24" i="14"/>
  <c r="O23" i="14"/>
  <c r="BN132" i="7"/>
  <c r="BN111" i="7"/>
  <c r="BN90" i="7"/>
  <c r="BN70" i="7"/>
  <c r="CB1" i="14"/>
  <c r="AP15" i="14"/>
  <c r="C20" i="7"/>
  <c r="W48" i="16"/>
  <c r="W73" i="16" s="1"/>
  <c r="P124" i="6"/>
  <c r="P130" i="6"/>
  <c r="P137" i="6" s="1"/>
  <c r="P144" i="6" s="1"/>
  <c r="P151" i="6" s="1"/>
  <c r="P158" i="6" s="1"/>
  <c r="P165" i="6" s="1"/>
  <c r="P172" i="6" s="1"/>
  <c r="P179" i="6" s="1"/>
  <c r="P186" i="6" s="1"/>
  <c r="P193" i="6" s="1"/>
  <c r="P200" i="6" s="1"/>
  <c r="O135" i="6"/>
  <c r="P129" i="6"/>
  <c r="P136" i="6" s="1"/>
  <c r="P143" i="6" s="1"/>
  <c r="P150" i="6" s="1"/>
  <c r="P157" i="6" s="1"/>
  <c r="P164" i="6" s="1"/>
  <c r="P171" i="6" s="1"/>
  <c r="P178" i="6" s="1"/>
  <c r="P185" i="6" s="1"/>
  <c r="P192" i="6" s="1"/>
  <c r="P199" i="6" s="1"/>
  <c r="CG10" i="14"/>
  <c r="CG11" i="14" s="1"/>
  <c r="CG12" i="14" s="1"/>
  <c r="CG13" i="14" s="1"/>
  <c r="CG14" i="14" s="1"/>
  <c r="CG15" i="14" s="1"/>
  <c r="CG31" i="14"/>
  <c r="CG32" i="14" s="1"/>
  <c r="CG33" i="14" s="1"/>
  <c r="CG34" i="14" s="1"/>
  <c r="CG35" i="14" s="1"/>
  <c r="CG36" i="14" s="1"/>
  <c r="CG37" i="14" s="1"/>
  <c r="CG38" i="14" s="1"/>
  <c r="CG39" i="14" s="1"/>
  <c r="CG40" i="14" s="1"/>
  <c r="CG41" i="14" s="1"/>
  <c r="CG42" i="14" s="1"/>
  <c r="CG43" i="14" s="1"/>
  <c r="CG44" i="14" s="1"/>
  <c r="CG45" i="14" s="1"/>
  <c r="CG46" i="14" s="1"/>
  <c r="CG47" i="14" s="1"/>
  <c r="CG48" i="14" s="1"/>
  <c r="CG49" i="14" s="1"/>
  <c r="CG50" i="14" s="1"/>
  <c r="CG51" i="14" s="1"/>
  <c r="CL4" i="14"/>
  <c r="BN34" i="14"/>
  <c r="A34" i="14" s="1"/>
  <c r="B72" i="13"/>
  <c r="S27" i="13"/>
  <c r="P215" i="6"/>
  <c r="P222" i="6" s="1"/>
  <c r="P229" i="6" s="1"/>
  <c r="P236" i="6" s="1"/>
  <c r="P243" i="6" s="1"/>
  <c r="P250" i="6" s="1"/>
  <c r="P257" i="6" s="1"/>
  <c r="P264" i="6" s="1"/>
  <c r="P271" i="6" s="1"/>
  <c r="P278" i="6" s="1"/>
  <c r="P285" i="6" s="1"/>
  <c r="P209" i="6"/>
  <c r="O208" i="6"/>
  <c r="O214" i="6"/>
  <c r="P214" i="6"/>
  <c r="P221" i="6" s="1"/>
  <c r="P228" i="6" s="1"/>
  <c r="P235" i="6" s="1"/>
  <c r="P242" i="6" s="1"/>
  <c r="P249" i="6" s="1"/>
  <c r="P256" i="6" s="1"/>
  <c r="P263" i="6" s="1"/>
  <c r="P270" i="6" s="1"/>
  <c r="P277" i="6" s="1"/>
  <c r="P284" i="6" s="1"/>
  <c r="O227" i="6"/>
  <c r="A227" i="6" s="1"/>
  <c r="J227" i="6" s="1"/>
  <c r="O130" i="6"/>
  <c r="BN13" i="14" l="1"/>
  <c r="O222" i="6"/>
  <c r="A221" i="6"/>
  <c r="J221" i="6" s="1"/>
  <c r="S73" i="13"/>
  <c r="R135" i="6"/>
  <c r="AA135" i="6"/>
  <c r="AD135" i="6"/>
  <c r="X135" i="6"/>
  <c r="H25" i="18"/>
  <c r="I26" i="18"/>
  <c r="D6" i="13"/>
  <c r="D20" i="13" s="1"/>
  <c r="I20" i="13" s="1"/>
  <c r="BM73" i="14"/>
  <c r="A55" i="14"/>
  <c r="A69" i="14"/>
  <c r="A65" i="14"/>
  <c r="A61" i="14"/>
  <c r="A54" i="14"/>
  <c r="A53" i="14"/>
  <c r="A68" i="14"/>
  <c r="A64" i="14"/>
  <c r="A60" i="14"/>
  <c r="B52" i="14"/>
  <c r="A67" i="14"/>
  <c r="A59" i="14"/>
  <c r="A52" i="14"/>
  <c r="A71" i="14"/>
  <c r="A57" i="14"/>
  <c r="A58" i="14"/>
  <c r="A70" i="14"/>
  <c r="A66" i="14"/>
  <c r="A62" i="14"/>
  <c r="A56" i="14"/>
  <c r="A63" i="14"/>
  <c r="E58" i="14"/>
  <c r="G58" i="14" s="1"/>
  <c r="E37" i="14"/>
  <c r="G37" i="14" s="1"/>
  <c r="E16" i="14"/>
  <c r="G16" i="14" s="1"/>
  <c r="CG16" i="14"/>
  <c r="CG17" i="14" s="1"/>
  <c r="CG18" i="14" s="1"/>
  <c r="CG19" i="14" s="1"/>
  <c r="CG20" i="14" s="1"/>
  <c r="CG21" i="14" s="1"/>
  <c r="CG22" i="14" s="1"/>
  <c r="CG23" i="14" s="1"/>
  <c r="CG24" i="14" s="1"/>
  <c r="CG25" i="14" s="1"/>
  <c r="CG26" i="14" s="1"/>
  <c r="CG27" i="14" s="1"/>
  <c r="CG28" i="14" s="1"/>
  <c r="CG29" i="14" s="1"/>
  <c r="CG30" i="14" s="1"/>
  <c r="O107" i="14"/>
  <c r="O108" i="14"/>
  <c r="O129" i="14"/>
  <c r="O128" i="14"/>
  <c r="O66" i="14"/>
  <c r="O65" i="14"/>
  <c r="O87" i="14"/>
  <c r="O86" i="14"/>
  <c r="O150" i="14"/>
  <c r="O149" i="14"/>
  <c r="AS137" i="16"/>
  <c r="X137" i="16" s="1"/>
  <c r="Z152" i="16"/>
  <c r="W152" i="16" s="1"/>
  <c r="Y153" i="16"/>
  <c r="O44" i="14"/>
  <c r="O45" i="14"/>
  <c r="BN133" i="7"/>
  <c r="BN112" i="7"/>
  <c r="BN91" i="7"/>
  <c r="BN71" i="7"/>
  <c r="O136" i="6"/>
  <c r="O142" i="6"/>
  <c r="P131" i="6"/>
  <c r="P138" i="6" s="1"/>
  <c r="P145" i="6" s="1"/>
  <c r="P152" i="6" s="1"/>
  <c r="P159" i="6" s="1"/>
  <c r="P166" i="6" s="1"/>
  <c r="P173" i="6" s="1"/>
  <c r="P180" i="6" s="1"/>
  <c r="P187" i="6" s="1"/>
  <c r="P194" i="6" s="1"/>
  <c r="P201" i="6" s="1"/>
  <c r="P125" i="6"/>
  <c r="BN35" i="14"/>
  <c r="A35" i="14" s="1"/>
  <c r="CL5" i="14"/>
  <c r="B95" i="13"/>
  <c r="O215" i="6"/>
  <c r="O209" i="6"/>
  <c r="O228" i="6"/>
  <c r="A228" i="6" s="1"/>
  <c r="J228" i="6" s="1"/>
  <c r="O234" i="6"/>
  <c r="A234" i="6" s="1"/>
  <c r="J234" i="6" s="1"/>
  <c r="P216" i="6"/>
  <c r="P223" i="6" s="1"/>
  <c r="P230" i="6" s="1"/>
  <c r="P237" i="6" s="1"/>
  <c r="P244" i="6" s="1"/>
  <c r="P251" i="6" s="1"/>
  <c r="P258" i="6" s="1"/>
  <c r="P265" i="6" s="1"/>
  <c r="P272" i="6" s="1"/>
  <c r="P279" i="6" s="1"/>
  <c r="P286" i="6" s="1"/>
  <c r="P210" i="6"/>
  <c r="O131" i="6"/>
  <c r="A13" i="14" l="1"/>
  <c r="R128" i="6" s="1"/>
  <c r="BN14" i="14"/>
  <c r="K6" i="13"/>
  <c r="U17" i="13" s="1"/>
  <c r="U18" i="13" s="1"/>
  <c r="T19" i="13" s="1"/>
  <c r="I6" i="13"/>
  <c r="A91" i="14"/>
  <c r="A87" i="14"/>
  <c r="A83" i="14"/>
  <c r="A77" i="14"/>
  <c r="A76" i="14"/>
  <c r="A80" i="14"/>
  <c r="A90" i="14"/>
  <c r="A86" i="14"/>
  <c r="A82" i="14"/>
  <c r="A75" i="14"/>
  <c r="A74" i="14"/>
  <c r="A89" i="14"/>
  <c r="A85" i="14"/>
  <c r="A81" i="14"/>
  <c r="B73" i="14"/>
  <c r="A88" i="14"/>
  <c r="A84" i="14"/>
  <c r="A79" i="14"/>
  <c r="A73" i="14"/>
  <c r="A92" i="14"/>
  <c r="A78" i="14"/>
  <c r="BM94" i="14"/>
  <c r="E75" i="14"/>
  <c r="E79" i="14" s="1"/>
  <c r="G79" i="14" s="1"/>
  <c r="CG73" i="14"/>
  <c r="CG74" i="14" s="1"/>
  <c r="CG75" i="14" s="1"/>
  <c r="CG76" i="14" s="1"/>
  <c r="CG77" i="14" s="1"/>
  <c r="CG78" i="14" s="1"/>
  <c r="CG79" i="14" s="1"/>
  <c r="CG80" i="14" s="1"/>
  <c r="CG81" i="14" s="1"/>
  <c r="CG82" i="14" s="1"/>
  <c r="CG83" i="14" s="1"/>
  <c r="CG84" i="14" s="1"/>
  <c r="CG85" i="14" s="1"/>
  <c r="CG86" i="14" s="1"/>
  <c r="CG87" i="14" s="1"/>
  <c r="CG88" i="14" s="1"/>
  <c r="CG89" i="14" s="1"/>
  <c r="CG90" i="14" s="1"/>
  <c r="CG91" i="14" s="1"/>
  <c r="CG92" i="14" s="1"/>
  <c r="CG93" i="14" s="1"/>
  <c r="H26" i="18"/>
  <c r="I27" i="18"/>
  <c r="S96" i="13"/>
  <c r="R142" i="6"/>
  <c r="AA142" i="6"/>
  <c r="AD142" i="6"/>
  <c r="X142" i="6"/>
  <c r="O137" i="6"/>
  <c r="R136" i="6"/>
  <c r="AD136" i="6"/>
  <c r="AA136" i="6"/>
  <c r="X136" i="6"/>
  <c r="A222" i="6"/>
  <c r="J222" i="6" s="1"/>
  <c r="O223" i="6"/>
  <c r="AS138" i="16"/>
  <c r="X138" i="16" s="1"/>
  <c r="Z153" i="16"/>
  <c r="W153" i="16" s="1"/>
  <c r="Y154" i="16"/>
  <c r="BN134" i="7"/>
  <c r="BN113" i="7"/>
  <c r="BN92" i="7"/>
  <c r="O143" i="6"/>
  <c r="O149" i="6"/>
  <c r="P132" i="6"/>
  <c r="P139" i="6" s="1"/>
  <c r="P146" i="6" s="1"/>
  <c r="P153" i="6" s="1"/>
  <c r="P160" i="6" s="1"/>
  <c r="P167" i="6" s="1"/>
  <c r="P174" i="6" s="1"/>
  <c r="P181" i="6" s="1"/>
  <c r="P188" i="6" s="1"/>
  <c r="P195" i="6" s="1"/>
  <c r="P202" i="6" s="1"/>
  <c r="P126" i="6"/>
  <c r="BN36" i="14"/>
  <c r="CL6" i="14"/>
  <c r="B118" i="13"/>
  <c r="O216" i="6"/>
  <c r="O210" i="6"/>
  <c r="O241" i="6"/>
  <c r="A241" i="6" s="1"/>
  <c r="J241" i="6" s="1"/>
  <c r="O235" i="6"/>
  <c r="A235" i="6" s="1"/>
  <c r="J235" i="6" s="1"/>
  <c r="O229" i="6"/>
  <c r="A229" i="6" s="1"/>
  <c r="J229" i="6" s="1"/>
  <c r="P217" i="6"/>
  <c r="P224" i="6" s="1"/>
  <c r="P231" i="6" s="1"/>
  <c r="P238" i="6" s="1"/>
  <c r="P245" i="6" s="1"/>
  <c r="P252" i="6" s="1"/>
  <c r="P259" i="6" s="1"/>
  <c r="P266" i="6" s="1"/>
  <c r="P273" i="6" s="1"/>
  <c r="P280" i="6" s="1"/>
  <c r="P287" i="6" s="1"/>
  <c r="P211" i="6"/>
  <c r="O132" i="6"/>
  <c r="A14" i="14" l="1"/>
  <c r="BN15" i="14"/>
  <c r="I21" i="13"/>
  <c r="I22" i="13" s="1"/>
  <c r="I23" i="13" s="1"/>
  <c r="K7" i="13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BN37" i="14"/>
  <c r="A36" i="14"/>
  <c r="A223" i="6"/>
  <c r="J223" i="6" s="1"/>
  <c r="O224" i="6"/>
  <c r="A110" i="14"/>
  <c r="A109" i="14"/>
  <c r="A113" i="14"/>
  <c r="A111" i="14"/>
  <c r="A99" i="14"/>
  <c r="A108" i="14"/>
  <c r="A104" i="14"/>
  <c r="A98" i="14"/>
  <c r="A106" i="14"/>
  <c r="A97" i="14"/>
  <c r="A107" i="14"/>
  <c r="A103" i="14"/>
  <c r="A96" i="14"/>
  <c r="A112" i="14"/>
  <c r="A95" i="14"/>
  <c r="A101" i="14"/>
  <c r="A94" i="14"/>
  <c r="A102" i="14"/>
  <c r="A105" i="14"/>
  <c r="A100" i="14"/>
  <c r="B94" i="14"/>
  <c r="BM115" i="14"/>
  <c r="E96" i="14"/>
  <c r="E100" i="14" s="1"/>
  <c r="G100" i="14" s="1"/>
  <c r="CG94" i="14"/>
  <c r="CG95" i="14" s="1"/>
  <c r="CG96" i="14" s="1"/>
  <c r="CG97" i="14" s="1"/>
  <c r="CG98" i="14" s="1"/>
  <c r="CG99" i="14" s="1"/>
  <c r="CG100" i="14" s="1"/>
  <c r="CG101" i="14" s="1"/>
  <c r="CG102" i="14" s="1"/>
  <c r="CG103" i="14" s="1"/>
  <c r="CG104" i="14" s="1"/>
  <c r="CG105" i="14" s="1"/>
  <c r="CG106" i="14" s="1"/>
  <c r="CG107" i="14" s="1"/>
  <c r="CG108" i="14" s="1"/>
  <c r="CG109" i="14" s="1"/>
  <c r="CG110" i="14" s="1"/>
  <c r="CG111" i="14" s="1"/>
  <c r="CG112" i="14" s="1"/>
  <c r="CG113" i="14" s="1"/>
  <c r="CG114" i="14" s="1"/>
  <c r="S119" i="13"/>
  <c r="O144" i="6"/>
  <c r="R143" i="6"/>
  <c r="AA143" i="6"/>
  <c r="AD143" i="6"/>
  <c r="X143" i="6"/>
  <c r="R137" i="6"/>
  <c r="AD137" i="6"/>
  <c r="AA137" i="6"/>
  <c r="X137" i="6"/>
  <c r="O138" i="6"/>
  <c r="H27" i="18"/>
  <c r="I28" i="18"/>
  <c r="R149" i="6"/>
  <c r="AD149" i="6"/>
  <c r="AA149" i="6"/>
  <c r="X149" i="6"/>
  <c r="AS139" i="16"/>
  <c r="X139" i="16" s="1"/>
  <c r="Z154" i="16"/>
  <c r="W154" i="16" s="1"/>
  <c r="Y155" i="16"/>
  <c r="P133" i="6"/>
  <c r="P140" i="6" s="1"/>
  <c r="P147" i="6" s="1"/>
  <c r="P154" i="6" s="1"/>
  <c r="P161" i="6" s="1"/>
  <c r="P168" i="6" s="1"/>
  <c r="P175" i="6" s="1"/>
  <c r="P182" i="6" s="1"/>
  <c r="P189" i="6" s="1"/>
  <c r="P196" i="6" s="1"/>
  <c r="P203" i="6" s="1"/>
  <c r="P127" i="6"/>
  <c r="P134" i="6" s="1"/>
  <c r="P141" i="6" s="1"/>
  <c r="P148" i="6" s="1"/>
  <c r="P155" i="6" s="1"/>
  <c r="P162" i="6" s="1"/>
  <c r="P169" i="6" s="1"/>
  <c r="P176" i="6" s="1"/>
  <c r="P183" i="6" s="1"/>
  <c r="P190" i="6" s="1"/>
  <c r="P197" i="6" s="1"/>
  <c r="P204" i="6" s="1"/>
  <c r="O156" i="6"/>
  <c r="O150" i="6"/>
  <c r="CL7" i="14"/>
  <c r="B141" i="13"/>
  <c r="P218" i="6"/>
  <c r="P225" i="6" s="1"/>
  <c r="P232" i="6" s="1"/>
  <c r="P239" i="6" s="1"/>
  <c r="P246" i="6" s="1"/>
  <c r="P253" i="6" s="1"/>
  <c r="P260" i="6" s="1"/>
  <c r="P267" i="6" s="1"/>
  <c r="P274" i="6" s="1"/>
  <c r="P281" i="6" s="1"/>
  <c r="P288" i="6" s="1"/>
  <c r="P212" i="6"/>
  <c r="P219" i="6" s="1"/>
  <c r="P226" i="6" s="1"/>
  <c r="P233" i="6" s="1"/>
  <c r="P240" i="6" s="1"/>
  <c r="P247" i="6" s="1"/>
  <c r="P254" i="6" s="1"/>
  <c r="P261" i="6" s="1"/>
  <c r="P268" i="6" s="1"/>
  <c r="P275" i="6" s="1"/>
  <c r="P282" i="6" s="1"/>
  <c r="P289" i="6" s="1"/>
  <c r="O211" i="6"/>
  <c r="O230" i="6"/>
  <c r="A230" i="6" s="1"/>
  <c r="J230" i="6" s="1"/>
  <c r="O236" i="6"/>
  <c r="A236" i="6" s="1"/>
  <c r="J236" i="6" s="1"/>
  <c r="O242" i="6"/>
  <c r="A242" i="6" s="1"/>
  <c r="J242" i="6" s="1"/>
  <c r="O248" i="6"/>
  <c r="A248" i="6" s="1"/>
  <c r="J248" i="6" s="1"/>
  <c r="O217" i="6"/>
  <c r="O133" i="6"/>
  <c r="A15" i="14" l="1"/>
  <c r="BN16" i="14"/>
  <c r="S142" i="13"/>
  <c r="A132" i="14"/>
  <c r="A128" i="14"/>
  <c r="A124" i="14"/>
  <c r="A117" i="14"/>
  <c r="A116" i="14"/>
  <c r="A131" i="14"/>
  <c r="A127" i="14"/>
  <c r="A123" i="14"/>
  <c r="B115" i="14"/>
  <c r="A122" i="14"/>
  <c r="A115" i="14"/>
  <c r="A130" i="14"/>
  <c r="A126" i="14"/>
  <c r="A121" i="14"/>
  <c r="A133" i="14"/>
  <c r="A129" i="14"/>
  <c r="A125" i="14"/>
  <c r="A119" i="14"/>
  <c r="A118" i="14"/>
  <c r="A134" i="14"/>
  <c r="A120" i="14"/>
  <c r="BM136" i="14"/>
  <c r="CG115" i="14"/>
  <c r="CG116" i="14" s="1"/>
  <c r="CG117" i="14" s="1"/>
  <c r="CG118" i="14" s="1"/>
  <c r="CG119" i="14" s="1"/>
  <c r="CG120" i="14" s="1"/>
  <c r="CG121" i="14" s="1"/>
  <c r="CG122" i="14" s="1"/>
  <c r="CG123" i="14" s="1"/>
  <c r="CG124" i="14" s="1"/>
  <c r="CG125" i="14" s="1"/>
  <c r="CG126" i="14" s="1"/>
  <c r="CG127" i="14" s="1"/>
  <c r="CG128" i="14" s="1"/>
  <c r="CG129" i="14" s="1"/>
  <c r="CG130" i="14" s="1"/>
  <c r="CG131" i="14" s="1"/>
  <c r="CG132" i="14" s="1"/>
  <c r="CG133" i="14" s="1"/>
  <c r="CG134" i="14" s="1"/>
  <c r="CG135" i="14" s="1"/>
  <c r="E117" i="14"/>
  <c r="E121" i="14" s="1"/>
  <c r="G121" i="14" s="1"/>
  <c r="AD138" i="6"/>
  <c r="R138" i="6"/>
  <c r="AA138" i="6"/>
  <c r="X138" i="6"/>
  <c r="O139" i="6"/>
  <c r="H28" i="18"/>
  <c r="I29" i="18"/>
  <c r="O145" i="6"/>
  <c r="R144" i="6"/>
  <c r="AD144" i="6"/>
  <c r="AA144" i="6"/>
  <c r="X144" i="6"/>
  <c r="A224" i="6"/>
  <c r="J224" i="6" s="1"/>
  <c r="O225" i="6"/>
  <c r="O151" i="6"/>
  <c r="R150" i="6"/>
  <c r="AA150" i="6"/>
  <c r="AD150" i="6"/>
  <c r="X150" i="6"/>
  <c r="R156" i="6"/>
  <c r="AD156" i="6"/>
  <c r="AA156" i="6"/>
  <c r="X156" i="6"/>
  <c r="BN38" i="14"/>
  <c r="A37" i="14"/>
  <c r="AS140" i="16"/>
  <c r="X140" i="16" s="1"/>
  <c r="Z155" i="16"/>
  <c r="W155" i="16" s="1"/>
  <c r="Y156" i="16"/>
  <c r="O157" i="6"/>
  <c r="O163" i="6"/>
  <c r="CL8" i="14"/>
  <c r="O218" i="6"/>
  <c r="O243" i="6"/>
  <c r="A243" i="6" s="1"/>
  <c r="J243" i="6" s="1"/>
  <c r="O231" i="6"/>
  <c r="A231" i="6" s="1"/>
  <c r="J231" i="6" s="1"/>
  <c r="O249" i="6"/>
  <c r="A249" i="6" s="1"/>
  <c r="J249" i="6" s="1"/>
  <c r="O255" i="6"/>
  <c r="A255" i="6" s="1"/>
  <c r="J255" i="6" s="1"/>
  <c r="O237" i="6"/>
  <c r="A237" i="6" s="1"/>
  <c r="J237" i="6" s="1"/>
  <c r="O212" i="6"/>
  <c r="O134" i="6"/>
  <c r="A16" i="14" l="1"/>
  <c r="BN17" i="14"/>
  <c r="BN39" i="14"/>
  <c r="A38" i="14"/>
  <c r="R163" i="6"/>
  <c r="AA163" i="6"/>
  <c r="AD163" i="6"/>
  <c r="X163" i="6"/>
  <c r="O158" i="6"/>
  <c r="R157" i="6"/>
  <c r="AD157" i="6"/>
  <c r="AA157" i="6"/>
  <c r="X157" i="6"/>
  <c r="O146" i="6"/>
  <c r="R145" i="6"/>
  <c r="AD145" i="6"/>
  <c r="AA145" i="6"/>
  <c r="X145" i="6"/>
  <c r="A225" i="6"/>
  <c r="J225" i="6" s="1"/>
  <c r="O226" i="6"/>
  <c r="A226" i="6" s="1"/>
  <c r="J226" i="6" s="1"/>
  <c r="H29" i="18"/>
  <c r="I30" i="18"/>
  <c r="A139" i="14"/>
  <c r="A153" i="14"/>
  <c r="A149" i="14"/>
  <c r="A145" i="14"/>
  <c r="A138" i="14"/>
  <c r="A137" i="14"/>
  <c r="A152" i="14"/>
  <c r="A148" i="14"/>
  <c r="A144" i="14"/>
  <c r="B136" i="14"/>
  <c r="A143" i="14"/>
  <c r="A136" i="14"/>
  <c r="A155" i="14"/>
  <c r="A141" i="14"/>
  <c r="A154" i="14"/>
  <c r="A150" i="14"/>
  <c r="A146" i="14"/>
  <c r="A140" i="14"/>
  <c r="A147" i="14"/>
  <c r="A151" i="14"/>
  <c r="A142" i="14"/>
  <c r="CG136" i="14"/>
  <c r="CG137" i="14" s="1"/>
  <c r="CG138" i="14" s="1"/>
  <c r="CG139" i="14" s="1"/>
  <c r="CG140" i="14" s="1"/>
  <c r="CG141" i="14" s="1"/>
  <c r="CG142" i="14" s="1"/>
  <c r="CG143" i="14" s="1"/>
  <c r="CG144" i="14" s="1"/>
  <c r="CG145" i="14" s="1"/>
  <c r="CG146" i="14" s="1"/>
  <c r="CG147" i="14" s="1"/>
  <c r="CG148" i="14" s="1"/>
  <c r="CG149" i="14" s="1"/>
  <c r="CG150" i="14" s="1"/>
  <c r="CG151" i="14" s="1"/>
  <c r="CG152" i="14" s="1"/>
  <c r="CG153" i="14" s="1"/>
  <c r="CG154" i="14" s="1"/>
  <c r="CG155" i="14" s="1"/>
  <c r="CG156" i="14" s="1"/>
  <c r="E138" i="14"/>
  <c r="E142" i="14" s="1"/>
  <c r="G142" i="14" s="1"/>
  <c r="R151" i="6"/>
  <c r="AA151" i="6"/>
  <c r="AD151" i="6"/>
  <c r="X151" i="6"/>
  <c r="O152" i="6"/>
  <c r="R139" i="6"/>
  <c r="AD139" i="6"/>
  <c r="X139" i="6"/>
  <c r="AA139" i="6"/>
  <c r="O140" i="6"/>
  <c r="AS141" i="16"/>
  <c r="X141" i="16" s="1"/>
  <c r="Z156" i="16"/>
  <c r="W156" i="16" s="1"/>
  <c r="Y157" i="16"/>
  <c r="O170" i="6"/>
  <c r="O164" i="6"/>
  <c r="CL9" i="14"/>
  <c r="O232" i="6"/>
  <c r="A232" i="6" s="1"/>
  <c r="J232" i="6" s="1"/>
  <c r="O238" i="6"/>
  <c r="A238" i="6" s="1"/>
  <c r="J238" i="6" s="1"/>
  <c r="O244" i="6"/>
  <c r="A244" i="6" s="1"/>
  <c r="J244" i="6" s="1"/>
  <c r="O250" i="6"/>
  <c r="A250" i="6" s="1"/>
  <c r="J250" i="6" s="1"/>
  <c r="O262" i="6"/>
  <c r="A262" i="6" s="1"/>
  <c r="J262" i="6" s="1"/>
  <c r="O256" i="6"/>
  <c r="A256" i="6" s="1"/>
  <c r="J256" i="6" s="1"/>
  <c r="O219" i="6"/>
  <c r="A17" i="14" l="1"/>
  <c r="BN18" i="14"/>
  <c r="R146" i="6"/>
  <c r="AD146" i="6"/>
  <c r="AA146" i="6"/>
  <c r="X146" i="6"/>
  <c r="O147" i="6"/>
  <c r="O165" i="6"/>
  <c r="R164" i="6"/>
  <c r="AD164" i="6"/>
  <c r="AA164" i="6"/>
  <c r="X164" i="6"/>
  <c r="R170" i="6"/>
  <c r="AA170" i="6"/>
  <c r="AD170" i="6"/>
  <c r="X170" i="6"/>
  <c r="R140" i="6"/>
  <c r="AA140" i="6"/>
  <c r="AD140" i="6"/>
  <c r="X140" i="6"/>
  <c r="O141" i="6"/>
  <c r="H30" i="18"/>
  <c r="I31" i="18"/>
  <c r="O159" i="6"/>
  <c r="R158" i="6"/>
  <c r="AD158" i="6"/>
  <c r="X158" i="6"/>
  <c r="AA158" i="6"/>
  <c r="R152" i="6"/>
  <c r="X152" i="6"/>
  <c r="AA152" i="6"/>
  <c r="AD152" i="6"/>
  <c r="O153" i="6"/>
  <c r="BN40" i="14"/>
  <c r="A39" i="14"/>
  <c r="AS142" i="16"/>
  <c r="X142" i="16" s="1"/>
  <c r="Z157" i="16"/>
  <c r="W157" i="16" s="1"/>
  <c r="Y158" i="16"/>
  <c r="O171" i="6"/>
  <c r="O177" i="6"/>
  <c r="CL10" i="14"/>
  <c r="O239" i="6"/>
  <c r="A239" i="6" s="1"/>
  <c r="J239" i="6" s="1"/>
  <c r="O257" i="6"/>
  <c r="A257" i="6" s="1"/>
  <c r="J257" i="6" s="1"/>
  <c r="O269" i="6"/>
  <c r="A269" i="6" s="1"/>
  <c r="J269" i="6" s="1"/>
  <c r="O263" i="6"/>
  <c r="A263" i="6" s="1"/>
  <c r="J263" i="6" s="1"/>
  <c r="O251" i="6"/>
  <c r="A251" i="6" s="1"/>
  <c r="J251" i="6" s="1"/>
  <c r="O245" i="6"/>
  <c r="A245" i="6" s="1"/>
  <c r="J245" i="6" s="1"/>
  <c r="O233" i="6"/>
  <c r="A233" i="6" s="1"/>
  <c r="J233" i="6" s="1"/>
  <c r="BN19" i="14" l="1"/>
  <c r="A18" i="14"/>
  <c r="R153" i="6"/>
  <c r="AD153" i="6"/>
  <c r="AA153" i="6"/>
  <c r="X153" i="6"/>
  <c r="O154" i="6"/>
  <c r="O166" i="6"/>
  <c r="AD165" i="6"/>
  <c r="R165" i="6"/>
  <c r="AA165" i="6"/>
  <c r="X165" i="6"/>
  <c r="R141" i="6"/>
  <c r="X141" i="6"/>
  <c r="AA141" i="6"/>
  <c r="AD141" i="6"/>
  <c r="H31" i="18"/>
  <c r="I32" i="18"/>
  <c r="BN41" i="14"/>
  <c r="A40" i="14"/>
  <c r="R147" i="6"/>
  <c r="AA147" i="6"/>
  <c r="AD147" i="6"/>
  <c r="X147" i="6"/>
  <c r="O148" i="6"/>
  <c r="AD177" i="6"/>
  <c r="R177" i="6"/>
  <c r="X177" i="6"/>
  <c r="AA177" i="6"/>
  <c r="O160" i="6"/>
  <c r="R159" i="6"/>
  <c r="AD159" i="6"/>
  <c r="AA159" i="6"/>
  <c r="X159" i="6"/>
  <c r="O172" i="6"/>
  <c r="R171" i="6"/>
  <c r="AA171" i="6"/>
  <c r="AD171" i="6"/>
  <c r="X171" i="6"/>
  <c r="AS143" i="16"/>
  <c r="X143" i="16" s="1"/>
  <c r="Z158" i="16"/>
  <c r="W158" i="16" s="1"/>
  <c r="Y159" i="16"/>
  <c r="O184" i="6"/>
  <c r="O178" i="6"/>
  <c r="CL11" i="14"/>
  <c r="O264" i="6"/>
  <c r="A264" i="6" s="1"/>
  <c r="J264" i="6" s="1"/>
  <c r="O246" i="6"/>
  <c r="A246" i="6" s="1"/>
  <c r="J246" i="6" s="1"/>
  <c r="O270" i="6"/>
  <c r="A270" i="6" s="1"/>
  <c r="J270" i="6" s="1"/>
  <c r="O276" i="6"/>
  <c r="A276" i="6" s="1"/>
  <c r="J276" i="6" s="1"/>
  <c r="O252" i="6"/>
  <c r="A252" i="6" s="1"/>
  <c r="J252" i="6" s="1"/>
  <c r="O258" i="6"/>
  <c r="A258" i="6" s="1"/>
  <c r="J258" i="6" s="1"/>
  <c r="O240" i="6"/>
  <c r="A240" i="6" s="1"/>
  <c r="J240" i="6" s="1"/>
  <c r="BN20" i="14" l="1"/>
  <c r="A19" i="14"/>
  <c r="O179" i="6"/>
  <c r="R178" i="6"/>
  <c r="X178" i="6"/>
  <c r="AA178" i="6"/>
  <c r="AD178" i="6"/>
  <c r="O161" i="6"/>
  <c r="R160" i="6"/>
  <c r="AD160" i="6"/>
  <c r="AA160" i="6"/>
  <c r="X160" i="6"/>
  <c r="R154" i="6"/>
  <c r="AD154" i="6"/>
  <c r="X154" i="6"/>
  <c r="AA154" i="6"/>
  <c r="O155" i="6"/>
  <c r="AD148" i="6"/>
  <c r="R148" i="6"/>
  <c r="AA148" i="6"/>
  <c r="X148" i="6"/>
  <c r="H32" i="18"/>
  <c r="I33" i="18"/>
  <c r="O173" i="6"/>
  <c r="R172" i="6"/>
  <c r="AD172" i="6"/>
  <c r="AA172" i="6"/>
  <c r="X172" i="6"/>
  <c r="R184" i="6"/>
  <c r="AD184" i="6"/>
  <c r="AA184" i="6"/>
  <c r="X184" i="6"/>
  <c r="BN42" i="14"/>
  <c r="A41" i="14"/>
  <c r="O167" i="6"/>
  <c r="AD166" i="6"/>
  <c r="R166" i="6"/>
  <c r="X166" i="6"/>
  <c r="AA166" i="6"/>
  <c r="AS144" i="16"/>
  <c r="X144" i="16" s="1"/>
  <c r="Z159" i="16"/>
  <c r="W159" i="16" s="1"/>
  <c r="Y160" i="16"/>
  <c r="O185" i="6"/>
  <c r="O191" i="6"/>
  <c r="CL12" i="14"/>
  <c r="O271" i="6"/>
  <c r="A271" i="6" s="1"/>
  <c r="J271" i="6" s="1"/>
  <c r="O277" i="6"/>
  <c r="A277" i="6" s="1"/>
  <c r="J277" i="6" s="1"/>
  <c r="O283" i="6"/>
  <c r="A283" i="6" s="1"/>
  <c r="J283" i="6" s="1"/>
  <c r="O247" i="6"/>
  <c r="A247" i="6" s="1"/>
  <c r="J247" i="6" s="1"/>
  <c r="O259" i="6"/>
  <c r="A259" i="6" s="1"/>
  <c r="J259" i="6" s="1"/>
  <c r="O253" i="6"/>
  <c r="A253" i="6" s="1"/>
  <c r="J253" i="6" s="1"/>
  <c r="O265" i="6"/>
  <c r="A265" i="6" s="1"/>
  <c r="J265" i="6" s="1"/>
  <c r="A20" i="14" l="1"/>
  <c r="BN21" i="14"/>
  <c r="O174" i="6"/>
  <c r="R173" i="6"/>
  <c r="AD173" i="6"/>
  <c r="AA173" i="6"/>
  <c r="X173" i="6"/>
  <c r="H33" i="18"/>
  <c r="I34" i="18"/>
  <c r="BN43" i="14"/>
  <c r="A42" i="14"/>
  <c r="AD155" i="6"/>
  <c r="R155" i="6"/>
  <c r="X155" i="6"/>
  <c r="AA155" i="6"/>
  <c r="R167" i="6"/>
  <c r="AA167" i="6"/>
  <c r="AD167" i="6"/>
  <c r="X167" i="6"/>
  <c r="O168" i="6"/>
  <c r="R161" i="6"/>
  <c r="AA161" i="6"/>
  <c r="AD161" i="6"/>
  <c r="X161" i="6"/>
  <c r="O162" i="6"/>
  <c r="R191" i="6"/>
  <c r="AD191" i="6"/>
  <c r="AA191" i="6"/>
  <c r="X191" i="6"/>
  <c r="O186" i="6"/>
  <c r="R185" i="6"/>
  <c r="AA185" i="6"/>
  <c r="X185" i="6"/>
  <c r="AD185" i="6"/>
  <c r="O180" i="6"/>
  <c r="R179" i="6"/>
  <c r="AD179" i="6"/>
  <c r="AA179" i="6"/>
  <c r="X179" i="6"/>
  <c r="AS145" i="16"/>
  <c r="X145" i="16" s="1"/>
  <c r="Z160" i="16"/>
  <c r="W160" i="16" s="1"/>
  <c r="Y161" i="16"/>
  <c r="O198" i="6"/>
  <c r="O192" i="6"/>
  <c r="CL13" i="14"/>
  <c r="O266" i="6"/>
  <c r="A266" i="6" s="1"/>
  <c r="J266" i="6" s="1"/>
  <c r="O284" i="6"/>
  <c r="A284" i="6" s="1"/>
  <c r="J284" i="6" s="1"/>
  <c r="O278" i="6"/>
  <c r="A278" i="6" s="1"/>
  <c r="J278" i="6" s="1"/>
  <c r="O260" i="6"/>
  <c r="A260" i="6" s="1"/>
  <c r="J260" i="6" s="1"/>
  <c r="O254" i="6"/>
  <c r="A254" i="6" s="1"/>
  <c r="J254" i="6" s="1"/>
  <c r="O272" i="6"/>
  <c r="A272" i="6" s="1"/>
  <c r="J272" i="6" s="1"/>
  <c r="A21" i="14" l="1"/>
  <c r="BN22" i="14"/>
  <c r="R162" i="6"/>
  <c r="AA162" i="6"/>
  <c r="X162" i="6"/>
  <c r="AD162" i="6"/>
  <c r="H34" i="18"/>
  <c r="I35" i="18"/>
  <c r="O193" i="6"/>
  <c r="R192" i="6"/>
  <c r="AA192" i="6"/>
  <c r="AD192" i="6"/>
  <c r="X192" i="6"/>
  <c r="O199" i="6"/>
  <c r="AD198" i="6"/>
  <c r="R198" i="6"/>
  <c r="AA198" i="6"/>
  <c r="X198" i="6"/>
  <c r="O181" i="6"/>
  <c r="R180" i="6"/>
  <c r="AD180" i="6"/>
  <c r="AA180" i="6"/>
  <c r="X180" i="6"/>
  <c r="O187" i="6"/>
  <c r="R186" i="6"/>
  <c r="AD186" i="6"/>
  <c r="AA186" i="6"/>
  <c r="X186" i="6"/>
  <c r="R168" i="6"/>
  <c r="AD168" i="6"/>
  <c r="AA168" i="6"/>
  <c r="X168" i="6"/>
  <c r="O169" i="6"/>
  <c r="O175" i="6"/>
  <c r="R174" i="6"/>
  <c r="AA174" i="6"/>
  <c r="AD174" i="6"/>
  <c r="X174" i="6"/>
  <c r="BN44" i="14"/>
  <c r="A43" i="14"/>
  <c r="AS146" i="16"/>
  <c r="X146" i="16" s="1"/>
  <c r="Z161" i="16"/>
  <c r="W161" i="16" s="1"/>
  <c r="Y162" i="16"/>
  <c r="CL14" i="14"/>
  <c r="O285" i="6"/>
  <c r="A285" i="6" s="1"/>
  <c r="J285" i="6" s="1"/>
  <c r="O261" i="6"/>
  <c r="A261" i="6" s="1"/>
  <c r="J261" i="6" s="1"/>
  <c r="O273" i="6"/>
  <c r="A273" i="6" s="1"/>
  <c r="J273" i="6" s="1"/>
  <c r="O267" i="6"/>
  <c r="A267" i="6" s="1"/>
  <c r="J267" i="6" s="1"/>
  <c r="O279" i="6"/>
  <c r="A279" i="6" s="1"/>
  <c r="J279" i="6" s="1"/>
  <c r="BN23" i="14" l="1"/>
  <c r="A22" i="14"/>
  <c r="O188" i="6"/>
  <c r="R187" i="6"/>
  <c r="AD187" i="6"/>
  <c r="AA187" i="6"/>
  <c r="X187" i="6"/>
  <c r="H35" i="18"/>
  <c r="I36" i="18"/>
  <c r="O200" i="6"/>
  <c r="AD199" i="6"/>
  <c r="R199" i="6"/>
  <c r="X199" i="6"/>
  <c r="AA199" i="6"/>
  <c r="R169" i="6"/>
  <c r="AA169" i="6"/>
  <c r="X169" i="6"/>
  <c r="AD169" i="6"/>
  <c r="BN45" i="14"/>
  <c r="A44" i="14"/>
  <c r="R181" i="6"/>
  <c r="AA181" i="6"/>
  <c r="AD181" i="6"/>
  <c r="X181" i="6"/>
  <c r="O182" i="6"/>
  <c r="R175" i="6"/>
  <c r="AD175" i="6"/>
  <c r="X175" i="6"/>
  <c r="AA175" i="6"/>
  <c r="O176" i="6"/>
  <c r="O194" i="6"/>
  <c r="AD193" i="6"/>
  <c r="R193" i="6"/>
  <c r="X193" i="6"/>
  <c r="AA193" i="6"/>
  <c r="Z162" i="16"/>
  <c r="W162" i="16" s="1"/>
  <c r="Y163" i="16"/>
  <c r="CL15" i="14"/>
  <c r="CL16" i="14" s="1"/>
  <c r="CL17" i="14" s="1"/>
  <c r="CL18" i="14" s="1"/>
  <c r="CL19" i="14" s="1"/>
  <c r="CL20" i="14" s="1"/>
  <c r="CL21" i="14" s="1"/>
  <c r="O280" i="6"/>
  <c r="A280" i="6" s="1"/>
  <c r="J280" i="6" s="1"/>
  <c r="O268" i="6"/>
  <c r="A268" i="6" s="1"/>
  <c r="J268" i="6" s="1"/>
  <c r="O286" i="6"/>
  <c r="A286" i="6" s="1"/>
  <c r="J286" i="6" s="1"/>
  <c r="O274" i="6"/>
  <c r="A274" i="6" s="1"/>
  <c r="J274" i="6" s="1"/>
  <c r="A23" i="14" l="1"/>
  <c r="BN24" i="14"/>
  <c r="O201" i="6"/>
  <c r="R200" i="6"/>
  <c r="AD200" i="6"/>
  <c r="AA200" i="6"/>
  <c r="X200" i="6"/>
  <c r="O195" i="6"/>
  <c r="R194" i="6"/>
  <c r="AA194" i="6"/>
  <c r="AD194" i="6"/>
  <c r="X194" i="6"/>
  <c r="R182" i="6"/>
  <c r="AD182" i="6"/>
  <c r="AA182" i="6"/>
  <c r="X182" i="6"/>
  <c r="O183" i="6"/>
  <c r="H36" i="18"/>
  <c r="I37" i="18"/>
  <c r="R176" i="6"/>
  <c r="AD176" i="6"/>
  <c r="AA176" i="6"/>
  <c r="X176" i="6"/>
  <c r="BN46" i="14"/>
  <c r="A45" i="14"/>
  <c r="O189" i="6"/>
  <c r="R188" i="6"/>
  <c r="AD188" i="6"/>
  <c r="AA188" i="6"/>
  <c r="X188" i="6"/>
  <c r="Z163" i="16"/>
  <c r="W163" i="16" s="1"/>
  <c r="Y164" i="16"/>
  <c r="O275" i="6"/>
  <c r="A275" i="6" s="1"/>
  <c r="J275" i="6" s="1"/>
  <c r="O281" i="6"/>
  <c r="A281" i="6" s="1"/>
  <c r="J281" i="6" s="1"/>
  <c r="O287" i="6"/>
  <c r="A287" i="6" s="1"/>
  <c r="J287" i="6" s="1"/>
  <c r="BN25" i="14" l="1"/>
  <c r="A24" i="14"/>
  <c r="BN47" i="14"/>
  <c r="A46" i="14"/>
  <c r="H37" i="18"/>
  <c r="I38" i="18"/>
  <c r="O190" i="6"/>
  <c r="R189" i="6"/>
  <c r="AA189" i="6"/>
  <c r="AD189" i="6"/>
  <c r="X189" i="6"/>
  <c r="AD183" i="6"/>
  <c r="R183" i="6"/>
  <c r="AA183" i="6"/>
  <c r="X183" i="6"/>
  <c r="O202" i="6"/>
  <c r="R201" i="6"/>
  <c r="AD201" i="6"/>
  <c r="X201" i="6"/>
  <c r="AA201" i="6"/>
  <c r="O196" i="6"/>
  <c r="R195" i="6"/>
  <c r="AD195" i="6"/>
  <c r="AA195" i="6"/>
  <c r="X195" i="6"/>
  <c r="Z164" i="16"/>
  <c r="W164" i="16" s="1"/>
  <c r="Y165" i="16"/>
  <c r="O282" i="6"/>
  <c r="A282" i="6" s="1"/>
  <c r="J282" i="6" s="1"/>
  <c r="O288" i="6"/>
  <c r="A288" i="6" s="1"/>
  <c r="J288" i="6" s="1"/>
  <c r="A25" i="14" l="1"/>
  <c r="BN26" i="14"/>
  <c r="O203" i="6"/>
  <c r="R202" i="6"/>
  <c r="AA202" i="6"/>
  <c r="AD202" i="6"/>
  <c r="X202" i="6"/>
  <c r="R190" i="6"/>
  <c r="AA190" i="6"/>
  <c r="X190" i="6"/>
  <c r="AD190" i="6"/>
  <c r="H38" i="18"/>
  <c r="I39" i="18"/>
  <c r="O197" i="6"/>
  <c r="R196" i="6"/>
  <c r="AA196" i="6"/>
  <c r="AD196" i="6"/>
  <c r="X196" i="6"/>
  <c r="BN48" i="14"/>
  <c r="A47" i="14"/>
  <c r="Z165" i="16"/>
  <c r="W165" i="16" s="1"/>
  <c r="Y166" i="16"/>
  <c r="O289" i="6"/>
  <c r="A289" i="6" s="1"/>
  <c r="J289" i="6" s="1"/>
  <c r="A26" i="14" l="1"/>
  <c r="BN27" i="14"/>
  <c r="R197" i="6"/>
  <c r="AD197" i="6"/>
  <c r="AA197" i="6"/>
  <c r="X197" i="6"/>
  <c r="BN49" i="14"/>
  <c r="A48" i="14"/>
  <c r="H39" i="18"/>
  <c r="I40" i="18"/>
  <c r="O204" i="6"/>
  <c r="AD203" i="6"/>
  <c r="X203" i="6"/>
  <c r="R203" i="6"/>
  <c r="AA203" i="6"/>
  <c r="Z166" i="16"/>
  <c r="W166" i="16" s="1"/>
  <c r="Y167" i="16"/>
  <c r="BN28" i="14" l="1"/>
  <c r="A27" i="14"/>
  <c r="BN50" i="14"/>
  <c r="A50" i="14" s="1"/>
  <c r="A49" i="14"/>
  <c r="R204" i="6"/>
  <c r="AA204" i="6"/>
  <c r="AD204" i="6"/>
  <c r="X204" i="6"/>
  <c r="H40" i="18"/>
  <c r="I41" i="18"/>
  <c r="Z167" i="16"/>
  <c r="W167" i="16" s="1"/>
  <c r="Y168" i="16"/>
  <c r="A28" i="14" l="1"/>
  <c r="BN29" i="14"/>
  <c r="A29" i="14" s="1"/>
  <c r="H41" i="18"/>
  <c r="I42" i="18"/>
  <c r="Z168" i="16"/>
  <c r="W168" i="16" s="1"/>
  <c r="Y169" i="16"/>
  <c r="H42" i="18" l="1"/>
  <c r="I43" i="18"/>
  <c r="Z169" i="16"/>
  <c r="W169" i="16" s="1"/>
  <c r="Y170" i="16"/>
  <c r="S7" i="16"/>
  <c r="H43" i="18" l="1"/>
  <c r="I44" i="18"/>
  <c r="Z170" i="16"/>
  <c r="W170" i="16" s="1"/>
  <c r="Y171" i="16"/>
  <c r="O20" i="3"/>
  <c r="N18" i="3"/>
  <c r="N15" i="3"/>
  <c r="N12" i="3"/>
  <c r="O7" i="3"/>
  <c r="N6" i="3"/>
  <c r="N3" i="3"/>
  <c r="BM8" i="1"/>
  <c r="BM9" i="1" s="1"/>
  <c r="BM10" i="1" s="1"/>
  <c r="BM11" i="1" s="1"/>
  <c r="BM12" i="1" s="1"/>
  <c r="BM13" i="1" s="1"/>
  <c r="BM14" i="1" s="1"/>
  <c r="BM15" i="1" s="1"/>
  <c r="BM16" i="1" s="1"/>
  <c r="BM17" i="1" s="1"/>
  <c r="BM18" i="1" s="1"/>
  <c r="BM19" i="1" s="1"/>
  <c r="BM20" i="1" s="1"/>
  <c r="BM21" i="1" s="1"/>
  <c r="BM22" i="1" s="1"/>
  <c r="BM23" i="1" s="1"/>
  <c r="BM24" i="1" s="1"/>
  <c r="BM25" i="1" s="1"/>
  <c r="BM26" i="1" s="1"/>
  <c r="BI8" i="1"/>
  <c r="BI9" i="1" s="1"/>
  <c r="BI10" i="1" s="1"/>
  <c r="BI11" i="1" s="1"/>
  <c r="BI12" i="1" s="1"/>
  <c r="BI13" i="1" s="1"/>
  <c r="BI14" i="1" s="1"/>
  <c r="BI15" i="1" s="1"/>
  <c r="BI16" i="1" s="1"/>
  <c r="BI17" i="1" s="1"/>
  <c r="BI18" i="1" s="1"/>
  <c r="BI19" i="1" s="1"/>
  <c r="BI20" i="1" s="1"/>
  <c r="BI21" i="1" s="1"/>
  <c r="BI22" i="1" s="1"/>
  <c r="BI23" i="1" s="1"/>
  <c r="BI24" i="1" s="1"/>
  <c r="BI25" i="1" s="1"/>
  <c r="BI26" i="1" s="1"/>
  <c r="BE8" i="1"/>
  <c r="BE9" i="1" s="1"/>
  <c r="BE10" i="1" s="1"/>
  <c r="BE11" i="1" s="1"/>
  <c r="BE12" i="1" s="1"/>
  <c r="BE13" i="1" s="1"/>
  <c r="BE14" i="1" s="1"/>
  <c r="BE15" i="1" s="1"/>
  <c r="BE16" i="1" s="1"/>
  <c r="BE17" i="1" s="1"/>
  <c r="BE18" i="1" s="1"/>
  <c r="BE19" i="1" s="1"/>
  <c r="BE20" i="1" s="1"/>
  <c r="BE21" i="1" s="1"/>
  <c r="BE22" i="1" s="1"/>
  <c r="BE23" i="1" s="1"/>
  <c r="BE24" i="1" s="1"/>
  <c r="BE25" i="1" s="1"/>
  <c r="BE26" i="1" s="1"/>
  <c r="CL3" i="7"/>
  <c r="CL4" i="7" s="1"/>
  <c r="CL5" i="7" s="1"/>
  <c r="CL6" i="7" s="1"/>
  <c r="CL7" i="7" s="1"/>
  <c r="CL8" i="7" s="1"/>
  <c r="CL9" i="7" s="1"/>
  <c r="CL10" i="7" s="1"/>
  <c r="CL11" i="7" s="1"/>
  <c r="CL12" i="7" s="1"/>
  <c r="CL13" i="7" s="1"/>
  <c r="CL14" i="7" s="1"/>
  <c r="CL15" i="7" s="1"/>
  <c r="CL16" i="7" s="1"/>
  <c r="CL17" i="7" s="1"/>
  <c r="CL18" i="7" s="1"/>
  <c r="CL19" i="7" s="1"/>
  <c r="CL20" i="7" s="1"/>
  <c r="CL21" i="7" s="1"/>
  <c r="AM1" i="1"/>
  <c r="CY1" i="6" s="1"/>
  <c r="CW104" i="6"/>
  <c r="CW107" i="6"/>
  <c r="CW106" i="6"/>
  <c r="CW105" i="6"/>
  <c r="CW103" i="6"/>
  <c r="CW102" i="6"/>
  <c r="CW101" i="6"/>
  <c r="CW100" i="6"/>
  <c r="CW99" i="6"/>
  <c r="CW98" i="6"/>
  <c r="CW81" i="6"/>
  <c r="CW84" i="6"/>
  <c r="CW83" i="6"/>
  <c r="CW82" i="6"/>
  <c r="CW80" i="6"/>
  <c r="CW79" i="6"/>
  <c r="CW78" i="6"/>
  <c r="CW77" i="6"/>
  <c r="CW76" i="6"/>
  <c r="CW75" i="6"/>
  <c r="CW52" i="6"/>
  <c r="CW61" i="6"/>
  <c r="CV61" i="6" s="1"/>
  <c r="CT61" i="6" s="1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CY61" i="6" s="1"/>
  <c r="CW60" i="6"/>
  <c r="CU60" i="6" s="1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CY60" i="6" s="1"/>
  <c r="CW59" i="6"/>
  <c r="CV59" i="6" s="1"/>
  <c r="CT59" i="6" s="1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CY59" i="6" s="1"/>
  <c r="CW58" i="6"/>
  <c r="CV58" i="6" s="1"/>
  <c r="CT58" i="6" s="1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CY58" i="6" s="1"/>
  <c r="CW57" i="6"/>
  <c r="CV57" i="6" s="1"/>
  <c r="CT57" i="6" s="1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CY57" i="6" s="1"/>
  <c r="CW56" i="6"/>
  <c r="CV56" i="6" s="1"/>
  <c r="CT56" i="6" s="1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CY56" i="6" s="1"/>
  <c r="CW55" i="6"/>
  <c r="CW54" i="6"/>
  <c r="CW53" i="6"/>
  <c r="CW35" i="6"/>
  <c r="CW38" i="6"/>
  <c r="CU38" i="6" s="1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CY38" i="6" s="1"/>
  <c r="CW37" i="6"/>
  <c r="CW36" i="6"/>
  <c r="CW34" i="6"/>
  <c r="CW33" i="6"/>
  <c r="CW32" i="6"/>
  <c r="CW31" i="6"/>
  <c r="CW30" i="6"/>
  <c r="CW29" i="6"/>
  <c r="CW17" i="6"/>
  <c r="CV17" i="6" s="1"/>
  <c r="CT17" i="6" s="1"/>
  <c r="CY17" i="6"/>
  <c r="CW16" i="6"/>
  <c r="CV16" i="6" s="1"/>
  <c r="CT16" i="6" s="1"/>
  <c r="CY16" i="6"/>
  <c r="CW13" i="6"/>
  <c r="CW12" i="6"/>
  <c r="CW11" i="6"/>
  <c r="CW10" i="6"/>
  <c r="CW9" i="6"/>
  <c r="CW8" i="6"/>
  <c r="CW7" i="6"/>
  <c r="CW6" i="6"/>
  <c r="B117" i="6"/>
  <c r="C117" i="6" s="1"/>
  <c r="D117" i="6" s="1"/>
  <c r="E117" i="6" s="1"/>
  <c r="F117" i="6" s="1"/>
  <c r="G117" i="6" s="1"/>
  <c r="H117" i="6" s="1"/>
  <c r="I117" i="6" s="1"/>
  <c r="J117" i="6" s="1"/>
  <c r="K117" i="6" s="1"/>
  <c r="L117" i="6" s="1"/>
  <c r="M117" i="6" s="1"/>
  <c r="N117" i="6" s="1"/>
  <c r="O117" i="6" s="1"/>
  <c r="P117" i="6" s="1"/>
  <c r="Q117" i="6" s="1"/>
  <c r="R117" i="6" s="1"/>
  <c r="S117" i="6" s="1"/>
  <c r="T117" i="6" s="1"/>
  <c r="U117" i="6" s="1"/>
  <c r="V117" i="6" s="1"/>
  <c r="W117" i="6" s="1"/>
  <c r="X117" i="6" s="1"/>
  <c r="Y117" i="6" s="1"/>
  <c r="Z117" i="6" s="1"/>
  <c r="AA117" i="6" s="1"/>
  <c r="AB117" i="6" s="1"/>
  <c r="AC117" i="6" s="1"/>
  <c r="AD117" i="6" s="1"/>
  <c r="AE117" i="6" s="1"/>
  <c r="AF117" i="6" s="1"/>
  <c r="AG117" i="6" s="1"/>
  <c r="AH117" i="6" s="1"/>
  <c r="AI117" i="6" s="1"/>
  <c r="AJ117" i="6" s="1"/>
  <c r="AK117" i="6" s="1"/>
  <c r="AL117" i="6" s="1"/>
  <c r="AM117" i="6" s="1"/>
  <c r="AN117" i="6" s="1"/>
  <c r="AO117" i="6" s="1"/>
  <c r="AP117" i="6" s="1"/>
  <c r="AQ117" i="6" s="1"/>
  <c r="AR117" i="6" s="1"/>
  <c r="AS117" i="6" s="1"/>
  <c r="AT117" i="6" s="1"/>
  <c r="AU117" i="6" s="1"/>
  <c r="AV117" i="6" s="1"/>
  <c r="AW117" i="6" s="1"/>
  <c r="AX117" i="6" s="1"/>
  <c r="AY117" i="6" s="1"/>
  <c r="AZ117" i="6" s="1"/>
  <c r="BA117" i="6" s="1"/>
  <c r="BB117" i="6" s="1"/>
  <c r="BC117" i="6" s="1"/>
  <c r="BD117" i="6" s="1"/>
  <c r="BE117" i="6" s="1"/>
  <c r="BF117" i="6" s="1"/>
  <c r="BG117" i="6" s="1"/>
  <c r="BH117" i="6" s="1"/>
  <c r="BI117" i="6" s="1"/>
  <c r="BJ117" i="6" s="1"/>
  <c r="BK117" i="6" s="1"/>
  <c r="BL117" i="6" s="1"/>
  <c r="BM117" i="6" s="1"/>
  <c r="BN117" i="6" s="1"/>
  <c r="BO117" i="6" s="1"/>
  <c r="BP117" i="6" s="1"/>
  <c r="BQ117" i="6" s="1"/>
  <c r="BR117" i="6" s="1"/>
  <c r="BS117" i="6" s="1"/>
  <c r="BT117" i="6" s="1"/>
  <c r="BU117" i="6" s="1"/>
  <c r="BV117" i="6" s="1"/>
  <c r="BW117" i="6" s="1"/>
  <c r="BX117" i="6" s="1"/>
  <c r="BY117" i="6" s="1"/>
  <c r="BZ117" i="6" s="1"/>
  <c r="CA117" i="6" s="1"/>
  <c r="CB117" i="6" s="1"/>
  <c r="CC117" i="6" s="1"/>
  <c r="CD117" i="6" s="1"/>
  <c r="CE117" i="6" s="1"/>
  <c r="CF117" i="6" s="1"/>
  <c r="CG117" i="6" s="1"/>
  <c r="CH117" i="6" s="1"/>
  <c r="CI117" i="6" s="1"/>
  <c r="CJ117" i="6" s="1"/>
  <c r="CK117" i="6" s="1"/>
  <c r="CL117" i="6" s="1"/>
  <c r="CM117" i="6" s="1"/>
  <c r="CN117" i="6" s="1"/>
  <c r="CO117" i="6" s="1"/>
  <c r="CP117" i="6" s="1"/>
  <c r="CQ117" i="6" s="1"/>
  <c r="CR117" i="6" s="1"/>
  <c r="CS117" i="6" s="1"/>
  <c r="CT117" i="6" s="1"/>
  <c r="CU117" i="6" s="1"/>
  <c r="CV117" i="6" s="1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B94" i="6"/>
  <c r="B113" i="6" s="1"/>
  <c r="CY93" i="6"/>
  <c r="CY92" i="6"/>
  <c r="CY91" i="6"/>
  <c r="CY90" i="6"/>
  <c r="B71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CY70" i="6" s="1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CY69" i="6" s="1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CY68" i="6" s="1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CY67" i="6" s="1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CY66" i="6" s="1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CY65" i="6" s="1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CY64" i="6" s="1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CY63" i="6" s="1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CY62" i="6" s="1"/>
  <c r="B48" i="6"/>
  <c r="B51" i="6" s="1"/>
  <c r="CY51" i="6" s="1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CY47" i="6" s="1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CY46" i="6" s="1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CY45" i="6" s="1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CY44" i="6" s="1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CY43" i="6" s="1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CY42" i="6" s="1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CY41" i="6" s="1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CY40" i="6" s="1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CY39" i="6" s="1"/>
  <c r="B25" i="6"/>
  <c r="B28" i="6" s="1"/>
  <c r="CY28" i="6" s="1"/>
  <c r="CY24" i="6"/>
  <c r="CY23" i="6"/>
  <c r="CY22" i="6"/>
  <c r="CY21" i="6"/>
  <c r="CY20" i="6"/>
  <c r="CY19" i="6"/>
  <c r="CY18" i="6"/>
  <c r="CY15" i="6"/>
  <c r="B2" i="6"/>
  <c r="B52" i="6" l="1"/>
  <c r="CY52" i="6" s="1"/>
  <c r="B29" i="6"/>
  <c r="CY29" i="6" s="1"/>
  <c r="B32" i="6"/>
  <c r="CY32" i="6" s="1"/>
  <c r="B105" i="6"/>
  <c r="CY105" i="6" s="1"/>
  <c r="B7" i="6"/>
  <c r="CY7" i="6" s="1"/>
  <c r="B12" i="6"/>
  <c r="CY12" i="6" s="1"/>
  <c r="B9" i="6"/>
  <c r="CY9" i="6" s="1"/>
  <c r="B13" i="6"/>
  <c r="CY13" i="6" s="1"/>
  <c r="B14" i="6"/>
  <c r="CY14" i="6" s="1"/>
  <c r="B6" i="6"/>
  <c r="CY6" i="6" s="1"/>
  <c r="B10" i="6"/>
  <c r="CY10" i="6" s="1"/>
  <c r="B11" i="6"/>
  <c r="CY11" i="6" s="1"/>
  <c r="B5" i="6"/>
  <c r="CY5" i="6" s="1"/>
  <c r="B8" i="6"/>
  <c r="CY8" i="6" s="1"/>
  <c r="B36" i="6"/>
  <c r="CY36" i="6" s="1"/>
  <c r="B35" i="6"/>
  <c r="CY35" i="6" s="1"/>
  <c r="B30" i="6"/>
  <c r="CY30" i="6" s="1"/>
  <c r="B33" i="6"/>
  <c r="CY33" i="6" s="1"/>
  <c r="B106" i="6"/>
  <c r="CY106" i="6" s="1"/>
  <c r="B37" i="6"/>
  <c r="CY37" i="6" s="1"/>
  <c r="B53" i="6"/>
  <c r="CY53" i="6" s="1"/>
  <c r="B54" i="6"/>
  <c r="CY54" i="6" s="1"/>
  <c r="B55" i="6"/>
  <c r="CY55" i="6" s="1"/>
  <c r="B31" i="6"/>
  <c r="CY31" i="6" s="1"/>
  <c r="B88" i="6"/>
  <c r="B85" i="6"/>
  <c r="CY85" i="6" s="1"/>
  <c r="B82" i="6"/>
  <c r="CY82" i="6" s="1"/>
  <c r="B87" i="6"/>
  <c r="B84" i="6"/>
  <c r="CY84" i="6" s="1"/>
  <c r="B81" i="6"/>
  <c r="CY81" i="6" s="1"/>
  <c r="B80" i="6"/>
  <c r="CY80" i="6" s="1"/>
  <c r="B89" i="6"/>
  <c r="CY89" i="6" s="1"/>
  <c r="B86" i="6"/>
  <c r="CY86" i="6" s="1"/>
  <c r="B83" i="6"/>
  <c r="CY83" i="6" s="1"/>
  <c r="B74" i="6"/>
  <c r="CY74" i="6" s="1"/>
  <c r="B79" i="6"/>
  <c r="CY79" i="6" s="1"/>
  <c r="B78" i="6"/>
  <c r="CY78" i="6" s="1"/>
  <c r="B77" i="6"/>
  <c r="CY77" i="6" s="1"/>
  <c r="B75" i="6"/>
  <c r="CY75" i="6" s="1"/>
  <c r="B76" i="6"/>
  <c r="CY76" i="6" s="1"/>
  <c r="B34" i="6"/>
  <c r="CY34" i="6" s="1"/>
  <c r="B107" i="6"/>
  <c r="CY107" i="6" s="1"/>
  <c r="B104" i="6"/>
  <c r="CY104" i="6" s="1"/>
  <c r="H44" i="18"/>
  <c r="I45" i="18"/>
  <c r="Z171" i="16"/>
  <c r="W171" i="16" s="1"/>
  <c r="Y172" i="16"/>
  <c r="CV38" i="6"/>
  <c r="CT38" i="6" s="1"/>
  <c r="CV60" i="6"/>
  <c r="CT60" i="6" s="1"/>
  <c r="H1" i="3"/>
  <c r="B99" i="6"/>
  <c r="CY99" i="6" s="1"/>
  <c r="B103" i="6"/>
  <c r="CY103" i="6" s="1"/>
  <c r="B98" i="6"/>
  <c r="CY98" i="6" s="1"/>
  <c r="B102" i="6"/>
  <c r="CY102" i="6" s="1"/>
  <c r="CU59" i="6"/>
  <c r="B101" i="6"/>
  <c r="CY101" i="6" s="1"/>
  <c r="B100" i="6"/>
  <c r="CY100" i="6" s="1"/>
  <c r="B97" i="6"/>
  <c r="CU58" i="6"/>
  <c r="CU57" i="6"/>
  <c r="CU61" i="6"/>
  <c r="CU56" i="6"/>
  <c r="CU16" i="6"/>
  <c r="C94" i="6"/>
  <c r="CU17" i="6"/>
  <c r="C2" i="6"/>
  <c r="C48" i="6"/>
  <c r="CY88" i="6"/>
  <c r="CY87" i="6"/>
  <c r="C71" i="6"/>
  <c r="C25" i="6"/>
  <c r="B108" i="6"/>
  <c r="B110" i="6"/>
  <c r="B112" i="6"/>
  <c r="B109" i="6"/>
  <c r="B111" i="6"/>
  <c r="C88" i="6" l="1"/>
  <c r="C85" i="6"/>
  <c r="C84" i="6"/>
  <c r="C82" i="6"/>
  <c r="C87" i="6"/>
  <c r="C81" i="6"/>
  <c r="C83" i="6"/>
  <c r="C89" i="6"/>
  <c r="C86" i="6"/>
  <c r="C80" i="6"/>
  <c r="C78" i="6"/>
  <c r="C79" i="6"/>
  <c r="C74" i="6"/>
  <c r="C75" i="6"/>
  <c r="C76" i="6"/>
  <c r="C77" i="6"/>
  <c r="C51" i="6"/>
  <c r="C55" i="6"/>
  <c r="C54" i="6"/>
  <c r="C53" i="6"/>
  <c r="C52" i="6"/>
  <c r="C34" i="6"/>
  <c r="C31" i="6"/>
  <c r="C37" i="6"/>
  <c r="C33" i="6"/>
  <c r="C30" i="6"/>
  <c r="C35" i="6"/>
  <c r="C36" i="6"/>
  <c r="C32" i="6"/>
  <c r="C29" i="6"/>
  <c r="C104" i="6"/>
  <c r="C107" i="6"/>
  <c r="C106" i="6"/>
  <c r="C105" i="6"/>
  <c r="D2" i="6"/>
  <c r="C14" i="6"/>
  <c r="C6" i="6"/>
  <c r="C13" i="6"/>
  <c r="C12" i="6"/>
  <c r="C10" i="6"/>
  <c r="C5" i="6"/>
  <c r="C9" i="6"/>
  <c r="C7" i="6"/>
  <c r="C11" i="6"/>
  <c r="C8" i="6"/>
  <c r="H45" i="18"/>
  <c r="I46" i="18"/>
  <c r="Z172" i="16"/>
  <c r="W172" i="16" s="1"/>
  <c r="Y173" i="16"/>
  <c r="B4" i="3"/>
  <c r="E5" i="3"/>
  <c r="C7" i="3"/>
  <c r="F8" i="3"/>
  <c r="D10" i="3"/>
  <c r="B12" i="3"/>
  <c r="E13" i="3"/>
  <c r="C15" i="3"/>
  <c r="F16" i="3"/>
  <c r="D18" i="3"/>
  <c r="B20" i="3"/>
  <c r="F3" i="3"/>
  <c r="C10" i="3"/>
  <c r="C4" i="3"/>
  <c r="F5" i="3"/>
  <c r="D7" i="3"/>
  <c r="B9" i="3"/>
  <c r="E10" i="3"/>
  <c r="C12" i="3"/>
  <c r="F13" i="3"/>
  <c r="D15" i="3"/>
  <c r="B17" i="3"/>
  <c r="E18" i="3"/>
  <c r="C20" i="3"/>
  <c r="B3" i="3"/>
  <c r="F11" i="3"/>
  <c r="D4" i="3"/>
  <c r="B6" i="3"/>
  <c r="E7" i="3"/>
  <c r="C9" i="3"/>
  <c r="F10" i="3"/>
  <c r="D12" i="3"/>
  <c r="B14" i="3"/>
  <c r="E15" i="3"/>
  <c r="C17" i="3"/>
  <c r="F18" i="3"/>
  <c r="D20" i="3"/>
  <c r="E8" i="3"/>
  <c r="E4" i="3"/>
  <c r="C6" i="3"/>
  <c r="F7" i="3"/>
  <c r="D9" i="3"/>
  <c r="B11" i="3"/>
  <c r="E12" i="3"/>
  <c r="C14" i="3"/>
  <c r="F15" i="3"/>
  <c r="D17" i="3"/>
  <c r="B19" i="3"/>
  <c r="E20" i="3"/>
  <c r="F4" i="3"/>
  <c r="D6" i="3"/>
  <c r="B8" i="3"/>
  <c r="E9" i="3"/>
  <c r="C11" i="3"/>
  <c r="F12" i="3"/>
  <c r="D14" i="3"/>
  <c r="B16" i="3"/>
  <c r="E17" i="3"/>
  <c r="C19" i="3"/>
  <c r="F20" i="3"/>
  <c r="B7" i="3"/>
  <c r="B15" i="3"/>
  <c r="C18" i="3"/>
  <c r="E3" i="3"/>
  <c r="B5" i="3"/>
  <c r="E6" i="3"/>
  <c r="C8" i="3"/>
  <c r="F9" i="3"/>
  <c r="D11" i="3"/>
  <c r="B13" i="3"/>
  <c r="E14" i="3"/>
  <c r="C16" i="3"/>
  <c r="F17" i="3"/>
  <c r="D19" i="3"/>
  <c r="C3" i="3"/>
  <c r="D5" i="3"/>
  <c r="D13" i="3"/>
  <c r="E16" i="3"/>
  <c r="F19" i="3"/>
  <c r="C5" i="3"/>
  <c r="F6" i="3"/>
  <c r="D8" i="3"/>
  <c r="B10" i="3"/>
  <c r="E11" i="3"/>
  <c r="C13" i="3"/>
  <c r="F14" i="3"/>
  <c r="D16" i="3"/>
  <c r="B18" i="3"/>
  <c r="E19" i="3"/>
  <c r="D3" i="3"/>
  <c r="C113" i="6"/>
  <c r="C100" i="6"/>
  <c r="C101" i="6"/>
  <c r="C102" i="6"/>
  <c r="C98" i="6"/>
  <c r="C103" i="6"/>
  <c r="C99" i="6"/>
  <c r="C110" i="6"/>
  <c r="C108" i="6"/>
  <c r="C109" i="6"/>
  <c r="D94" i="6"/>
  <c r="C111" i="6"/>
  <c r="C97" i="6"/>
  <c r="C112" i="6"/>
  <c r="D48" i="6"/>
  <c r="D109" i="6"/>
  <c r="D25" i="6"/>
  <c r="C28" i="6"/>
  <c r="D71" i="6"/>
  <c r="D85" i="6" l="1"/>
  <c r="D87" i="6"/>
  <c r="D81" i="6"/>
  <c r="D82" i="6"/>
  <c r="D84" i="6"/>
  <c r="D89" i="6"/>
  <c r="D88" i="6"/>
  <c r="D83" i="6"/>
  <c r="D80" i="6"/>
  <c r="D86" i="6"/>
  <c r="D78" i="6"/>
  <c r="D74" i="6"/>
  <c r="D79" i="6"/>
  <c r="D76" i="6"/>
  <c r="D75" i="6"/>
  <c r="D77" i="6"/>
  <c r="E2" i="6"/>
  <c r="D9" i="6"/>
  <c r="D10" i="6"/>
  <c r="D14" i="6"/>
  <c r="D12" i="6"/>
  <c r="D11" i="6"/>
  <c r="D7" i="6"/>
  <c r="D13" i="6"/>
  <c r="D6" i="6"/>
  <c r="D8" i="6"/>
  <c r="D5" i="6"/>
  <c r="D51" i="6"/>
  <c r="D55" i="6"/>
  <c r="D54" i="6"/>
  <c r="D53" i="6"/>
  <c r="D52" i="6"/>
  <c r="D107" i="6"/>
  <c r="D106" i="6"/>
  <c r="D105" i="6"/>
  <c r="D34" i="6"/>
  <c r="D31" i="6"/>
  <c r="D37" i="6"/>
  <c r="D33" i="6"/>
  <c r="D30" i="6"/>
  <c r="D35" i="6"/>
  <c r="D36" i="6"/>
  <c r="D32" i="6"/>
  <c r="D29" i="6"/>
  <c r="D97" i="6"/>
  <c r="D104" i="6"/>
  <c r="H46" i="18"/>
  <c r="I47" i="18"/>
  <c r="BR62" i="28"/>
  <c r="BT42" i="27"/>
  <c r="BT147" i="27"/>
  <c r="BU41" i="25"/>
  <c r="BT125" i="25"/>
  <c r="BU124" i="25"/>
  <c r="BR126" i="25"/>
  <c r="BT19" i="24"/>
  <c r="BT103" i="24"/>
  <c r="BR21" i="23"/>
  <c r="BU147" i="23"/>
  <c r="BU147" i="20"/>
  <c r="BU126" i="25"/>
  <c r="BS42" i="27"/>
  <c r="BR147" i="27"/>
  <c r="BT41" i="25"/>
  <c r="BR19" i="25"/>
  <c r="BS125" i="25"/>
  <c r="BT124" i="25"/>
  <c r="BS19" i="24"/>
  <c r="BR62" i="24"/>
  <c r="BU104" i="24"/>
  <c r="BS103" i="24"/>
  <c r="BU42" i="22"/>
  <c r="BT104" i="21"/>
  <c r="BT147" i="20"/>
  <c r="BS41" i="29"/>
  <c r="BT82" i="29"/>
  <c r="BS62" i="28"/>
  <c r="BR145" i="27"/>
  <c r="BT41" i="26"/>
  <c r="BT146" i="26"/>
  <c r="BS41" i="25"/>
  <c r="BU19" i="25"/>
  <c r="BR125" i="25"/>
  <c r="BU84" i="25"/>
  <c r="BS124" i="25"/>
  <c r="BR19" i="24"/>
  <c r="BT61" i="24"/>
  <c r="BU62" i="24"/>
  <c r="BT104" i="24"/>
  <c r="BR103" i="24"/>
  <c r="BS82" i="23"/>
  <c r="BT83" i="23"/>
  <c r="BT42" i="22"/>
  <c r="BU125" i="22"/>
  <c r="BU104" i="21"/>
  <c r="BS147" i="20"/>
  <c r="BU41" i="29"/>
  <c r="BR82" i="29"/>
  <c r="BR83" i="28"/>
  <c r="BS40" i="27"/>
  <c r="BT40" i="27"/>
  <c r="BT145" i="27"/>
  <c r="BS146" i="27"/>
  <c r="BS41" i="26"/>
  <c r="BS146" i="26"/>
  <c r="BR41" i="25"/>
  <c r="BS19" i="25"/>
  <c r="BT84" i="25"/>
  <c r="BR124" i="25"/>
  <c r="BV124" i="25" s="1"/>
  <c r="BT126" i="25"/>
  <c r="BS61" i="24"/>
  <c r="BT62" i="24"/>
  <c r="BT147" i="24"/>
  <c r="BS104" i="24"/>
  <c r="BR82" i="23"/>
  <c r="BS83" i="23"/>
  <c r="BS42" i="22"/>
  <c r="BT125" i="22"/>
  <c r="BS104" i="21"/>
  <c r="BR147" i="20"/>
  <c r="BR41" i="29"/>
  <c r="BU82" i="29"/>
  <c r="BS83" i="28"/>
  <c r="BS145" i="27"/>
  <c r="BU146" i="27"/>
  <c r="BU41" i="26"/>
  <c r="BU146" i="26"/>
  <c r="BS84" i="25"/>
  <c r="BR61" i="24"/>
  <c r="BS62" i="24"/>
  <c r="BS147" i="24"/>
  <c r="BR104" i="24"/>
  <c r="BT82" i="23"/>
  <c r="BU83" i="23"/>
  <c r="BT146" i="23"/>
  <c r="BR42" i="22"/>
  <c r="BS125" i="22"/>
  <c r="BR104" i="21"/>
  <c r="BU105" i="21"/>
  <c r="BS82" i="29"/>
  <c r="BU83" i="28"/>
  <c r="BU40" i="27"/>
  <c r="BS147" i="27"/>
  <c r="BR146" i="26"/>
  <c r="BR84" i="25"/>
  <c r="BU19" i="24"/>
  <c r="BU61" i="24"/>
  <c r="BR147" i="24"/>
  <c r="BR83" i="24"/>
  <c r="BU19" i="23"/>
  <c r="BR83" i="23"/>
  <c r="BT147" i="23"/>
  <c r="BS146" i="23"/>
  <c r="BR125" i="22"/>
  <c r="BT105" i="21"/>
  <c r="BR41" i="26"/>
  <c r="BT83" i="28"/>
  <c r="BT62" i="28"/>
  <c r="BR42" i="27"/>
  <c r="BT19" i="25"/>
  <c r="BU147" i="24"/>
  <c r="BU83" i="24"/>
  <c r="BT83" i="24"/>
  <c r="BT21" i="23"/>
  <c r="BT19" i="23"/>
  <c r="BS147" i="23"/>
  <c r="BU146" i="23"/>
  <c r="BS105" i="21"/>
  <c r="BT41" i="29"/>
  <c r="BU62" i="28"/>
  <c r="BU42" i="27"/>
  <c r="BU125" i="25"/>
  <c r="BS126" i="25"/>
  <c r="BS83" i="24"/>
  <c r="BS21" i="23"/>
  <c r="BU21" i="23"/>
  <c r="BR19" i="23"/>
  <c r="BR147" i="23"/>
  <c r="BR105" i="21"/>
  <c r="BU103" i="24"/>
  <c r="BT146" i="27"/>
  <c r="BU126" i="29"/>
  <c r="BU84" i="29"/>
  <c r="BT105" i="29"/>
  <c r="BR20" i="29"/>
  <c r="BT19" i="29"/>
  <c r="BU147" i="29"/>
  <c r="BT104" i="29"/>
  <c r="BS42" i="29"/>
  <c r="BR125" i="29"/>
  <c r="BR83" i="29"/>
  <c r="BR41" i="28"/>
  <c r="BR124" i="28"/>
  <c r="BT125" i="28"/>
  <c r="BS104" i="28"/>
  <c r="BU147" i="28"/>
  <c r="BR103" i="28"/>
  <c r="BR20" i="28"/>
  <c r="BR146" i="28"/>
  <c r="BS105" i="28"/>
  <c r="BR61" i="28"/>
  <c r="BS42" i="28"/>
  <c r="BS124" i="27"/>
  <c r="BS62" i="27"/>
  <c r="BT21" i="27"/>
  <c r="BU126" i="27"/>
  <c r="BU104" i="27"/>
  <c r="BT63" i="27"/>
  <c r="BR20" i="27"/>
  <c r="BT103" i="27"/>
  <c r="BU19" i="27"/>
  <c r="BU105" i="27"/>
  <c r="BT82" i="27"/>
  <c r="BS84" i="27"/>
  <c r="BS83" i="27"/>
  <c r="BR126" i="26"/>
  <c r="BR40" i="26"/>
  <c r="BR19" i="26"/>
  <c r="BR147" i="26"/>
  <c r="BT145" i="26"/>
  <c r="BR20" i="26"/>
  <c r="BS21" i="26"/>
  <c r="BU82" i="26"/>
  <c r="BU125" i="26"/>
  <c r="BS105" i="26"/>
  <c r="BS124" i="26"/>
  <c r="BT146" i="25"/>
  <c r="BR40" i="25"/>
  <c r="BR21" i="25"/>
  <c r="BS42" i="25"/>
  <c r="BS20" i="25"/>
  <c r="BR147" i="25"/>
  <c r="BS82" i="25"/>
  <c r="BU126" i="24"/>
  <c r="BS84" i="24"/>
  <c r="BR82" i="24"/>
  <c r="BT21" i="24"/>
  <c r="BR41" i="24"/>
  <c r="BR105" i="23"/>
  <c r="BU145" i="23"/>
  <c r="BU61" i="23"/>
  <c r="BU62" i="23"/>
  <c r="BU124" i="23"/>
  <c r="BU42" i="23"/>
  <c r="BT126" i="23"/>
  <c r="BR41" i="23"/>
  <c r="BS103" i="23"/>
  <c r="BU84" i="22"/>
  <c r="BT146" i="22"/>
  <c r="BT103" i="22"/>
  <c r="BU145" i="27"/>
  <c r="BS126" i="29"/>
  <c r="BS84" i="29"/>
  <c r="BS124" i="29"/>
  <c r="BT21" i="29"/>
  <c r="BU20" i="29"/>
  <c r="BR19" i="29"/>
  <c r="BT147" i="29"/>
  <c r="BR104" i="29"/>
  <c r="BS145" i="29"/>
  <c r="BU125" i="29"/>
  <c r="BT83" i="29"/>
  <c r="BR145" i="28"/>
  <c r="BT41" i="28"/>
  <c r="BU125" i="28"/>
  <c r="BT104" i="28"/>
  <c r="BT147" i="28"/>
  <c r="BS103" i="28"/>
  <c r="BU40" i="28"/>
  <c r="BU146" i="28"/>
  <c r="BR105" i="28"/>
  <c r="BU61" i="28"/>
  <c r="BR42" i="28"/>
  <c r="BR124" i="27"/>
  <c r="BS21" i="27"/>
  <c r="BT126" i="27"/>
  <c r="BS63" i="27"/>
  <c r="BU20" i="27"/>
  <c r="BS103" i="27"/>
  <c r="BT19" i="27"/>
  <c r="BT105" i="27"/>
  <c r="BS82" i="27"/>
  <c r="BU83" i="27"/>
  <c r="BS126" i="26"/>
  <c r="BT40" i="26"/>
  <c r="BU19" i="26"/>
  <c r="BU147" i="26"/>
  <c r="BU145" i="26"/>
  <c r="BU20" i="26"/>
  <c r="BR82" i="26"/>
  <c r="BS125" i="26"/>
  <c r="BT84" i="26"/>
  <c r="BR105" i="26"/>
  <c r="BS146" i="25"/>
  <c r="BS62" i="25"/>
  <c r="BR42" i="25"/>
  <c r="BT20" i="25"/>
  <c r="BT105" i="25"/>
  <c r="BU83" i="25"/>
  <c r="BR82" i="25"/>
  <c r="BR145" i="24"/>
  <c r="BR146" i="24"/>
  <c r="BS126" i="24"/>
  <c r="BT125" i="24"/>
  <c r="BT82" i="24"/>
  <c r="BS63" i="24"/>
  <c r="BR21" i="24"/>
  <c r="BT41" i="24"/>
  <c r="BU105" i="23"/>
  <c r="BT61" i="23"/>
  <c r="BT84" i="23"/>
  <c r="BT62" i="23"/>
  <c r="BS124" i="23"/>
  <c r="BT42" i="23"/>
  <c r="BS126" i="23"/>
  <c r="BU41" i="23"/>
  <c r="BR103" i="23"/>
  <c r="BU62" i="22"/>
  <c r="BT61" i="22"/>
  <c r="BU124" i="22"/>
  <c r="BR146" i="23"/>
  <c r="BV146" i="23" s="1"/>
  <c r="BT126" i="29"/>
  <c r="BR84" i="29"/>
  <c r="BU124" i="29"/>
  <c r="BR21" i="29"/>
  <c r="BS20" i="29"/>
  <c r="BU19" i="29"/>
  <c r="BS147" i="29"/>
  <c r="BT145" i="29"/>
  <c r="BS125" i="29"/>
  <c r="BS83" i="29"/>
  <c r="BU145" i="28"/>
  <c r="BS41" i="28"/>
  <c r="BS125" i="28"/>
  <c r="BU104" i="28"/>
  <c r="BS147" i="28"/>
  <c r="BU103" i="28"/>
  <c r="BT40" i="28"/>
  <c r="BT146" i="28"/>
  <c r="BU105" i="28"/>
  <c r="BU21" i="28"/>
  <c r="BU124" i="27"/>
  <c r="BT125" i="27"/>
  <c r="BR21" i="27"/>
  <c r="BR126" i="27"/>
  <c r="BR63" i="27"/>
  <c r="BT20" i="27"/>
  <c r="BS19" i="27"/>
  <c r="BS105" i="27"/>
  <c r="BT83" i="27"/>
  <c r="BT104" i="26"/>
  <c r="BU40" i="26"/>
  <c r="BU61" i="26"/>
  <c r="BT20" i="26"/>
  <c r="BU63" i="26"/>
  <c r="BR125" i="26"/>
  <c r="BR84" i="26"/>
  <c r="BT105" i="26"/>
  <c r="BR146" i="25"/>
  <c r="BR62" i="25"/>
  <c r="BU42" i="25"/>
  <c r="BR20" i="25"/>
  <c r="BU105" i="25"/>
  <c r="BT83" i="25"/>
  <c r="BU82" i="25"/>
  <c r="BT145" i="24"/>
  <c r="BU146" i="24"/>
  <c r="BR126" i="24"/>
  <c r="BR125" i="24"/>
  <c r="BT63" i="24"/>
  <c r="BS21" i="24"/>
  <c r="BS41" i="24"/>
  <c r="BU42" i="24"/>
  <c r="BS105" i="23"/>
  <c r="BS61" i="23"/>
  <c r="BS84" i="23"/>
  <c r="BR62" i="23"/>
  <c r="BR124" i="23"/>
  <c r="BS42" i="23"/>
  <c r="BR126" i="23"/>
  <c r="BS40" i="23"/>
  <c r="BT20" i="23"/>
  <c r="BT103" i="23"/>
  <c r="BS62" i="22"/>
  <c r="BU61" i="22"/>
  <c r="BT124" i="22"/>
  <c r="BR146" i="22"/>
  <c r="BR19" i="22"/>
  <c r="BS105" i="22"/>
  <c r="BS40" i="22"/>
  <c r="BR83" i="22"/>
  <c r="BT147" i="21"/>
  <c r="BT63" i="21"/>
  <c r="BU146" i="21"/>
  <c r="BR61" i="21"/>
  <c r="BT145" i="21"/>
  <c r="BR62" i="21"/>
  <c r="BR84" i="21"/>
  <c r="BT83" i="21"/>
  <c r="BS125" i="21"/>
  <c r="BS19" i="21"/>
  <c r="BR103" i="21"/>
  <c r="BU20" i="21"/>
  <c r="BR126" i="21"/>
  <c r="BS104" i="20"/>
  <c r="BU147" i="27"/>
  <c r="BR126" i="29"/>
  <c r="BT84" i="29"/>
  <c r="BT124" i="29"/>
  <c r="BU61" i="29"/>
  <c r="BR40" i="29"/>
  <c r="BU21" i="29"/>
  <c r="BU63" i="29"/>
  <c r="BS19" i="29"/>
  <c r="BR147" i="29"/>
  <c r="BT146" i="29"/>
  <c r="BR145" i="29"/>
  <c r="BU83" i="29"/>
  <c r="BT145" i="28"/>
  <c r="BR125" i="28"/>
  <c r="BR104" i="28"/>
  <c r="BR147" i="28"/>
  <c r="BT103" i="28"/>
  <c r="BS40" i="28"/>
  <c r="BT105" i="28"/>
  <c r="BT21" i="28"/>
  <c r="BT124" i="27"/>
  <c r="BU125" i="27"/>
  <c r="BU61" i="27"/>
  <c r="BR83" i="27"/>
  <c r="BS104" i="26"/>
  <c r="BR62" i="26"/>
  <c r="BT61" i="26"/>
  <c r="BS20" i="26"/>
  <c r="BT63" i="26"/>
  <c r="BT125" i="26"/>
  <c r="BU84" i="26"/>
  <c r="BU103" i="26"/>
  <c r="BU146" i="25"/>
  <c r="BT62" i="25"/>
  <c r="BT42" i="25"/>
  <c r="BS105" i="25"/>
  <c r="BR104" i="25"/>
  <c r="BS83" i="25"/>
  <c r="BU103" i="25"/>
  <c r="BS145" i="24"/>
  <c r="BS124" i="24"/>
  <c r="BU40" i="24"/>
  <c r="BT146" i="24"/>
  <c r="BU125" i="24"/>
  <c r="BU20" i="24"/>
  <c r="BU63" i="24"/>
  <c r="BT42" i="24"/>
  <c r="BT105" i="23"/>
  <c r="BT104" i="23"/>
  <c r="BR61" i="23"/>
  <c r="BR84" i="23"/>
  <c r="BS62" i="23"/>
  <c r="BR42" i="23"/>
  <c r="BV42" i="23" s="1"/>
  <c r="BU126" i="23"/>
  <c r="BR40" i="23"/>
  <c r="BV40" i="23" s="1"/>
  <c r="BS20" i="23"/>
  <c r="BS125" i="23"/>
  <c r="BS126" i="22"/>
  <c r="BT62" i="22"/>
  <c r="BS61" i="22"/>
  <c r="BU20" i="22"/>
  <c r="BS124" i="22"/>
  <c r="BU21" i="22"/>
  <c r="BU147" i="22"/>
  <c r="BU146" i="22"/>
  <c r="BU41" i="22"/>
  <c r="BU82" i="22"/>
  <c r="BR105" i="22"/>
  <c r="BR40" i="22"/>
  <c r="BU83" i="22"/>
  <c r="BS147" i="21"/>
  <c r="BS63" i="21"/>
  <c r="BT146" i="21"/>
  <c r="BU41" i="21"/>
  <c r="BS145" i="21"/>
  <c r="BT84" i="21"/>
  <c r="BT125" i="21"/>
  <c r="BR19" i="21"/>
  <c r="BS103" i="21"/>
  <c r="BT20" i="21"/>
  <c r="BR104" i="20"/>
  <c r="BS19" i="23"/>
  <c r="BT62" i="29"/>
  <c r="BR124" i="29"/>
  <c r="BS61" i="29"/>
  <c r="BT40" i="29"/>
  <c r="BS21" i="29"/>
  <c r="BS63" i="29"/>
  <c r="BR103" i="29"/>
  <c r="BR146" i="29"/>
  <c r="BU145" i="29"/>
  <c r="BS145" i="28"/>
  <c r="BS63" i="28"/>
  <c r="BT126" i="28"/>
  <c r="BS19" i="28"/>
  <c r="BU84" i="28"/>
  <c r="BR40" i="28"/>
  <c r="BU82" i="28"/>
  <c r="BS21" i="28"/>
  <c r="BS125" i="27"/>
  <c r="BT61" i="27"/>
  <c r="BS41" i="27"/>
  <c r="BR104" i="26"/>
  <c r="BU62" i="26"/>
  <c r="BR61" i="26"/>
  <c r="BT42" i="26"/>
  <c r="BR63" i="26"/>
  <c r="BS84" i="26"/>
  <c r="BS103" i="26"/>
  <c r="BS83" i="26"/>
  <c r="BU63" i="25"/>
  <c r="BU62" i="25"/>
  <c r="BR61" i="25"/>
  <c r="BR105" i="25"/>
  <c r="BS145" i="25"/>
  <c r="BU104" i="25"/>
  <c r="BR83" i="25"/>
  <c r="BT103" i="25"/>
  <c r="BU145" i="24"/>
  <c r="BR124" i="24"/>
  <c r="BT40" i="24"/>
  <c r="BS146" i="24"/>
  <c r="BS125" i="24"/>
  <c r="BT20" i="24"/>
  <c r="BR63" i="24"/>
  <c r="BV63" i="24" s="1"/>
  <c r="BU105" i="24"/>
  <c r="BS42" i="24"/>
  <c r="BS104" i="23"/>
  <c r="BT63" i="23"/>
  <c r="BU84" i="23"/>
  <c r="BT40" i="23"/>
  <c r="BR20" i="23"/>
  <c r="BU125" i="23"/>
  <c r="BR126" i="22"/>
  <c r="BR62" i="22"/>
  <c r="BR61" i="22"/>
  <c r="BT20" i="22"/>
  <c r="BR40" i="27"/>
  <c r="BR62" i="29"/>
  <c r="BR105" i="29"/>
  <c r="BT61" i="29"/>
  <c r="BU40" i="29"/>
  <c r="BT63" i="29"/>
  <c r="BT103" i="29"/>
  <c r="BT42" i="29"/>
  <c r="BU146" i="29"/>
  <c r="BS124" i="28"/>
  <c r="BT63" i="28"/>
  <c r="BS126" i="28"/>
  <c r="BR19" i="28"/>
  <c r="BR84" i="28"/>
  <c r="BU20" i="28"/>
  <c r="BR82" i="28"/>
  <c r="BR21" i="28"/>
  <c r="BR62" i="27"/>
  <c r="BR125" i="27"/>
  <c r="BV125" i="27" s="1"/>
  <c r="BS61" i="27"/>
  <c r="BS104" i="27"/>
  <c r="BR84" i="27"/>
  <c r="BR41" i="27"/>
  <c r="BU104" i="26"/>
  <c r="BS62" i="26"/>
  <c r="BS61" i="26"/>
  <c r="BR21" i="26"/>
  <c r="BS42" i="26"/>
  <c r="BS63" i="26"/>
  <c r="BU124" i="26"/>
  <c r="BR103" i="26"/>
  <c r="BU83" i="26"/>
  <c r="BT63" i="25"/>
  <c r="BU40" i="25"/>
  <c r="BS21" i="25"/>
  <c r="BT61" i="25"/>
  <c r="BR145" i="25"/>
  <c r="BT104" i="25"/>
  <c r="BT147" i="25"/>
  <c r="BS103" i="25"/>
  <c r="BU124" i="24"/>
  <c r="BR40" i="24"/>
  <c r="BU84" i="24"/>
  <c r="BR20" i="24"/>
  <c r="BR105" i="24"/>
  <c r="BR42" i="24"/>
  <c r="BS145" i="23"/>
  <c r="BR104" i="23"/>
  <c r="BS63" i="23"/>
  <c r="BU40" i="23"/>
  <c r="BU20" i="23"/>
  <c r="BT125" i="23"/>
  <c r="BU126" i="22"/>
  <c r="BS20" i="22"/>
  <c r="BS21" i="22"/>
  <c r="BU82" i="23"/>
  <c r="BU62" i="29"/>
  <c r="BU105" i="29"/>
  <c r="BR61" i="29"/>
  <c r="BS40" i="29"/>
  <c r="BR63" i="29"/>
  <c r="BU103" i="29"/>
  <c r="BU104" i="29"/>
  <c r="BR42" i="29"/>
  <c r="BV42" i="29" s="1"/>
  <c r="BS146" i="29"/>
  <c r="BU124" i="28"/>
  <c r="BU63" i="28"/>
  <c r="BR126" i="28"/>
  <c r="BV126" i="28" s="1"/>
  <c r="BU19" i="28"/>
  <c r="BT84" i="28"/>
  <c r="BT20" i="28"/>
  <c r="BS82" i="28"/>
  <c r="BS61" i="28"/>
  <c r="BT42" i="28"/>
  <c r="BU62" i="27"/>
  <c r="BR61" i="27"/>
  <c r="BR104" i="27"/>
  <c r="BV104" i="27" s="1"/>
  <c r="BU103" i="27"/>
  <c r="BR82" i="27"/>
  <c r="BU84" i="27"/>
  <c r="BU41" i="27"/>
  <c r="BU126" i="26"/>
  <c r="BT62" i="26"/>
  <c r="BT19" i="26"/>
  <c r="BT147" i="26"/>
  <c r="BS145" i="26"/>
  <c r="BU21" i="26"/>
  <c r="BR42" i="26"/>
  <c r="BT82" i="26"/>
  <c r="BT124" i="26"/>
  <c r="BT103" i="26"/>
  <c r="BT83" i="26"/>
  <c r="BS63" i="25"/>
  <c r="BT40" i="25"/>
  <c r="BU21" i="25"/>
  <c r="BS61" i="25"/>
  <c r="BU145" i="25"/>
  <c r="BS104" i="25"/>
  <c r="BS147" i="25"/>
  <c r="BR103" i="25"/>
  <c r="BT124" i="24"/>
  <c r="BS40" i="24"/>
  <c r="BR84" i="24"/>
  <c r="BU82" i="24"/>
  <c r="BS20" i="24"/>
  <c r="BT105" i="24"/>
  <c r="BR145" i="23"/>
  <c r="BU104" i="23"/>
  <c r="BU63" i="23"/>
  <c r="BT41" i="23"/>
  <c r="BR125" i="23"/>
  <c r="BT126" i="22"/>
  <c r="BR20" i="22"/>
  <c r="BR21" i="22"/>
  <c r="BR147" i="22"/>
  <c r="BS84" i="22"/>
  <c r="BR146" i="27"/>
  <c r="BS62" i="29"/>
  <c r="BS105" i="29"/>
  <c r="BT20" i="29"/>
  <c r="BS103" i="29"/>
  <c r="BS104" i="29"/>
  <c r="BU42" i="29"/>
  <c r="BT125" i="29"/>
  <c r="BU41" i="28"/>
  <c r="BT124" i="28"/>
  <c r="BR63" i="28"/>
  <c r="BU126" i="28"/>
  <c r="BT19" i="28"/>
  <c r="BS84" i="28"/>
  <c r="BS20" i="28"/>
  <c r="BS146" i="28"/>
  <c r="BT82" i="28"/>
  <c r="BT61" i="28"/>
  <c r="BU42" i="28"/>
  <c r="BT62" i="27"/>
  <c r="BU21" i="27"/>
  <c r="BS126" i="27"/>
  <c r="BT104" i="27"/>
  <c r="BU63" i="27"/>
  <c r="BS20" i="27"/>
  <c r="BR103" i="27"/>
  <c r="BR19" i="27"/>
  <c r="BR105" i="27"/>
  <c r="BV105" i="27" s="1"/>
  <c r="BU82" i="27"/>
  <c r="BT84" i="27"/>
  <c r="BT41" i="27"/>
  <c r="BT126" i="26"/>
  <c r="BS40" i="26"/>
  <c r="BS19" i="26"/>
  <c r="BS147" i="26"/>
  <c r="BR145" i="26"/>
  <c r="BT21" i="26"/>
  <c r="BU42" i="26"/>
  <c r="BS82" i="26"/>
  <c r="BU105" i="26"/>
  <c r="BR124" i="26"/>
  <c r="BV124" i="26" s="1"/>
  <c r="BR83" i="26"/>
  <c r="BR63" i="25"/>
  <c r="BS40" i="25"/>
  <c r="BT21" i="25"/>
  <c r="BU61" i="25"/>
  <c r="BU20" i="25"/>
  <c r="BT145" i="25"/>
  <c r="BU147" i="25"/>
  <c r="BT82" i="25"/>
  <c r="BT126" i="24"/>
  <c r="BT84" i="24"/>
  <c r="BS82" i="24"/>
  <c r="BU21" i="24"/>
  <c r="BS105" i="24"/>
  <c r="BU41" i="24"/>
  <c r="BT145" i="23"/>
  <c r="BR63" i="23"/>
  <c r="BU103" i="22"/>
  <c r="BS19" i="22"/>
  <c r="BU63" i="22"/>
  <c r="BU147" i="21"/>
  <c r="BT61" i="21"/>
  <c r="BR145" i="21"/>
  <c r="BV145" i="21" s="1"/>
  <c r="BS82" i="21"/>
  <c r="BT124" i="21"/>
  <c r="BU126" i="21"/>
  <c r="BR21" i="21"/>
  <c r="BU104" i="20"/>
  <c r="BT41" i="20"/>
  <c r="BU126" i="20"/>
  <c r="BS40" i="20"/>
  <c r="BT125" i="20"/>
  <c r="BU61" i="20"/>
  <c r="BS19" i="20"/>
  <c r="BS124" i="20"/>
  <c r="BS63" i="20"/>
  <c r="BU20" i="20"/>
  <c r="BS63" i="14"/>
  <c r="BT126" i="14"/>
  <c r="BS124" i="14"/>
  <c r="BR103" i="22"/>
  <c r="BT82" i="22"/>
  <c r="BT104" i="22"/>
  <c r="BT63" i="22"/>
  <c r="BR147" i="21"/>
  <c r="BU42" i="21"/>
  <c r="BU61" i="21"/>
  <c r="BT40" i="21"/>
  <c r="BS83" i="21"/>
  <c r="BU125" i="21"/>
  <c r="BU19" i="21"/>
  <c r="BS124" i="21"/>
  <c r="BS126" i="21"/>
  <c r="BT104" i="20"/>
  <c r="BT126" i="20"/>
  <c r="BU84" i="20"/>
  <c r="BU62" i="20"/>
  <c r="BT40" i="20"/>
  <c r="BT61" i="20"/>
  <c r="BR19" i="20"/>
  <c r="BT146" i="20"/>
  <c r="BT82" i="20"/>
  <c r="BR63" i="14"/>
  <c r="BS126" i="14"/>
  <c r="BT124" i="23"/>
  <c r="BS41" i="23"/>
  <c r="BS82" i="22"/>
  <c r="BU104" i="22"/>
  <c r="BS145" i="22"/>
  <c r="BS63" i="22"/>
  <c r="BT42" i="21"/>
  <c r="BS61" i="21"/>
  <c r="BS40" i="21"/>
  <c r="BR83" i="21"/>
  <c r="BR125" i="21"/>
  <c r="BT19" i="21"/>
  <c r="BR124" i="21"/>
  <c r="BT126" i="21"/>
  <c r="BR105" i="20"/>
  <c r="BS126" i="20"/>
  <c r="BT84" i="20"/>
  <c r="BT62" i="20"/>
  <c r="BT21" i="20"/>
  <c r="BS61" i="20"/>
  <c r="BS146" i="20"/>
  <c r="BS82" i="20"/>
  <c r="BU63" i="14"/>
  <c r="BR126" i="14"/>
  <c r="BR145" i="14"/>
  <c r="BT147" i="14"/>
  <c r="BT147" i="22"/>
  <c r="BT84" i="22"/>
  <c r="BT41" i="22"/>
  <c r="BR82" i="22"/>
  <c r="BR104" i="22"/>
  <c r="BR145" i="22"/>
  <c r="BR63" i="22"/>
  <c r="BT83" i="22"/>
  <c r="BS42" i="21"/>
  <c r="BT41" i="21"/>
  <c r="BR40" i="21"/>
  <c r="BU83" i="21"/>
  <c r="BU105" i="20"/>
  <c r="BS103" i="20"/>
  <c r="BR126" i="20"/>
  <c r="BS84" i="20"/>
  <c r="BR62" i="20"/>
  <c r="BS21" i="20"/>
  <c r="BR61" i="20"/>
  <c r="BR146" i="20"/>
  <c r="BR82" i="20"/>
  <c r="BS145" i="20"/>
  <c r="BT63" i="14"/>
  <c r="BU126" i="14"/>
  <c r="BS145" i="14"/>
  <c r="BU103" i="23"/>
  <c r="BS147" i="22"/>
  <c r="BR84" i="22"/>
  <c r="BS146" i="22"/>
  <c r="BS41" i="22"/>
  <c r="BS104" i="22"/>
  <c r="BU145" i="22"/>
  <c r="BT40" i="22"/>
  <c r="BS83" i="22"/>
  <c r="BR42" i="21"/>
  <c r="BR146" i="21"/>
  <c r="BS41" i="21"/>
  <c r="BT62" i="21"/>
  <c r="BU40" i="21"/>
  <c r="BT42" i="20"/>
  <c r="BT105" i="20"/>
  <c r="BR103" i="20"/>
  <c r="BR84" i="20"/>
  <c r="BS62" i="20"/>
  <c r="BR21" i="20"/>
  <c r="BU83" i="20"/>
  <c r="BU146" i="20"/>
  <c r="BU82" i="20"/>
  <c r="BR145" i="20"/>
  <c r="BU105" i="14"/>
  <c r="BR40" i="14"/>
  <c r="BT84" i="14"/>
  <c r="BR41" i="22"/>
  <c r="BT145" i="22"/>
  <c r="BU40" i="22"/>
  <c r="BR63" i="21"/>
  <c r="BS146" i="21"/>
  <c r="BR41" i="21"/>
  <c r="BS62" i="21"/>
  <c r="BU84" i="21"/>
  <c r="BR82" i="21"/>
  <c r="BU103" i="21"/>
  <c r="BS20" i="21"/>
  <c r="BU21" i="21"/>
  <c r="BR42" i="20"/>
  <c r="BS105" i="20"/>
  <c r="BS41" i="20"/>
  <c r="BT103" i="20"/>
  <c r="BU21" i="20"/>
  <c r="BS125" i="20"/>
  <c r="BT83" i="20"/>
  <c r="BR124" i="20"/>
  <c r="BR63" i="20"/>
  <c r="BU145" i="20"/>
  <c r="BT20" i="20"/>
  <c r="BT105" i="14"/>
  <c r="BU40" i="14"/>
  <c r="BR84" i="14"/>
  <c r="BT21" i="22"/>
  <c r="BU19" i="22"/>
  <c r="BT105" i="22"/>
  <c r="BU63" i="21"/>
  <c r="BU62" i="21"/>
  <c r="BS84" i="21"/>
  <c r="BU82" i="21"/>
  <c r="BT103" i="21"/>
  <c r="BR20" i="21"/>
  <c r="BT21" i="21"/>
  <c r="BU42" i="20"/>
  <c r="BR41" i="20"/>
  <c r="BU103" i="20"/>
  <c r="BU40" i="20"/>
  <c r="BR125" i="20"/>
  <c r="BS83" i="20"/>
  <c r="BU19" i="20"/>
  <c r="BU124" i="20"/>
  <c r="BU63" i="20"/>
  <c r="BT145" i="20"/>
  <c r="BS20" i="20"/>
  <c r="BS105" i="14"/>
  <c r="BT40" i="14"/>
  <c r="BS147" i="14"/>
  <c r="BR124" i="22"/>
  <c r="BS103" i="22"/>
  <c r="BT19" i="22"/>
  <c r="BU105" i="22"/>
  <c r="BU145" i="21"/>
  <c r="BT82" i="21"/>
  <c r="BU124" i="21"/>
  <c r="BS21" i="21"/>
  <c r="BS42" i="20"/>
  <c r="BU41" i="20"/>
  <c r="BR40" i="20"/>
  <c r="BU125" i="20"/>
  <c r="BR83" i="20"/>
  <c r="BT19" i="20"/>
  <c r="BT124" i="20"/>
  <c r="BT63" i="20"/>
  <c r="BR20" i="20"/>
  <c r="BU82" i="14"/>
  <c r="BR105" i="14"/>
  <c r="BS40" i="14"/>
  <c r="BS84" i="14"/>
  <c r="BU83" i="14"/>
  <c r="BU145" i="14"/>
  <c r="BR62" i="14"/>
  <c r="BS125" i="14"/>
  <c r="BR103" i="14"/>
  <c r="BT61" i="14"/>
  <c r="BT146" i="14"/>
  <c r="BT83" i="14"/>
  <c r="BS83" i="14"/>
  <c r="BT145" i="14"/>
  <c r="BU84" i="14"/>
  <c r="BR124" i="14"/>
  <c r="BU146" i="14"/>
  <c r="BT62" i="14"/>
  <c r="BU125" i="14"/>
  <c r="BT103" i="14"/>
  <c r="BR61" i="14"/>
  <c r="BT104" i="14"/>
  <c r="BS42" i="14"/>
  <c r="BT42" i="14"/>
  <c r="BT125" i="14"/>
  <c r="BR125" i="14"/>
  <c r="BT82" i="14"/>
  <c r="BS82" i="14"/>
  <c r="BR146" i="14"/>
  <c r="BU41" i="14"/>
  <c r="BU124" i="14"/>
  <c r="BR82" i="14"/>
  <c r="BU147" i="14"/>
  <c r="BU104" i="14"/>
  <c r="BU42" i="14"/>
  <c r="BT41" i="14"/>
  <c r="BR147" i="14"/>
  <c r="BS41" i="14"/>
  <c r="BS103" i="14"/>
  <c r="BU103" i="14"/>
  <c r="BS146" i="14"/>
  <c r="BS104" i="14"/>
  <c r="BU62" i="14"/>
  <c r="BR83" i="14"/>
  <c r="BR104" i="14"/>
  <c r="BR42" i="14"/>
  <c r="BR41" i="14"/>
  <c r="BS62" i="14"/>
  <c r="BT124" i="14"/>
  <c r="BU61" i="14"/>
  <c r="BS61" i="14"/>
  <c r="BT84" i="7"/>
  <c r="BT103" i="7"/>
  <c r="BU146" i="7"/>
  <c r="BU147" i="7"/>
  <c r="BT126" i="7"/>
  <c r="BU124" i="7"/>
  <c r="BR125" i="7"/>
  <c r="BT62" i="7"/>
  <c r="BT63" i="7"/>
  <c r="BS84" i="7"/>
  <c r="BS103" i="7"/>
  <c r="BT146" i="7"/>
  <c r="BT147" i="7"/>
  <c r="BU126" i="7"/>
  <c r="BR124" i="7"/>
  <c r="BU61" i="7"/>
  <c r="BU83" i="7"/>
  <c r="BR63" i="7"/>
  <c r="BR84" i="7"/>
  <c r="BR103" i="7"/>
  <c r="BR146" i="7"/>
  <c r="BR147" i="7"/>
  <c r="BS126" i="7"/>
  <c r="BS124" i="7"/>
  <c r="BT61" i="7"/>
  <c r="BT83" i="7"/>
  <c r="BS63" i="7"/>
  <c r="BS62" i="7"/>
  <c r="BU103" i="7"/>
  <c r="BS146" i="7"/>
  <c r="BS147" i="7"/>
  <c r="BR126" i="7"/>
  <c r="BT124" i="7"/>
  <c r="BS61" i="7"/>
  <c r="BR83" i="7"/>
  <c r="BT125" i="7"/>
  <c r="BS82" i="7"/>
  <c r="BU104" i="7"/>
  <c r="BS105" i="7"/>
  <c r="BU145" i="7"/>
  <c r="BR61" i="7"/>
  <c r="BS83" i="7"/>
  <c r="BT82" i="7"/>
  <c r="BT104" i="7"/>
  <c r="BR145" i="7"/>
  <c r="BU82" i="7"/>
  <c r="BR104" i="7"/>
  <c r="BU105" i="7"/>
  <c r="BT145" i="7"/>
  <c r="BU125" i="7"/>
  <c r="BR62" i="7"/>
  <c r="BR105" i="7"/>
  <c r="BU84" i="7"/>
  <c r="BR82" i="7"/>
  <c r="BS104" i="7"/>
  <c r="BT105" i="7"/>
  <c r="BS145" i="7"/>
  <c r="BS125" i="7"/>
  <c r="BU62" i="7"/>
  <c r="BU63" i="7"/>
  <c r="BT42" i="7"/>
  <c r="BU40" i="7"/>
  <c r="BR42" i="7"/>
  <c r="BS40" i="7"/>
  <c r="BS42" i="7"/>
  <c r="BT40" i="7"/>
  <c r="BU41" i="7"/>
  <c r="BT41" i="7"/>
  <c r="BS41" i="7"/>
  <c r="BR41" i="7"/>
  <c r="BU42" i="7"/>
  <c r="BR40" i="7"/>
  <c r="Z173" i="16"/>
  <c r="W173" i="16" s="1"/>
  <c r="Y174" i="16"/>
  <c r="BR19" i="14"/>
  <c r="BS19" i="14"/>
  <c r="BS21" i="14"/>
  <c r="BU19" i="14"/>
  <c r="BS20" i="14"/>
  <c r="BU21" i="14"/>
  <c r="BT21" i="14"/>
  <c r="BR20" i="14"/>
  <c r="BT19" i="14"/>
  <c r="BU20" i="14"/>
  <c r="BR21" i="14"/>
  <c r="BT20" i="14"/>
  <c r="D111" i="6"/>
  <c r="D113" i="6"/>
  <c r="D108" i="6"/>
  <c r="D110" i="6"/>
  <c r="D112" i="6"/>
  <c r="E94" i="6"/>
  <c r="E101" i="6"/>
  <c r="D101" i="6"/>
  <c r="D102" i="6"/>
  <c r="D98" i="6"/>
  <c r="D103" i="6"/>
  <c r="D99" i="6"/>
  <c r="D100" i="6"/>
  <c r="E48" i="6"/>
  <c r="F94" i="6"/>
  <c r="E112" i="6"/>
  <c r="E110" i="6"/>
  <c r="E113" i="6"/>
  <c r="E111" i="6"/>
  <c r="E71" i="6"/>
  <c r="E25" i="6"/>
  <c r="D28" i="6"/>
  <c r="F104" i="6" l="1"/>
  <c r="F106" i="6"/>
  <c r="F105" i="6"/>
  <c r="F107" i="6"/>
  <c r="E51" i="6"/>
  <c r="E55" i="6"/>
  <c r="E54" i="6"/>
  <c r="E53" i="6"/>
  <c r="E52" i="6"/>
  <c r="BV61" i="27"/>
  <c r="E5" i="6"/>
  <c r="E9" i="6"/>
  <c r="E6" i="6"/>
  <c r="E13" i="6"/>
  <c r="E7" i="6"/>
  <c r="E11" i="6"/>
  <c r="E8" i="6"/>
  <c r="E10" i="6"/>
  <c r="E14" i="6"/>
  <c r="E12" i="6"/>
  <c r="F2" i="6"/>
  <c r="BV20" i="21"/>
  <c r="BV82" i="23"/>
  <c r="E34" i="6"/>
  <c r="E31" i="6"/>
  <c r="E37" i="6"/>
  <c r="E33" i="6"/>
  <c r="E30" i="6"/>
  <c r="E35" i="6"/>
  <c r="E36" i="6"/>
  <c r="E32" i="6"/>
  <c r="E29" i="6"/>
  <c r="E82" i="6"/>
  <c r="E81" i="6"/>
  <c r="E87" i="6"/>
  <c r="E84" i="6"/>
  <c r="E89" i="6"/>
  <c r="E86" i="6"/>
  <c r="E85" i="6"/>
  <c r="E80" i="6"/>
  <c r="E88" i="6"/>
  <c r="E83" i="6"/>
  <c r="E78" i="6"/>
  <c r="E77" i="6"/>
  <c r="E79" i="6"/>
  <c r="E76" i="6"/>
  <c r="E75" i="6"/>
  <c r="E74" i="6"/>
  <c r="E107" i="6"/>
  <c r="E106" i="6"/>
  <c r="E105" i="6"/>
  <c r="BV42" i="24"/>
  <c r="BV126" i="14"/>
  <c r="E97" i="6"/>
  <c r="E109" i="6"/>
  <c r="BV63" i="21"/>
  <c r="E108" i="6"/>
  <c r="BV82" i="27"/>
  <c r="BV84" i="22"/>
  <c r="BV61" i="29"/>
  <c r="BV21" i="27"/>
  <c r="BV63" i="28"/>
  <c r="BV84" i="24"/>
  <c r="BV104" i="28"/>
  <c r="BV42" i="25"/>
  <c r="BV40" i="27"/>
  <c r="H47" i="18"/>
  <c r="I48" i="18"/>
  <c r="BV126" i="29"/>
  <c r="BV83" i="23"/>
  <c r="BV63" i="25"/>
  <c r="BV19" i="27"/>
  <c r="BV41" i="27"/>
  <c r="BV19" i="24"/>
  <c r="E103" i="6"/>
  <c r="E104" i="6"/>
  <c r="BV124" i="22"/>
  <c r="BV83" i="26"/>
  <c r="BV104" i="23"/>
  <c r="BV146" i="25"/>
  <c r="BV42" i="27"/>
  <c r="BV20" i="20"/>
  <c r="BV105" i="26"/>
  <c r="BV145" i="22"/>
  <c r="BV42" i="26"/>
  <c r="BV103" i="26"/>
  <c r="BV20" i="22"/>
  <c r="BV21" i="28"/>
  <c r="BV146" i="26"/>
  <c r="BV42" i="22"/>
  <c r="BV105" i="14"/>
  <c r="BV145" i="20"/>
  <c r="BV145" i="26"/>
  <c r="BV104" i="20"/>
  <c r="BV83" i="21"/>
  <c r="BV124" i="14"/>
  <c r="BV126" i="20"/>
  <c r="BV145" i="25"/>
  <c r="BV19" i="21"/>
  <c r="BV82" i="25"/>
  <c r="BV146" i="20"/>
  <c r="BV124" i="23"/>
  <c r="BV41" i="25"/>
  <c r="BV83" i="27"/>
  <c r="BV63" i="29"/>
  <c r="BV125" i="20"/>
  <c r="BV82" i="21"/>
  <c r="BV41" i="22"/>
  <c r="BV83" i="25"/>
  <c r="BV40" i="22"/>
  <c r="BV84" i="29"/>
  <c r="BV124" i="20"/>
  <c r="BV125" i="23"/>
  <c r="BV103" i="27"/>
  <c r="BZ105" i="27" s="1"/>
  <c r="BV146" i="27"/>
  <c r="BV125" i="28"/>
  <c r="BV147" i="14"/>
  <c r="BV82" i="22"/>
  <c r="BV145" i="23"/>
  <c r="BV21" i="26"/>
  <c r="BV20" i="23"/>
  <c r="BV124" i="29"/>
  <c r="BV105" i="22"/>
  <c r="BV20" i="25"/>
  <c r="BV63" i="27"/>
  <c r="BV124" i="27"/>
  <c r="BV147" i="23"/>
  <c r="BV125" i="22"/>
  <c r="BV104" i="21"/>
  <c r="BV103" i="24"/>
  <c r="BV84" i="27"/>
  <c r="BV19" i="28"/>
  <c r="BV83" i="20"/>
  <c r="BV84" i="20"/>
  <c r="BV40" i="21"/>
  <c r="BV147" i="21"/>
  <c r="BV21" i="22"/>
  <c r="BV62" i="27"/>
  <c r="BV145" i="29"/>
  <c r="BV41" i="29"/>
  <c r="BV147" i="24"/>
  <c r="BV125" i="14"/>
  <c r="BV40" i="20"/>
  <c r="BV82" i="7"/>
  <c r="BV82" i="14"/>
  <c r="BV105" i="25"/>
  <c r="BV61" i="23"/>
  <c r="BV126" i="24"/>
  <c r="BV62" i="25"/>
  <c r="BV61" i="22"/>
  <c r="BV124" i="24"/>
  <c r="BV63" i="22"/>
  <c r="BV104" i="26"/>
  <c r="BV103" i="23"/>
  <c r="BV104" i="24"/>
  <c r="BV84" i="7"/>
  <c r="BV82" i="20"/>
  <c r="BV103" i="25"/>
  <c r="BV125" i="25"/>
  <c r="BV83" i="14"/>
  <c r="BV42" i="21"/>
  <c r="BV42" i="28"/>
  <c r="BV61" i="24"/>
  <c r="BV147" i="20"/>
  <c r="BV124" i="7"/>
  <c r="BV63" i="20"/>
  <c r="BV125" i="21"/>
  <c r="BV40" i="28"/>
  <c r="BV147" i="29"/>
  <c r="BV105" i="28"/>
  <c r="BV147" i="28"/>
  <c r="BV63" i="23"/>
  <c r="BV62" i="22"/>
  <c r="BV126" i="22"/>
  <c r="BV41" i="26"/>
  <c r="BV83" i="7"/>
  <c r="BV21" i="20"/>
  <c r="BV105" i="21"/>
  <c r="BV61" i="20"/>
  <c r="BV124" i="21"/>
  <c r="BV84" i="23"/>
  <c r="BV84" i="25"/>
  <c r="BV126" i="23"/>
  <c r="BV125" i="26"/>
  <c r="BV103" i="14"/>
  <c r="BV145" i="7"/>
  <c r="BV146" i="7"/>
  <c r="BV126" i="7"/>
  <c r="BV41" i="20"/>
  <c r="BV41" i="21"/>
  <c r="BV103" i="20"/>
  <c r="BV19" i="20"/>
  <c r="BV146" i="29"/>
  <c r="BV62" i="26"/>
  <c r="BV147" i="25"/>
  <c r="BV126" i="26"/>
  <c r="BV41" i="28"/>
  <c r="BV104" i="7"/>
  <c r="BV125" i="7"/>
  <c r="BV42" i="20"/>
  <c r="BV62" i="20"/>
  <c r="BV21" i="21"/>
  <c r="BV82" i="28"/>
  <c r="BV61" i="25"/>
  <c r="BV61" i="26"/>
  <c r="BV103" i="29"/>
  <c r="BV83" i="22"/>
  <c r="BV145" i="28"/>
  <c r="BV105" i="23"/>
  <c r="BV146" i="28"/>
  <c r="BV83" i="29"/>
  <c r="BV147" i="27"/>
  <c r="BV126" i="25"/>
  <c r="BV147" i="7"/>
  <c r="BV84" i="21"/>
  <c r="BV146" i="24"/>
  <c r="BV41" i="23"/>
  <c r="CA42" i="23" s="1"/>
  <c r="BV41" i="24"/>
  <c r="BV20" i="28"/>
  <c r="BV125" i="29"/>
  <c r="BV145" i="27"/>
  <c r="BV145" i="14"/>
  <c r="BV103" i="22"/>
  <c r="BV84" i="28"/>
  <c r="BV62" i="21"/>
  <c r="BV84" i="26"/>
  <c r="BV21" i="29"/>
  <c r="BV145" i="24"/>
  <c r="BV21" i="25"/>
  <c r="BV20" i="26"/>
  <c r="BV103" i="28"/>
  <c r="BV83" i="24"/>
  <c r="BV62" i="24"/>
  <c r="BV105" i="7"/>
  <c r="BV103" i="7"/>
  <c r="BV84" i="14"/>
  <c r="BV105" i="24"/>
  <c r="BV126" i="21"/>
  <c r="BV19" i="22"/>
  <c r="BV82" i="24"/>
  <c r="BV40" i="25"/>
  <c r="BV104" i="22"/>
  <c r="BV105" i="20"/>
  <c r="BV20" i="24"/>
  <c r="BV104" i="25"/>
  <c r="BV40" i="29"/>
  <c r="BV61" i="21"/>
  <c r="BV146" i="22"/>
  <c r="BV21" i="24"/>
  <c r="BV104" i="29"/>
  <c r="BV147" i="26"/>
  <c r="BV83" i="28"/>
  <c r="BV104" i="14"/>
  <c r="BV146" i="14"/>
  <c r="BV146" i="21"/>
  <c r="BV147" i="22"/>
  <c r="BV105" i="29"/>
  <c r="BV103" i="21"/>
  <c r="BV82" i="26"/>
  <c r="BV19" i="26"/>
  <c r="BV82" i="29"/>
  <c r="BV21" i="23"/>
  <c r="BV40" i="24"/>
  <c r="BV62" i="29"/>
  <c r="BV63" i="26"/>
  <c r="BV62" i="23"/>
  <c r="BV125" i="24"/>
  <c r="BV126" i="27"/>
  <c r="BV19" i="29"/>
  <c r="BV40" i="26"/>
  <c r="BV20" i="27"/>
  <c r="BV61" i="28"/>
  <c r="BV124" i="28"/>
  <c r="BV20" i="29"/>
  <c r="BV19" i="23"/>
  <c r="BV19" i="25"/>
  <c r="BV62" i="28"/>
  <c r="Z174" i="16"/>
  <c r="W174" i="16" s="1"/>
  <c r="Y175" i="16"/>
  <c r="E99" i="6"/>
  <c r="E98" i="6"/>
  <c r="E102" i="6"/>
  <c r="E100" i="6"/>
  <c r="F102" i="6"/>
  <c r="F98" i="6"/>
  <c r="F103" i="6"/>
  <c r="F99" i="6"/>
  <c r="F101" i="6"/>
  <c r="F100" i="6"/>
  <c r="F48" i="6"/>
  <c r="F51" i="6" s="1"/>
  <c r="F71" i="6"/>
  <c r="G94" i="6"/>
  <c r="F112" i="6"/>
  <c r="F110" i="6"/>
  <c r="F108" i="6"/>
  <c r="F113" i="6"/>
  <c r="F111" i="6"/>
  <c r="F109" i="6"/>
  <c r="F97" i="6"/>
  <c r="E28" i="6"/>
  <c r="F25" i="6"/>
  <c r="G104" i="6" l="1"/>
  <c r="G106" i="6"/>
  <c r="G105" i="6"/>
  <c r="G107" i="6"/>
  <c r="G48" i="6"/>
  <c r="F55" i="6"/>
  <c r="F54" i="6"/>
  <c r="F53" i="6"/>
  <c r="F52" i="6"/>
  <c r="F84" i="6"/>
  <c r="F83" i="6"/>
  <c r="F81" i="6"/>
  <c r="F87" i="6"/>
  <c r="F86" i="6"/>
  <c r="F89" i="6"/>
  <c r="F88" i="6"/>
  <c r="F82" i="6"/>
  <c r="F80" i="6"/>
  <c r="F85" i="6"/>
  <c r="F77" i="6"/>
  <c r="F79" i="6"/>
  <c r="F75" i="6"/>
  <c r="F78" i="6"/>
  <c r="F76" i="6"/>
  <c r="F74" i="6"/>
  <c r="F31" i="6"/>
  <c r="F37" i="6"/>
  <c r="F33" i="6"/>
  <c r="F30" i="6"/>
  <c r="F35" i="6"/>
  <c r="F36" i="6"/>
  <c r="F32" i="6"/>
  <c r="F29" i="6"/>
  <c r="F34" i="6"/>
  <c r="F6" i="6"/>
  <c r="F12" i="6"/>
  <c r="F9" i="6"/>
  <c r="F8" i="6"/>
  <c r="F5" i="6"/>
  <c r="F11" i="6"/>
  <c r="F10" i="6"/>
  <c r="F7" i="6"/>
  <c r="F14" i="6"/>
  <c r="F13" i="6"/>
  <c r="G2" i="6"/>
  <c r="BZ84" i="23"/>
  <c r="CA21" i="27"/>
  <c r="CB21" i="27" s="1"/>
  <c r="CB22" i="27" s="1"/>
  <c r="CA42" i="27"/>
  <c r="CB42" i="27" s="1"/>
  <c r="CB43" i="27" s="1"/>
  <c r="CA126" i="29"/>
  <c r="BZ128" i="29" s="1"/>
  <c r="AO119" i="29" s="1"/>
  <c r="Q119" i="39" s="1"/>
  <c r="BZ42" i="27"/>
  <c r="H48" i="18"/>
  <c r="I49" i="18"/>
  <c r="CA105" i="27"/>
  <c r="CB105" i="27" s="1"/>
  <c r="CB106" i="27" s="1"/>
  <c r="CA126" i="25"/>
  <c r="CB126" i="25" s="1"/>
  <c r="CB127" i="25" s="1"/>
  <c r="BZ147" i="25"/>
  <c r="CA105" i="26"/>
  <c r="BZ107" i="26" s="1"/>
  <c r="AO98" i="26" s="1"/>
  <c r="Q96" i="36" s="1"/>
  <c r="CA21" i="21"/>
  <c r="BZ23" i="21" s="1"/>
  <c r="AO14" i="21" s="1"/>
  <c r="Q4" i="31" s="1"/>
  <c r="CA126" i="14"/>
  <c r="CB126" i="14" s="1"/>
  <c r="CB127" i="14" s="1"/>
  <c r="BZ147" i="26"/>
  <c r="BZ84" i="25"/>
  <c r="CA147" i="20"/>
  <c r="CB147" i="20" s="1"/>
  <c r="CB148" i="20" s="1"/>
  <c r="CA63" i="27"/>
  <c r="CB63" i="27" s="1"/>
  <c r="CB64" i="27" s="1"/>
  <c r="CA126" i="23"/>
  <c r="CB126" i="23" s="1"/>
  <c r="CB127" i="23" s="1"/>
  <c r="BZ63" i="27"/>
  <c r="CA63" i="29"/>
  <c r="CB63" i="29" s="1"/>
  <c r="CB64" i="29" s="1"/>
  <c r="CA84" i="27"/>
  <c r="CB84" i="27" s="1"/>
  <c r="CB85" i="27" s="1"/>
  <c r="BZ42" i="22"/>
  <c r="CA126" i="20"/>
  <c r="CB126" i="20" s="1"/>
  <c r="CB127" i="20" s="1"/>
  <c r="BZ84" i="27"/>
  <c r="CA126" i="22"/>
  <c r="CB126" i="22" s="1"/>
  <c r="CB127" i="22" s="1"/>
  <c r="BZ147" i="23"/>
  <c r="BZ84" i="21"/>
  <c r="BZ126" i="20"/>
  <c r="CA147" i="21"/>
  <c r="CB147" i="21" s="1"/>
  <c r="CB148" i="21" s="1"/>
  <c r="CA42" i="22"/>
  <c r="CB42" i="22" s="1"/>
  <c r="CB43" i="22" s="1"/>
  <c r="CA126" i="27"/>
  <c r="BZ128" i="27" s="1"/>
  <c r="AO119" i="27" s="1"/>
  <c r="Q119" i="37" s="1"/>
  <c r="CA147" i="23"/>
  <c r="CB147" i="23" s="1"/>
  <c r="CB148" i="23" s="1"/>
  <c r="CA84" i="20"/>
  <c r="CB84" i="20" s="1"/>
  <c r="CB85" i="20" s="1"/>
  <c r="CA21" i="28"/>
  <c r="CB21" i="28" s="1"/>
  <c r="CB22" i="28" s="1"/>
  <c r="BZ84" i="22"/>
  <c r="CB42" i="23"/>
  <c r="CB43" i="23" s="1"/>
  <c r="BZ44" i="23"/>
  <c r="AO35" i="23" s="1"/>
  <c r="Q27" i="33" s="1"/>
  <c r="BZ105" i="26"/>
  <c r="BZ126" i="14"/>
  <c r="BZ42" i="21"/>
  <c r="CA63" i="22"/>
  <c r="CA105" i="14"/>
  <c r="BZ147" i="29"/>
  <c r="BZ126" i="25"/>
  <c r="CA105" i="24"/>
  <c r="CA147" i="29"/>
  <c r="BZ126" i="23"/>
  <c r="CA63" i="24"/>
  <c r="CA105" i="25"/>
  <c r="CA42" i="21"/>
  <c r="BZ126" i="22"/>
  <c r="CA84" i="25"/>
  <c r="CA126" i="26"/>
  <c r="BZ105" i="23"/>
  <c r="BZ147" i="20"/>
  <c r="BZ84" i="7"/>
  <c r="CA126" i="21"/>
  <c r="BZ126" i="29"/>
  <c r="BZ105" i="24"/>
  <c r="CA84" i="23"/>
  <c r="BZ84" i="20"/>
  <c r="BZ21" i="21"/>
  <c r="BZ21" i="28"/>
  <c r="BZ63" i="22"/>
  <c r="BZ126" i="21"/>
  <c r="CA84" i="14"/>
  <c r="CA42" i="28"/>
  <c r="BZ126" i="26"/>
  <c r="CA84" i="7"/>
  <c r="BZ126" i="24"/>
  <c r="CA63" i="23"/>
  <c r="CA84" i="22"/>
  <c r="CA63" i="20"/>
  <c r="CA147" i="25"/>
  <c r="BZ42" i="20"/>
  <c r="BZ63" i="20"/>
  <c r="CA105" i="23"/>
  <c r="BZ63" i="24"/>
  <c r="BZ42" i="23"/>
  <c r="CA147" i="7"/>
  <c r="BZ126" i="7"/>
  <c r="BZ42" i="28"/>
  <c r="CA84" i="21"/>
  <c r="BZ147" i="7"/>
  <c r="CA126" i="7"/>
  <c r="CA147" i="22"/>
  <c r="BZ105" i="25"/>
  <c r="BZ126" i="27"/>
  <c r="CA21" i="24"/>
  <c r="BZ21" i="23"/>
  <c r="CA21" i="23"/>
  <c r="CA84" i="29"/>
  <c r="BZ84" i="29"/>
  <c r="BZ105" i="7"/>
  <c r="CA105" i="7"/>
  <c r="BZ105" i="28"/>
  <c r="CA105" i="28"/>
  <c r="BZ21" i="24"/>
  <c r="CA126" i="24"/>
  <c r="BZ21" i="27"/>
  <c r="CA21" i="26"/>
  <c r="BZ21" i="26"/>
  <c r="CA21" i="22"/>
  <c r="BZ21" i="22"/>
  <c r="CA63" i="26"/>
  <c r="BZ63" i="26"/>
  <c r="CA63" i="28"/>
  <c r="BZ63" i="28"/>
  <c r="BZ63" i="29"/>
  <c r="BZ147" i="24"/>
  <c r="CA147" i="24"/>
  <c r="BZ105" i="14"/>
  <c r="BZ63" i="25"/>
  <c r="CA63" i="25"/>
  <c r="CA21" i="20"/>
  <c r="BZ21" i="20"/>
  <c r="CA126" i="28"/>
  <c r="BZ126" i="28"/>
  <c r="BZ84" i="26"/>
  <c r="CA84" i="26"/>
  <c r="BZ63" i="21"/>
  <c r="CA63" i="21"/>
  <c r="BZ84" i="14"/>
  <c r="CA84" i="28"/>
  <c r="BZ84" i="28"/>
  <c r="CA42" i="20"/>
  <c r="CA105" i="20"/>
  <c r="BZ105" i="20"/>
  <c r="CA21" i="25"/>
  <c r="BZ21" i="25"/>
  <c r="BZ42" i="29"/>
  <c r="CA42" i="29"/>
  <c r="BZ147" i="22"/>
  <c r="CA147" i="28"/>
  <c r="BZ147" i="28"/>
  <c r="CA147" i="26"/>
  <c r="CA42" i="26"/>
  <c r="BZ42" i="26"/>
  <c r="BZ21" i="29"/>
  <c r="CA21" i="29"/>
  <c r="BZ42" i="24"/>
  <c r="CA42" i="24"/>
  <c r="BZ147" i="21"/>
  <c r="CA42" i="25"/>
  <c r="BZ42" i="25"/>
  <c r="CA105" i="22"/>
  <c r="BZ105" i="22"/>
  <c r="BZ147" i="27"/>
  <c r="CA147" i="27"/>
  <c r="BZ63" i="23"/>
  <c r="BZ105" i="21"/>
  <c r="CA105" i="21"/>
  <c r="BZ84" i="24"/>
  <c r="CA84" i="24"/>
  <c r="BZ147" i="14"/>
  <c r="CA147" i="14"/>
  <c r="CA105" i="29"/>
  <c r="BZ105" i="29"/>
  <c r="Z175" i="16"/>
  <c r="W175" i="16" s="1"/>
  <c r="Y176" i="16"/>
  <c r="G102" i="6"/>
  <c r="G98" i="6"/>
  <c r="G103" i="6"/>
  <c r="G99" i="6"/>
  <c r="G100" i="6"/>
  <c r="G101" i="6"/>
  <c r="G112" i="6"/>
  <c r="G110" i="6"/>
  <c r="G108" i="6"/>
  <c r="G113" i="6"/>
  <c r="G111" i="6"/>
  <c r="G109" i="6"/>
  <c r="G97" i="6"/>
  <c r="H94" i="6"/>
  <c r="G51" i="6"/>
  <c r="H48" i="6"/>
  <c r="G71" i="6"/>
  <c r="F28" i="6"/>
  <c r="G25" i="6"/>
  <c r="H104" i="6" l="1"/>
  <c r="H106" i="6"/>
  <c r="H105" i="6"/>
  <c r="H107" i="6"/>
  <c r="G37" i="6"/>
  <c r="G33" i="6"/>
  <c r="G30" i="6"/>
  <c r="G35" i="6"/>
  <c r="G36" i="6"/>
  <c r="G32" i="6"/>
  <c r="G29" i="6"/>
  <c r="G34" i="6"/>
  <c r="G31" i="6"/>
  <c r="G6" i="6"/>
  <c r="G10" i="6"/>
  <c r="G14" i="6"/>
  <c r="G7" i="6"/>
  <c r="G8" i="6"/>
  <c r="G12" i="6"/>
  <c r="G9" i="6"/>
  <c r="G11" i="6"/>
  <c r="G13" i="6"/>
  <c r="G5" i="6"/>
  <c r="H2" i="6"/>
  <c r="G55" i="6"/>
  <c r="G54" i="6"/>
  <c r="G53" i="6"/>
  <c r="G52" i="6"/>
  <c r="G89" i="6"/>
  <c r="G83" i="6"/>
  <c r="G80" i="6"/>
  <c r="G87" i="6"/>
  <c r="G81" i="6"/>
  <c r="G84" i="6"/>
  <c r="G86" i="6"/>
  <c r="G85" i="6"/>
  <c r="G88" i="6"/>
  <c r="G82" i="6"/>
  <c r="G76" i="6"/>
  <c r="G75" i="6"/>
  <c r="G74" i="6"/>
  <c r="G79" i="6"/>
  <c r="G78" i="6"/>
  <c r="G77" i="6"/>
  <c r="H55" i="6"/>
  <c r="H54" i="6"/>
  <c r="H53" i="6"/>
  <c r="H52" i="6"/>
  <c r="BZ23" i="27"/>
  <c r="AO14" i="27" s="1"/>
  <c r="Q4" i="37" s="1"/>
  <c r="Q8" i="37" s="1"/>
  <c r="CB126" i="29"/>
  <c r="CB127" i="29" s="1"/>
  <c r="BZ44" i="27"/>
  <c r="AO35" i="27" s="1"/>
  <c r="Q27" i="37" s="1"/>
  <c r="Q31" i="37" s="1"/>
  <c r="BZ107" i="27"/>
  <c r="AO98" i="27" s="1"/>
  <c r="Q96" i="37" s="1"/>
  <c r="Q97" i="37" s="1"/>
  <c r="Q98" i="37" s="1"/>
  <c r="Q99" i="37" s="1"/>
  <c r="H49" i="18"/>
  <c r="I50" i="18"/>
  <c r="BZ128" i="25"/>
  <c r="AO119" i="25" s="1"/>
  <c r="Q119" i="35" s="1"/>
  <c r="Q120" i="35" s="1"/>
  <c r="Q121" i="35" s="1"/>
  <c r="Q122" i="35" s="1"/>
  <c r="CB21" i="21"/>
  <c r="CB22" i="21" s="1"/>
  <c r="CB105" i="26"/>
  <c r="CB106" i="26" s="1"/>
  <c r="BZ128" i="22"/>
  <c r="AO119" i="22" s="1"/>
  <c r="Q119" i="32" s="1"/>
  <c r="Q123" i="32" s="1"/>
  <c r="BZ65" i="27"/>
  <c r="AO56" i="27" s="1"/>
  <c r="Q50" i="37" s="1"/>
  <c r="Q51" i="37" s="1"/>
  <c r="Q52" i="37" s="1"/>
  <c r="Q53" i="37" s="1"/>
  <c r="BZ86" i="20"/>
  <c r="AO77" i="20" s="1"/>
  <c r="BZ128" i="14"/>
  <c r="AO119" i="14" s="1"/>
  <c r="Q119" i="13" s="1"/>
  <c r="BZ149" i="20"/>
  <c r="AO140" i="20" s="1"/>
  <c r="BZ65" i="29"/>
  <c r="AO56" i="29" s="1"/>
  <c r="BZ128" i="23"/>
  <c r="AO119" i="23" s="1"/>
  <c r="CB126" i="27"/>
  <c r="CB127" i="27" s="1"/>
  <c r="BZ86" i="27"/>
  <c r="AO77" i="27" s="1"/>
  <c r="BZ128" i="20"/>
  <c r="AO119" i="20" s="1"/>
  <c r="BZ149" i="23"/>
  <c r="AO140" i="23" s="1"/>
  <c r="BZ44" i="22"/>
  <c r="AO35" i="22" s="1"/>
  <c r="BZ149" i="21"/>
  <c r="AO140" i="21" s="1"/>
  <c r="BZ23" i="28"/>
  <c r="AO14" i="28" s="1"/>
  <c r="CB21" i="20"/>
  <c r="CB22" i="20" s="1"/>
  <c r="BZ23" i="20"/>
  <c r="AO14" i="20" s="1"/>
  <c r="Q4" i="30" s="1"/>
  <c r="CB126" i="24"/>
  <c r="CB127" i="24" s="1"/>
  <c r="BZ128" i="24"/>
  <c r="AO119" i="24" s="1"/>
  <c r="Q119" i="34" s="1"/>
  <c r="CB84" i="21"/>
  <c r="CB85" i="21" s="1"/>
  <c r="BZ86" i="21"/>
  <c r="AO77" i="21" s="1"/>
  <c r="Q73" i="31" s="1"/>
  <c r="CB42" i="28"/>
  <c r="CB43" i="28" s="1"/>
  <c r="BZ44" i="28"/>
  <c r="AO35" i="28" s="1"/>
  <c r="Q27" i="38" s="1"/>
  <c r="CB105" i="22"/>
  <c r="CB106" i="22" s="1"/>
  <c r="BZ107" i="22"/>
  <c r="AO98" i="22" s="1"/>
  <c r="Q96" i="32" s="1"/>
  <c r="CB84" i="14"/>
  <c r="CB85" i="14" s="1"/>
  <c r="BZ86" i="14"/>
  <c r="AO77" i="14" s="1"/>
  <c r="Q73" i="13" s="1"/>
  <c r="CB42" i="21"/>
  <c r="CB43" i="21" s="1"/>
  <c r="BZ44" i="21"/>
  <c r="AO35" i="21" s="1"/>
  <c r="Q27" i="31" s="1"/>
  <c r="CB42" i="26"/>
  <c r="CB43" i="26" s="1"/>
  <c r="BZ44" i="26"/>
  <c r="AO35" i="26" s="1"/>
  <c r="Q27" i="36" s="1"/>
  <c r="CB21" i="24"/>
  <c r="CB22" i="24" s="1"/>
  <c r="BZ23" i="24"/>
  <c r="AO14" i="24" s="1"/>
  <c r="Q4" i="34" s="1"/>
  <c r="CB63" i="20"/>
  <c r="CB64" i="20" s="1"/>
  <c r="BZ65" i="20"/>
  <c r="AO56" i="20" s="1"/>
  <c r="Q50" i="30" s="1"/>
  <c r="CB105" i="25"/>
  <c r="CB106" i="25" s="1"/>
  <c r="BZ107" i="25"/>
  <c r="AO98" i="25" s="1"/>
  <c r="Q96" i="35" s="1"/>
  <c r="CB63" i="22"/>
  <c r="CB64" i="22" s="1"/>
  <c r="BZ65" i="22"/>
  <c r="AO56" i="22" s="1"/>
  <c r="Q50" i="32" s="1"/>
  <c r="Q28" i="33"/>
  <c r="Q29" i="33" s="1"/>
  <c r="Q30" i="33" s="1"/>
  <c r="Q31" i="33"/>
  <c r="Q120" i="37"/>
  <c r="Q121" i="37" s="1"/>
  <c r="Q122" i="37" s="1"/>
  <c r="Q123" i="37"/>
  <c r="CB84" i="24"/>
  <c r="CB85" i="24" s="1"/>
  <c r="BZ86" i="24"/>
  <c r="AO77" i="24" s="1"/>
  <c r="Q73" i="34" s="1"/>
  <c r="CB63" i="25"/>
  <c r="CB64" i="25" s="1"/>
  <c r="BZ65" i="25"/>
  <c r="AO56" i="25" s="1"/>
  <c r="Q50" i="35" s="1"/>
  <c r="CB147" i="25"/>
  <c r="CB148" i="25" s="1"/>
  <c r="BZ149" i="25"/>
  <c r="AO140" i="25" s="1"/>
  <c r="Q142" i="35" s="1"/>
  <c r="CB21" i="25"/>
  <c r="CB22" i="25" s="1"/>
  <c r="BZ23" i="25"/>
  <c r="AO14" i="25" s="1"/>
  <c r="Q4" i="35" s="1"/>
  <c r="CB63" i="26"/>
  <c r="CB64" i="26" s="1"/>
  <c r="BZ65" i="26"/>
  <c r="AO56" i="26" s="1"/>
  <c r="Q50" i="36" s="1"/>
  <c r="CB105" i="28"/>
  <c r="CB106" i="28" s="1"/>
  <c r="BZ107" i="28"/>
  <c r="AO98" i="28" s="1"/>
  <c r="Q96" i="38" s="1"/>
  <c r="CB126" i="21"/>
  <c r="CB127" i="21" s="1"/>
  <c r="BZ128" i="21"/>
  <c r="AO119" i="21" s="1"/>
  <c r="Q119" i="31" s="1"/>
  <c r="CB105" i="21"/>
  <c r="CB106" i="21" s="1"/>
  <c r="BZ107" i="21"/>
  <c r="AO98" i="21" s="1"/>
  <c r="Q96" i="31" s="1"/>
  <c r="CB42" i="25"/>
  <c r="CB43" i="25" s="1"/>
  <c r="BZ44" i="25"/>
  <c r="AO35" i="25" s="1"/>
  <c r="Q27" i="35" s="1"/>
  <c r="CB147" i="26"/>
  <c r="CB148" i="26" s="1"/>
  <c r="BZ149" i="26"/>
  <c r="AO140" i="26" s="1"/>
  <c r="Q142" i="36" s="1"/>
  <c r="CB84" i="26"/>
  <c r="CB85" i="26" s="1"/>
  <c r="BZ86" i="26"/>
  <c r="AO77" i="26" s="1"/>
  <c r="Q73" i="36" s="1"/>
  <c r="CB147" i="7"/>
  <c r="CB148" i="7" s="1"/>
  <c r="BZ149" i="7"/>
  <c r="AO140" i="7" s="1"/>
  <c r="CB84" i="22"/>
  <c r="CB85" i="22" s="1"/>
  <c r="BZ86" i="22"/>
  <c r="AO77" i="22" s="1"/>
  <c r="Q73" i="32" s="1"/>
  <c r="CB63" i="24"/>
  <c r="CB64" i="24" s="1"/>
  <c r="BZ65" i="24"/>
  <c r="AO56" i="24" s="1"/>
  <c r="Q50" i="34" s="1"/>
  <c r="CB21" i="22"/>
  <c r="CB22" i="22" s="1"/>
  <c r="BZ23" i="22"/>
  <c r="AO14" i="22" s="1"/>
  <c r="Q4" i="32" s="1"/>
  <c r="CB147" i="28"/>
  <c r="CB148" i="28" s="1"/>
  <c r="BZ149" i="28"/>
  <c r="AO140" i="28" s="1"/>
  <c r="Q142" i="38" s="1"/>
  <c r="CB42" i="24"/>
  <c r="CB43" i="24" s="1"/>
  <c r="BZ44" i="24"/>
  <c r="AO35" i="24" s="1"/>
  <c r="Q27" i="34" s="1"/>
  <c r="CB105" i="29"/>
  <c r="CB106" i="29" s="1"/>
  <c r="BZ107" i="29"/>
  <c r="AO98" i="29" s="1"/>
  <c r="Q96" i="39" s="1"/>
  <c r="CB126" i="7"/>
  <c r="CB127" i="7" s="1"/>
  <c r="BZ128" i="7"/>
  <c r="AO119" i="7" s="1"/>
  <c r="CB105" i="23"/>
  <c r="CB106" i="23" s="1"/>
  <c r="BZ107" i="23"/>
  <c r="AO98" i="23" s="1"/>
  <c r="Q96" i="33" s="1"/>
  <c r="CB84" i="7"/>
  <c r="CB85" i="7" s="1"/>
  <c r="BZ86" i="7"/>
  <c r="AO77" i="7" s="1"/>
  <c r="CB126" i="26"/>
  <c r="CB127" i="26" s="1"/>
  <c r="BZ128" i="26"/>
  <c r="AO119" i="26" s="1"/>
  <c r="Q119" i="36" s="1"/>
  <c r="CB105" i="24"/>
  <c r="CB106" i="24" s="1"/>
  <c r="BZ107" i="24"/>
  <c r="AO98" i="24" s="1"/>
  <c r="Q96" i="34" s="1"/>
  <c r="Q100" i="36"/>
  <c r="Q97" i="36"/>
  <c r="Q98" i="36" s="1"/>
  <c r="Q99" i="36" s="1"/>
  <c r="CB105" i="20"/>
  <c r="CB106" i="20" s="1"/>
  <c r="BZ107" i="20"/>
  <c r="AO98" i="20" s="1"/>
  <c r="Q96" i="30" s="1"/>
  <c r="CB147" i="24"/>
  <c r="CB148" i="24" s="1"/>
  <c r="BZ149" i="24"/>
  <c r="AO140" i="24" s="1"/>
  <c r="Q142" i="34" s="1"/>
  <c r="CB105" i="7"/>
  <c r="CB106" i="7" s="1"/>
  <c r="BZ107" i="7"/>
  <c r="AO98" i="7" s="1"/>
  <c r="CB63" i="23"/>
  <c r="CB64" i="23" s="1"/>
  <c r="BZ65" i="23"/>
  <c r="AO56" i="23" s="1"/>
  <c r="Q50" i="33" s="1"/>
  <c r="CB42" i="20"/>
  <c r="CB43" i="20" s="1"/>
  <c r="BZ44" i="20"/>
  <c r="AO35" i="20" s="1"/>
  <c r="Q27" i="30" s="1"/>
  <c r="CB147" i="22"/>
  <c r="CB148" i="22" s="1"/>
  <c r="BZ149" i="22"/>
  <c r="AO140" i="22" s="1"/>
  <c r="Q142" i="32" s="1"/>
  <c r="CB147" i="29"/>
  <c r="CB148" i="29" s="1"/>
  <c r="BZ149" i="29"/>
  <c r="AO140" i="29" s="1"/>
  <c r="Q142" i="39" s="1"/>
  <c r="CB147" i="27"/>
  <c r="CB148" i="27" s="1"/>
  <c r="BZ149" i="27"/>
  <c r="AO140" i="27" s="1"/>
  <c r="Q142" i="37" s="1"/>
  <c r="CB126" i="28"/>
  <c r="CB127" i="28" s="1"/>
  <c r="BZ128" i="28"/>
  <c r="AO119" i="28" s="1"/>
  <c r="Q119" i="38" s="1"/>
  <c r="CB21" i="26"/>
  <c r="CB22" i="26" s="1"/>
  <c r="BZ23" i="26"/>
  <c r="AO14" i="26" s="1"/>
  <c r="Q4" i="36" s="1"/>
  <c r="CB147" i="14"/>
  <c r="CB148" i="14" s="1"/>
  <c r="BZ149" i="14"/>
  <c r="AO140" i="14" s="1"/>
  <c r="Q142" i="13" s="1"/>
  <c r="CB21" i="29"/>
  <c r="CB22" i="29" s="1"/>
  <c r="BZ23" i="29"/>
  <c r="AO14" i="29" s="1"/>
  <c r="Q4" i="39" s="1"/>
  <c r="CB42" i="29"/>
  <c r="CB43" i="29" s="1"/>
  <c r="BZ44" i="29"/>
  <c r="AO35" i="29" s="1"/>
  <c r="Q27" i="39" s="1"/>
  <c r="CB84" i="28"/>
  <c r="CB85" i="28" s="1"/>
  <c r="BZ86" i="28"/>
  <c r="AO77" i="28" s="1"/>
  <c r="Q73" i="38" s="1"/>
  <c r="CB84" i="29"/>
  <c r="CB85" i="29" s="1"/>
  <c r="BZ86" i="29"/>
  <c r="AO77" i="29" s="1"/>
  <c r="Q73" i="39" s="1"/>
  <c r="CB84" i="23"/>
  <c r="CB85" i="23" s="1"/>
  <c r="BZ86" i="23"/>
  <c r="AO77" i="23" s="1"/>
  <c r="Q73" i="33" s="1"/>
  <c r="CB84" i="25"/>
  <c r="CB85" i="25" s="1"/>
  <c r="BZ86" i="25"/>
  <c r="AO77" i="25" s="1"/>
  <c r="Q73" i="35" s="1"/>
  <c r="Q123" i="39"/>
  <c r="Q120" i="39"/>
  <c r="Q121" i="39" s="1"/>
  <c r="Q122" i="39" s="1"/>
  <c r="Q8" i="31"/>
  <c r="Q5" i="31"/>
  <c r="Q6" i="31" s="1"/>
  <c r="Q7" i="31" s="1"/>
  <c r="CB63" i="28"/>
  <c r="CB64" i="28" s="1"/>
  <c r="BZ65" i="28"/>
  <c r="AO56" i="28" s="1"/>
  <c r="Q50" i="38" s="1"/>
  <c r="CB21" i="23"/>
  <c r="CB22" i="23" s="1"/>
  <c r="BZ23" i="23"/>
  <c r="AO14" i="23" s="1"/>
  <c r="Q4" i="33" s="1"/>
  <c r="CB63" i="21"/>
  <c r="CB64" i="21" s="1"/>
  <c r="BZ65" i="21"/>
  <c r="AO56" i="21" s="1"/>
  <c r="Q50" i="31" s="1"/>
  <c r="CB105" i="14"/>
  <c r="CB106" i="14" s="1"/>
  <c r="BZ107" i="14"/>
  <c r="AO98" i="14" s="1"/>
  <c r="Q96" i="13" s="1"/>
  <c r="Z176" i="16"/>
  <c r="W176" i="16" s="1"/>
  <c r="Y177" i="16"/>
  <c r="H102" i="6"/>
  <c r="H103" i="6"/>
  <c r="H99" i="6"/>
  <c r="H100" i="6"/>
  <c r="H101" i="6"/>
  <c r="H98" i="6"/>
  <c r="H112" i="6"/>
  <c r="H110" i="6"/>
  <c r="H108" i="6"/>
  <c r="H113" i="6"/>
  <c r="H111" i="6"/>
  <c r="H109" i="6"/>
  <c r="H97" i="6"/>
  <c r="I94" i="6"/>
  <c r="H71" i="6"/>
  <c r="G28" i="6"/>
  <c r="H25" i="6"/>
  <c r="H51" i="6"/>
  <c r="I48" i="6"/>
  <c r="I54" i="6" l="1"/>
  <c r="I53" i="6"/>
  <c r="I52" i="6"/>
  <c r="I55" i="6"/>
  <c r="H37" i="6"/>
  <c r="H33" i="6"/>
  <c r="H30" i="6"/>
  <c r="H35" i="6"/>
  <c r="H36" i="6"/>
  <c r="H32" i="6"/>
  <c r="H29" i="6"/>
  <c r="H34" i="6"/>
  <c r="H31" i="6"/>
  <c r="H84" i="6"/>
  <c r="H87" i="6"/>
  <c r="H89" i="6"/>
  <c r="H81" i="6"/>
  <c r="H86" i="6"/>
  <c r="H80" i="6"/>
  <c r="H83" i="6"/>
  <c r="H82" i="6"/>
  <c r="H85" i="6"/>
  <c r="H88" i="6"/>
  <c r="H78" i="6"/>
  <c r="H74" i="6"/>
  <c r="H77" i="6"/>
  <c r="H76" i="6"/>
  <c r="H79" i="6"/>
  <c r="H75" i="6"/>
  <c r="H8" i="6"/>
  <c r="H11" i="6"/>
  <c r="H10" i="6"/>
  <c r="H13" i="6"/>
  <c r="H7" i="6"/>
  <c r="H5" i="6"/>
  <c r="H9" i="6"/>
  <c r="H6" i="6"/>
  <c r="H12" i="6"/>
  <c r="H14" i="6"/>
  <c r="I2" i="6"/>
  <c r="I104" i="6"/>
  <c r="I106" i="6"/>
  <c r="I105" i="6"/>
  <c r="I107" i="6"/>
  <c r="Q28" i="37"/>
  <c r="Q29" i="37" s="1"/>
  <c r="Q30" i="37" s="1"/>
  <c r="Q5" i="37"/>
  <c r="Q6" i="37" s="1"/>
  <c r="Q7" i="37" s="1"/>
  <c r="Q100" i="37"/>
  <c r="H50" i="18"/>
  <c r="I51" i="18"/>
  <c r="Q123" i="35"/>
  <c r="Q120" i="32"/>
  <c r="Q121" i="32" s="1"/>
  <c r="Q122" i="32" s="1"/>
  <c r="Q54" i="37"/>
  <c r="Q119" i="33"/>
  <c r="Q120" i="33" s="1"/>
  <c r="Q121" i="33" s="1"/>
  <c r="Q122" i="33" s="1"/>
  <c r="Q4" i="38"/>
  <c r="Q8" i="38" s="1"/>
  <c r="Q50" i="39"/>
  <c r="Q51" i="39" s="1"/>
  <c r="Q52" i="39" s="1"/>
  <c r="Q53" i="39" s="1"/>
  <c r="Q142" i="31"/>
  <c r="Q143" i="31" s="1"/>
  <c r="Q144" i="31" s="1"/>
  <c r="Q145" i="31" s="1"/>
  <c r="Q142" i="30"/>
  <c r="Q143" i="30" s="1"/>
  <c r="Q144" i="30" s="1"/>
  <c r="Q145" i="30" s="1"/>
  <c r="Q27" i="32"/>
  <c r="Q31" i="32" s="1"/>
  <c r="Q142" i="33"/>
  <c r="Q146" i="33" s="1"/>
  <c r="Q73" i="30"/>
  <c r="Q74" i="30" s="1"/>
  <c r="Q75" i="30" s="1"/>
  <c r="Q76" i="30" s="1"/>
  <c r="Q119" i="30"/>
  <c r="Q120" i="30" s="1"/>
  <c r="Q121" i="30" s="1"/>
  <c r="Q122" i="30" s="1"/>
  <c r="Q73" i="37"/>
  <c r="Q77" i="37" s="1"/>
  <c r="Q51" i="31"/>
  <c r="Q52" i="31" s="1"/>
  <c r="Q53" i="31" s="1"/>
  <c r="Q54" i="31"/>
  <c r="Q146" i="32"/>
  <c r="Q143" i="32"/>
  <c r="Q144" i="32" s="1"/>
  <c r="Q145" i="32" s="1"/>
  <c r="Q97" i="33"/>
  <c r="Q98" i="33" s="1"/>
  <c r="Q99" i="33" s="1"/>
  <c r="Q100" i="33"/>
  <c r="Q74" i="32"/>
  <c r="Q75" i="32" s="1"/>
  <c r="Q76" i="32" s="1"/>
  <c r="Q77" i="32"/>
  <c r="Q28" i="35"/>
  <c r="Q29" i="35" s="1"/>
  <c r="Q30" i="35" s="1"/>
  <c r="Q31" i="35"/>
  <c r="Q97" i="38"/>
  <c r="Q98" i="38" s="1"/>
  <c r="Q99" i="38" s="1"/>
  <c r="Q100" i="38"/>
  <c r="Q54" i="35"/>
  <c r="Q51" i="35"/>
  <c r="Q52" i="35" s="1"/>
  <c r="Q53" i="35" s="1"/>
  <c r="Q97" i="35"/>
  <c r="Q98" i="35" s="1"/>
  <c r="Q99" i="35" s="1"/>
  <c r="Q100" i="35"/>
  <c r="Q28" i="31"/>
  <c r="Q29" i="31" s="1"/>
  <c r="Q30" i="31" s="1"/>
  <c r="Q31" i="31"/>
  <c r="Q31" i="38"/>
  <c r="Q28" i="38"/>
  <c r="Q29" i="38" s="1"/>
  <c r="Q30" i="38" s="1"/>
  <c r="Q74" i="33"/>
  <c r="Q75" i="33" s="1"/>
  <c r="Q76" i="33" s="1"/>
  <c r="Q77" i="33"/>
  <c r="Q5" i="39"/>
  <c r="Q6" i="39" s="1"/>
  <c r="Q7" i="39" s="1"/>
  <c r="Q8" i="39"/>
  <c r="Q8" i="36"/>
  <c r="Q5" i="36"/>
  <c r="Q6" i="36" s="1"/>
  <c r="Q7" i="36" s="1"/>
  <c r="Q74" i="39"/>
  <c r="Q75" i="39" s="1"/>
  <c r="Q76" i="39" s="1"/>
  <c r="Q77" i="39"/>
  <c r="Q143" i="38"/>
  <c r="Q144" i="38" s="1"/>
  <c r="Q145" i="38" s="1"/>
  <c r="Q146" i="38"/>
  <c r="Q51" i="36"/>
  <c r="Q52" i="36" s="1"/>
  <c r="Q53" i="36" s="1"/>
  <c r="Q54" i="36"/>
  <c r="Q54" i="30"/>
  <c r="Q51" i="30"/>
  <c r="Q52" i="30" s="1"/>
  <c r="Q53" i="30" s="1"/>
  <c r="Q146" i="34"/>
  <c r="Q143" i="34"/>
  <c r="Q144" i="34" s="1"/>
  <c r="Q145" i="34" s="1"/>
  <c r="Q8" i="33"/>
  <c r="Q5" i="33"/>
  <c r="Q6" i="33" s="1"/>
  <c r="Q7" i="33" s="1"/>
  <c r="Q120" i="38"/>
  <c r="Q121" i="38" s="1"/>
  <c r="Q122" i="38" s="1"/>
  <c r="Q123" i="38"/>
  <c r="Q31" i="30"/>
  <c r="Q28" i="30"/>
  <c r="Q29" i="30" s="1"/>
  <c r="Q30" i="30" s="1"/>
  <c r="Q97" i="30"/>
  <c r="Q98" i="30" s="1"/>
  <c r="Q99" i="30" s="1"/>
  <c r="Q100" i="30"/>
  <c r="Q100" i="34"/>
  <c r="Q97" i="34"/>
  <c r="Q98" i="34" s="1"/>
  <c r="Q99" i="34" s="1"/>
  <c r="Q97" i="31"/>
  <c r="Q98" i="31" s="1"/>
  <c r="Q99" i="31" s="1"/>
  <c r="Q100" i="31"/>
  <c r="Q77" i="34"/>
  <c r="Q74" i="34"/>
  <c r="Q75" i="34" s="1"/>
  <c r="Q76" i="34" s="1"/>
  <c r="Q77" i="31"/>
  <c r="Q74" i="31"/>
  <c r="Q75" i="31" s="1"/>
  <c r="Q76" i="31" s="1"/>
  <c r="Q143" i="37"/>
  <c r="Q144" i="37" s="1"/>
  <c r="Q145" i="37" s="1"/>
  <c r="Q146" i="37"/>
  <c r="Q100" i="39"/>
  <c r="Q97" i="39"/>
  <c r="Q98" i="39" s="1"/>
  <c r="Q99" i="39" s="1"/>
  <c r="Q5" i="32"/>
  <c r="Q6" i="32" s="1"/>
  <c r="Q7" i="32" s="1"/>
  <c r="Q8" i="32"/>
  <c r="Q77" i="36"/>
  <c r="Q74" i="36"/>
  <c r="Q75" i="36" s="1"/>
  <c r="Q76" i="36" s="1"/>
  <c r="Q8" i="35"/>
  <c r="Q5" i="35"/>
  <c r="Q6" i="35" s="1"/>
  <c r="Q7" i="35" s="1"/>
  <c r="Q5" i="34"/>
  <c r="Q6" i="34" s="1"/>
  <c r="Q7" i="34" s="1"/>
  <c r="Q8" i="34"/>
  <c r="Q97" i="32"/>
  <c r="Q98" i="32" s="1"/>
  <c r="Q99" i="32" s="1"/>
  <c r="Q100" i="32"/>
  <c r="Q120" i="34"/>
  <c r="Q121" i="34" s="1"/>
  <c r="Q122" i="34" s="1"/>
  <c r="Q123" i="34"/>
  <c r="Q51" i="38"/>
  <c r="Q52" i="38" s="1"/>
  <c r="Q53" i="38" s="1"/>
  <c r="Q54" i="38"/>
  <c r="Q74" i="38"/>
  <c r="Q75" i="38" s="1"/>
  <c r="Q76" i="38" s="1"/>
  <c r="Q77" i="38"/>
  <c r="Q54" i="33"/>
  <c r="Q51" i="33"/>
  <c r="Q52" i="33" s="1"/>
  <c r="Q53" i="33" s="1"/>
  <c r="Q123" i="36"/>
  <c r="Q120" i="36"/>
  <c r="Q121" i="36" s="1"/>
  <c r="Q122" i="36" s="1"/>
  <c r="Q74" i="35"/>
  <c r="Q75" i="35" s="1"/>
  <c r="Q76" i="35" s="1"/>
  <c r="Q77" i="35"/>
  <c r="Q31" i="39"/>
  <c r="Q28" i="39"/>
  <c r="Q29" i="39" s="1"/>
  <c r="Q30" i="39" s="1"/>
  <c r="Q28" i="34"/>
  <c r="Q29" i="34" s="1"/>
  <c r="Q30" i="34" s="1"/>
  <c r="Q31" i="34"/>
  <c r="Q54" i="34"/>
  <c r="Q51" i="34"/>
  <c r="Q52" i="34" s="1"/>
  <c r="Q53" i="34" s="1"/>
  <c r="Q120" i="31"/>
  <c r="Q121" i="31" s="1"/>
  <c r="Q122" i="31" s="1"/>
  <c r="Q123" i="31"/>
  <c r="Q143" i="35"/>
  <c r="Q144" i="35" s="1"/>
  <c r="Q145" i="35" s="1"/>
  <c r="Q146" i="35"/>
  <c r="Q54" i="32"/>
  <c r="Q51" i="32"/>
  <c r="Q52" i="32" s="1"/>
  <c r="Q53" i="32" s="1"/>
  <c r="Q28" i="36"/>
  <c r="Q29" i="36" s="1"/>
  <c r="Q30" i="36" s="1"/>
  <c r="Q31" i="36"/>
  <c r="Q5" i="30"/>
  <c r="Q6" i="30" s="1"/>
  <c r="Q7" i="30" s="1"/>
  <c r="Q8" i="30"/>
  <c r="Q143" i="39"/>
  <c r="Q144" i="39" s="1"/>
  <c r="Q145" i="39" s="1"/>
  <c r="Q146" i="39"/>
  <c r="Q143" i="36"/>
  <c r="Q144" i="36" s="1"/>
  <c r="Q145" i="36" s="1"/>
  <c r="Q146" i="36"/>
  <c r="Z177" i="16"/>
  <c r="W177" i="16" s="1"/>
  <c r="Y178" i="16"/>
  <c r="I103" i="6"/>
  <c r="I99" i="6"/>
  <c r="I100" i="6"/>
  <c r="I101" i="6"/>
  <c r="I102" i="6"/>
  <c r="I98" i="6"/>
  <c r="I113" i="6"/>
  <c r="I111" i="6"/>
  <c r="I109" i="6"/>
  <c r="I97" i="6"/>
  <c r="J94" i="6"/>
  <c r="I112" i="6"/>
  <c r="I110" i="6"/>
  <c r="I108" i="6"/>
  <c r="I71" i="6"/>
  <c r="H28" i="6"/>
  <c r="I25" i="6"/>
  <c r="J48" i="6"/>
  <c r="I51" i="6"/>
  <c r="I13" i="6" l="1"/>
  <c r="I14" i="6"/>
  <c r="I8" i="6"/>
  <c r="I12" i="6"/>
  <c r="I7" i="6"/>
  <c r="I6" i="6"/>
  <c r="I10" i="6"/>
  <c r="I11" i="6"/>
  <c r="I9" i="6"/>
  <c r="I5" i="6"/>
  <c r="J2" i="6"/>
  <c r="J53" i="6"/>
  <c r="J52" i="6"/>
  <c r="J55" i="6"/>
  <c r="J54" i="6"/>
  <c r="I37" i="6"/>
  <c r="I33" i="6"/>
  <c r="I30" i="6"/>
  <c r="I35" i="6"/>
  <c r="I36" i="6"/>
  <c r="I32" i="6"/>
  <c r="I29" i="6"/>
  <c r="I34" i="6"/>
  <c r="I31" i="6"/>
  <c r="J104" i="6"/>
  <c r="J106" i="6"/>
  <c r="J105" i="6"/>
  <c r="J107" i="6"/>
  <c r="I81" i="6"/>
  <c r="I87" i="6"/>
  <c r="I84" i="6"/>
  <c r="I86" i="6"/>
  <c r="I80" i="6"/>
  <c r="I89" i="6"/>
  <c r="I83" i="6"/>
  <c r="I88" i="6"/>
  <c r="I85" i="6"/>
  <c r="I82" i="6"/>
  <c r="I77" i="6"/>
  <c r="I75" i="6"/>
  <c r="I76" i="6"/>
  <c r="I78" i="6"/>
  <c r="I79" i="6"/>
  <c r="I74" i="6"/>
  <c r="H51" i="18"/>
  <c r="I52" i="18"/>
  <c r="Q54" i="39"/>
  <c r="Q5" i="38"/>
  <c r="Q6" i="38" s="1"/>
  <c r="Q7" i="38" s="1"/>
  <c r="Q74" i="37"/>
  <c r="Q75" i="37" s="1"/>
  <c r="Q76" i="37" s="1"/>
  <c r="Q146" i="31"/>
  <c r="Q28" i="32"/>
  <c r="Q29" i="32" s="1"/>
  <c r="Q30" i="32" s="1"/>
  <c r="Q77" i="30"/>
  <c r="Q123" i="33"/>
  <c r="Q146" i="30"/>
  <c r="Q123" i="30"/>
  <c r="Q143" i="33"/>
  <c r="Q144" i="33" s="1"/>
  <c r="Q145" i="33" s="1"/>
  <c r="Z178" i="16"/>
  <c r="W178" i="16" s="1"/>
  <c r="Y179" i="16"/>
  <c r="J100" i="6"/>
  <c r="J101" i="6"/>
  <c r="J99" i="6"/>
  <c r="J103" i="6"/>
  <c r="J102" i="6"/>
  <c r="J98" i="6"/>
  <c r="I28" i="6"/>
  <c r="J25" i="6"/>
  <c r="J113" i="6"/>
  <c r="J111" i="6"/>
  <c r="J109" i="6"/>
  <c r="J97" i="6"/>
  <c r="K94" i="6"/>
  <c r="J112" i="6"/>
  <c r="J110" i="6"/>
  <c r="J108" i="6"/>
  <c r="J51" i="6"/>
  <c r="K48" i="6"/>
  <c r="J71" i="6"/>
  <c r="J13" i="6" l="1"/>
  <c r="J5" i="6"/>
  <c r="J8" i="6"/>
  <c r="J7" i="6"/>
  <c r="J9" i="6"/>
  <c r="J10" i="6"/>
  <c r="J14" i="6"/>
  <c r="J12" i="6"/>
  <c r="J11" i="6"/>
  <c r="J6" i="6"/>
  <c r="K2" i="6"/>
  <c r="J87" i="6"/>
  <c r="J84" i="6"/>
  <c r="J81" i="6"/>
  <c r="J89" i="6"/>
  <c r="J83" i="6"/>
  <c r="J86" i="6"/>
  <c r="J80" i="6"/>
  <c r="J88" i="6"/>
  <c r="J85" i="6"/>
  <c r="J82" i="6"/>
  <c r="J79" i="6"/>
  <c r="J78" i="6"/>
  <c r="J75" i="6"/>
  <c r="J76" i="6"/>
  <c r="J77" i="6"/>
  <c r="J74" i="6"/>
  <c r="K52" i="6"/>
  <c r="K55" i="6"/>
  <c r="K54" i="6"/>
  <c r="K53" i="6"/>
  <c r="J37" i="6"/>
  <c r="J33" i="6"/>
  <c r="J30" i="6"/>
  <c r="J35" i="6"/>
  <c r="J36" i="6"/>
  <c r="J32" i="6"/>
  <c r="J29" i="6"/>
  <c r="J34" i="6"/>
  <c r="J31" i="6"/>
  <c r="K104" i="6"/>
  <c r="K106" i="6"/>
  <c r="K105" i="6"/>
  <c r="K107" i="6"/>
  <c r="H52" i="18"/>
  <c r="I53" i="18"/>
  <c r="Z179" i="16"/>
  <c r="W179" i="16" s="1"/>
  <c r="Y180" i="16"/>
  <c r="K100" i="6"/>
  <c r="K101" i="6"/>
  <c r="K102" i="6"/>
  <c r="K98" i="6"/>
  <c r="K103" i="6"/>
  <c r="K99" i="6"/>
  <c r="J28" i="6"/>
  <c r="K25" i="6"/>
  <c r="K51" i="6"/>
  <c r="L48" i="6"/>
  <c r="K113" i="6"/>
  <c r="K111" i="6"/>
  <c r="K109" i="6"/>
  <c r="K97" i="6"/>
  <c r="L94" i="6"/>
  <c r="K112" i="6"/>
  <c r="K110" i="6"/>
  <c r="K108" i="6"/>
  <c r="K71" i="6"/>
  <c r="L52" i="6" l="1"/>
  <c r="L55" i="6"/>
  <c r="L54" i="6"/>
  <c r="L53" i="6"/>
  <c r="K84" i="6"/>
  <c r="K81" i="6"/>
  <c r="K86" i="6"/>
  <c r="K83" i="6"/>
  <c r="K89" i="6"/>
  <c r="K80" i="6"/>
  <c r="K88" i="6"/>
  <c r="K87" i="6"/>
  <c r="K85" i="6"/>
  <c r="K82" i="6"/>
  <c r="K79" i="6"/>
  <c r="K76" i="6"/>
  <c r="K77" i="6"/>
  <c r="K74" i="6"/>
  <c r="K75" i="6"/>
  <c r="K78" i="6"/>
  <c r="K37" i="6"/>
  <c r="K33" i="6"/>
  <c r="K30" i="6"/>
  <c r="K35" i="6"/>
  <c r="K36" i="6"/>
  <c r="K32" i="6"/>
  <c r="K29" i="6"/>
  <c r="K34" i="6"/>
  <c r="K31" i="6"/>
  <c r="K6" i="6"/>
  <c r="K12" i="6"/>
  <c r="K7" i="6"/>
  <c r="K14" i="6"/>
  <c r="K9" i="6"/>
  <c r="K13" i="6"/>
  <c r="K5" i="6"/>
  <c r="K11" i="6"/>
  <c r="K8" i="6"/>
  <c r="K10" i="6"/>
  <c r="L2" i="6"/>
  <c r="L104" i="6"/>
  <c r="L106" i="6"/>
  <c r="L105" i="6"/>
  <c r="L107" i="6"/>
  <c r="H53" i="18"/>
  <c r="I54" i="18"/>
  <c r="Z180" i="16"/>
  <c r="W180" i="16" s="1"/>
  <c r="Y181" i="16"/>
  <c r="L101" i="6"/>
  <c r="L100" i="6"/>
  <c r="L102" i="6"/>
  <c r="L98" i="6"/>
  <c r="L103" i="6"/>
  <c r="L99" i="6"/>
  <c r="L71" i="6"/>
  <c r="L25" i="6"/>
  <c r="K28" i="6"/>
  <c r="M48" i="6"/>
  <c r="L51" i="6"/>
  <c r="L113" i="6"/>
  <c r="L111" i="6"/>
  <c r="L109" i="6"/>
  <c r="L97" i="6"/>
  <c r="M94" i="6"/>
  <c r="L112" i="6"/>
  <c r="L110" i="6"/>
  <c r="L108" i="6"/>
  <c r="L5" i="6" l="1"/>
  <c r="L13" i="6"/>
  <c r="L6" i="6"/>
  <c r="L11" i="6"/>
  <c r="L9" i="6"/>
  <c r="L14" i="6"/>
  <c r="L8" i="6"/>
  <c r="L7" i="6"/>
  <c r="L10" i="6"/>
  <c r="L12" i="6"/>
  <c r="M2" i="6"/>
  <c r="L33" i="6"/>
  <c r="L30" i="6"/>
  <c r="L35" i="6"/>
  <c r="L36" i="6"/>
  <c r="L32" i="6"/>
  <c r="L29" i="6"/>
  <c r="L34" i="6"/>
  <c r="L31" i="6"/>
  <c r="L37" i="6"/>
  <c r="M52" i="6"/>
  <c r="M55" i="6"/>
  <c r="M54" i="6"/>
  <c r="M53" i="6"/>
  <c r="L81" i="6"/>
  <c r="L83" i="6"/>
  <c r="L88" i="6"/>
  <c r="L89" i="6"/>
  <c r="L86" i="6"/>
  <c r="L80" i="6"/>
  <c r="L85" i="6"/>
  <c r="L82" i="6"/>
  <c r="L87" i="6"/>
  <c r="L84" i="6"/>
  <c r="L76" i="6"/>
  <c r="L79" i="6"/>
  <c r="L74" i="6"/>
  <c r="L78" i="6"/>
  <c r="L77" i="6"/>
  <c r="L75" i="6"/>
  <c r="M104" i="6"/>
  <c r="M105" i="6"/>
  <c r="M107" i="6"/>
  <c r="M106" i="6"/>
  <c r="H54" i="18"/>
  <c r="I55" i="18"/>
  <c r="Z181" i="16"/>
  <c r="W181" i="16" s="1"/>
  <c r="Y182" i="16"/>
  <c r="M101" i="6"/>
  <c r="M102" i="6"/>
  <c r="M98" i="6"/>
  <c r="M103" i="6"/>
  <c r="M99" i="6"/>
  <c r="M100" i="6"/>
  <c r="M25" i="6"/>
  <c r="L28" i="6"/>
  <c r="N48" i="6"/>
  <c r="M51" i="6"/>
  <c r="N94" i="6"/>
  <c r="M112" i="6"/>
  <c r="M110" i="6"/>
  <c r="M108" i="6"/>
  <c r="M113" i="6"/>
  <c r="M111" i="6"/>
  <c r="M109" i="6"/>
  <c r="M97" i="6"/>
  <c r="M71" i="6"/>
  <c r="M8" i="6" l="1"/>
  <c r="M13" i="6"/>
  <c r="M12" i="6"/>
  <c r="M14" i="6"/>
  <c r="M10" i="6"/>
  <c r="M9" i="6"/>
  <c r="M6" i="6"/>
  <c r="M7" i="6"/>
  <c r="M5" i="6"/>
  <c r="M11" i="6"/>
  <c r="N2" i="6"/>
  <c r="M30" i="6"/>
  <c r="M35" i="6"/>
  <c r="M36" i="6"/>
  <c r="M32" i="6"/>
  <c r="M29" i="6"/>
  <c r="M34" i="6"/>
  <c r="M31" i="6"/>
  <c r="M37" i="6"/>
  <c r="M33" i="6"/>
  <c r="M80" i="6"/>
  <c r="M83" i="6"/>
  <c r="M85" i="6"/>
  <c r="M89" i="6"/>
  <c r="M86" i="6"/>
  <c r="M88" i="6"/>
  <c r="M82" i="6"/>
  <c r="M87" i="6"/>
  <c r="M81" i="6"/>
  <c r="M84" i="6"/>
  <c r="M77" i="6"/>
  <c r="M79" i="6"/>
  <c r="M75" i="6"/>
  <c r="M74" i="6"/>
  <c r="M76" i="6"/>
  <c r="M78" i="6"/>
  <c r="N104" i="6"/>
  <c r="N105" i="6"/>
  <c r="N107" i="6"/>
  <c r="N106" i="6"/>
  <c r="N52" i="6"/>
  <c r="N55" i="6"/>
  <c r="N54" i="6"/>
  <c r="N53" i="6"/>
  <c r="H55" i="18"/>
  <c r="I56" i="18"/>
  <c r="Z182" i="16"/>
  <c r="W182" i="16" s="1"/>
  <c r="Y183" i="16"/>
  <c r="N102" i="6"/>
  <c r="N98" i="6"/>
  <c r="N103" i="6"/>
  <c r="N99" i="6"/>
  <c r="N101" i="6"/>
  <c r="N100" i="6"/>
  <c r="O94" i="6"/>
  <c r="N112" i="6"/>
  <c r="N110" i="6"/>
  <c r="N108" i="6"/>
  <c r="N113" i="6"/>
  <c r="N111" i="6"/>
  <c r="N109" i="6"/>
  <c r="N97" i="6"/>
  <c r="O48" i="6"/>
  <c r="N51" i="6"/>
  <c r="N71" i="6"/>
  <c r="M28" i="6"/>
  <c r="N25" i="6"/>
  <c r="O104" i="6" l="1"/>
  <c r="O105" i="6"/>
  <c r="O107" i="6"/>
  <c r="O106" i="6"/>
  <c r="N35" i="6"/>
  <c r="N36" i="6"/>
  <c r="N32" i="6"/>
  <c r="N29" i="6"/>
  <c r="N34" i="6"/>
  <c r="N31" i="6"/>
  <c r="N37" i="6"/>
  <c r="N33" i="6"/>
  <c r="N30" i="6"/>
  <c r="N12" i="6"/>
  <c r="N14" i="6"/>
  <c r="N9" i="6"/>
  <c r="N6" i="6"/>
  <c r="N5" i="6"/>
  <c r="N8" i="6"/>
  <c r="N7" i="6"/>
  <c r="N13" i="6"/>
  <c r="N10" i="6"/>
  <c r="N11" i="6"/>
  <c r="O2" i="6"/>
  <c r="N80" i="6"/>
  <c r="N82" i="6"/>
  <c r="N89" i="6"/>
  <c r="N86" i="6"/>
  <c r="N83" i="6"/>
  <c r="N88" i="6"/>
  <c r="N85" i="6"/>
  <c r="N84" i="6"/>
  <c r="N81" i="6"/>
  <c r="N87" i="6"/>
  <c r="N76" i="6"/>
  <c r="N79" i="6"/>
  <c r="N75" i="6"/>
  <c r="N77" i="6"/>
  <c r="N78" i="6"/>
  <c r="N74" i="6"/>
  <c r="O52" i="6"/>
  <c r="O55" i="6"/>
  <c r="O54" i="6"/>
  <c r="O53" i="6"/>
  <c r="H56" i="18"/>
  <c r="I57" i="18"/>
  <c r="Z183" i="16"/>
  <c r="W183" i="16" s="1"/>
  <c r="Y184" i="16"/>
  <c r="O102" i="6"/>
  <c r="O98" i="6"/>
  <c r="O103" i="6"/>
  <c r="O99" i="6"/>
  <c r="O100" i="6"/>
  <c r="O101" i="6"/>
  <c r="O51" i="6"/>
  <c r="P48" i="6"/>
  <c r="O112" i="6"/>
  <c r="O110" i="6"/>
  <c r="O108" i="6"/>
  <c r="O113" i="6"/>
  <c r="O111" i="6"/>
  <c r="O109" i="6"/>
  <c r="O97" i="6"/>
  <c r="P94" i="6"/>
  <c r="O71" i="6"/>
  <c r="N28" i="6"/>
  <c r="O25" i="6"/>
  <c r="P52" i="6" l="1"/>
  <c r="P55" i="6"/>
  <c r="P54" i="6"/>
  <c r="P53" i="6"/>
  <c r="O35" i="6"/>
  <c r="O36" i="6"/>
  <c r="O32" i="6"/>
  <c r="O29" i="6"/>
  <c r="O34" i="6"/>
  <c r="O31" i="6"/>
  <c r="O37" i="6"/>
  <c r="O33" i="6"/>
  <c r="O30" i="6"/>
  <c r="O83" i="6"/>
  <c r="O89" i="6"/>
  <c r="O86" i="6"/>
  <c r="O80" i="6"/>
  <c r="O85" i="6"/>
  <c r="O88" i="6"/>
  <c r="O82" i="6"/>
  <c r="O81" i="6"/>
  <c r="O87" i="6"/>
  <c r="O84" i="6"/>
  <c r="O76" i="6"/>
  <c r="O77" i="6"/>
  <c r="O74" i="6"/>
  <c r="O79" i="6"/>
  <c r="O75" i="6"/>
  <c r="O78" i="6"/>
  <c r="O9" i="6"/>
  <c r="O6" i="6"/>
  <c r="O11" i="6"/>
  <c r="O8" i="6"/>
  <c r="O7" i="6"/>
  <c r="O10" i="6"/>
  <c r="O12" i="6"/>
  <c r="O5" i="6"/>
  <c r="O13" i="6"/>
  <c r="O14" i="6"/>
  <c r="P2" i="6"/>
  <c r="P104" i="6"/>
  <c r="P105" i="6"/>
  <c r="P107" i="6"/>
  <c r="P106" i="6"/>
  <c r="H57" i="18"/>
  <c r="I58" i="18"/>
  <c r="Z184" i="16"/>
  <c r="W184" i="16" s="1"/>
  <c r="Y185" i="16"/>
  <c r="P103" i="6"/>
  <c r="P99" i="6"/>
  <c r="P100" i="6"/>
  <c r="P102" i="6"/>
  <c r="P98" i="6"/>
  <c r="P101" i="6"/>
  <c r="O28" i="6"/>
  <c r="P25" i="6"/>
  <c r="P71" i="6"/>
  <c r="P112" i="6"/>
  <c r="P110" i="6"/>
  <c r="P108" i="6"/>
  <c r="P113" i="6"/>
  <c r="P111" i="6"/>
  <c r="P109" i="6"/>
  <c r="P97" i="6"/>
  <c r="Q94" i="6"/>
  <c r="P51" i="6"/>
  <c r="Q48" i="6"/>
  <c r="P7" i="6" l="1"/>
  <c r="P11" i="6"/>
  <c r="P9" i="6"/>
  <c r="P12" i="6"/>
  <c r="P5" i="6"/>
  <c r="P10" i="6"/>
  <c r="P13" i="6"/>
  <c r="P6" i="6"/>
  <c r="P14" i="6"/>
  <c r="P8" i="6"/>
  <c r="Q2" i="6"/>
  <c r="P35" i="6"/>
  <c r="P36" i="6"/>
  <c r="P32" i="6"/>
  <c r="P29" i="6"/>
  <c r="P34" i="6"/>
  <c r="P31" i="6"/>
  <c r="P37" i="6"/>
  <c r="P33" i="6"/>
  <c r="P30" i="6"/>
  <c r="Q52" i="6"/>
  <c r="Q55" i="6"/>
  <c r="Q54" i="6"/>
  <c r="Q53" i="6"/>
  <c r="Q104" i="6"/>
  <c r="Q105" i="6"/>
  <c r="Q107" i="6"/>
  <c r="Q106" i="6"/>
  <c r="P89" i="6"/>
  <c r="P80" i="6"/>
  <c r="P86" i="6"/>
  <c r="P83" i="6"/>
  <c r="P82" i="6"/>
  <c r="P85" i="6"/>
  <c r="P88" i="6"/>
  <c r="P87" i="6"/>
  <c r="P84" i="6"/>
  <c r="P81" i="6"/>
  <c r="P78" i="6"/>
  <c r="P75" i="6"/>
  <c r="P76" i="6"/>
  <c r="P79" i="6"/>
  <c r="P77" i="6"/>
  <c r="P74" i="6"/>
  <c r="H58" i="18"/>
  <c r="I59" i="18"/>
  <c r="Z185" i="16"/>
  <c r="W185" i="16" s="1"/>
  <c r="Y186" i="16"/>
  <c r="Q103" i="6"/>
  <c r="Q99" i="6"/>
  <c r="Q100" i="6"/>
  <c r="Q101" i="6"/>
  <c r="Q102" i="6"/>
  <c r="Q98" i="6"/>
  <c r="R48" i="6"/>
  <c r="Q51" i="6"/>
  <c r="Q71" i="6"/>
  <c r="P28" i="6"/>
  <c r="Q25" i="6"/>
  <c r="Q113" i="6"/>
  <c r="Q111" i="6"/>
  <c r="Q109" i="6"/>
  <c r="Q97" i="6"/>
  <c r="R94" i="6"/>
  <c r="Q112" i="6"/>
  <c r="Q110" i="6"/>
  <c r="Q108" i="6"/>
  <c r="Q35" i="6" l="1"/>
  <c r="Q36" i="6"/>
  <c r="Q32" i="6"/>
  <c r="Q29" i="6"/>
  <c r="Q34" i="6"/>
  <c r="Q31" i="6"/>
  <c r="Q37" i="6"/>
  <c r="Q33" i="6"/>
  <c r="Q30" i="6"/>
  <c r="Q86" i="6"/>
  <c r="Q88" i="6"/>
  <c r="Q83" i="6"/>
  <c r="Q80" i="6"/>
  <c r="Q85" i="6"/>
  <c r="Q82" i="6"/>
  <c r="Q87" i="6"/>
  <c r="Q81" i="6"/>
  <c r="Q84" i="6"/>
  <c r="Q89" i="6"/>
  <c r="Q78" i="6"/>
  <c r="Q76" i="6"/>
  <c r="Q79" i="6"/>
  <c r="Q74" i="6"/>
  <c r="Q75" i="6"/>
  <c r="Q77" i="6"/>
  <c r="R52" i="6"/>
  <c r="R55" i="6"/>
  <c r="R54" i="6"/>
  <c r="R53" i="6"/>
  <c r="Q13" i="6"/>
  <c r="Q7" i="6"/>
  <c r="Q6" i="6"/>
  <c r="Q5" i="6"/>
  <c r="Q8" i="6"/>
  <c r="Q11" i="6"/>
  <c r="Q12" i="6"/>
  <c r="Q9" i="6"/>
  <c r="Q10" i="6"/>
  <c r="Q14" i="6"/>
  <c r="R2" i="6"/>
  <c r="R104" i="6"/>
  <c r="R105" i="6"/>
  <c r="R107" i="6"/>
  <c r="R106" i="6"/>
  <c r="H59" i="18"/>
  <c r="I60" i="18"/>
  <c r="Z186" i="16"/>
  <c r="W186" i="16" s="1"/>
  <c r="Y187" i="16"/>
  <c r="R99" i="6"/>
  <c r="R100" i="6"/>
  <c r="R101" i="6"/>
  <c r="R102" i="6"/>
  <c r="R98" i="6"/>
  <c r="R103" i="6"/>
  <c r="R51" i="6"/>
  <c r="S48" i="6"/>
  <c r="R113" i="6"/>
  <c r="R111" i="6"/>
  <c r="R109" i="6"/>
  <c r="R97" i="6"/>
  <c r="S94" i="6"/>
  <c r="R112" i="6"/>
  <c r="R110" i="6"/>
  <c r="R108" i="6"/>
  <c r="Q28" i="6"/>
  <c r="R25" i="6"/>
  <c r="R71" i="6"/>
  <c r="R7" i="6" l="1"/>
  <c r="R10" i="6"/>
  <c r="R13" i="6"/>
  <c r="R14" i="6"/>
  <c r="R12" i="6"/>
  <c r="R8" i="6"/>
  <c r="R9" i="6"/>
  <c r="R11" i="6"/>
  <c r="R6" i="6"/>
  <c r="R5" i="6"/>
  <c r="S2" i="6"/>
  <c r="S52" i="6"/>
  <c r="S55" i="6"/>
  <c r="S54" i="6"/>
  <c r="S53" i="6"/>
  <c r="R83" i="6"/>
  <c r="R80" i="6"/>
  <c r="R82" i="6"/>
  <c r="R85" i="6"/>
  <c r="R87" i="6"/>
  <c r="R88" i="6"/>
  <c r="R84" i="6"/>
  <c r="R86" i="6"/>
  <c r="R81" i="6"/>
  <c r="R89" i="6"/>
  <c r="R74" i="6"/>
  <c r="R75" i="6"/>
  <c r="R76" i="6"/>
  <c r="R77" i="6"/>
  <c r="R78" i="6"/>
  <c r="R79" i="6"/>
  <c r="R36" i="6"/>
  <c r="R32" i="6"/>
  <c r="R29" i="6"/>
  <c r="R34" i="6"/>
  <c r="R31" i="6"/>
  <c r="R37" i="6"/>
  <c r="R33" i="6"/>
  <c r="R30" i="6"/>
  <c r="R35" i="6"/>
  <c r="S104" i="6"/>
  <c r="S105" i="6"/>
  <c r="S107" i="6"/>
  <c r="S106" i="6"/>
  <c r="H60" i="18"/>
  <c r="I61" i="18"/>
  <c r="Z187" i="16"/>
  <c r="W187" i="16" s="1"/>
  <c r="Y188" i="16"/>
  <c r="S100" i="6"/>
  <c r="S101" i="6"/>
  <c r="S102" i="6"/>
  <c r="S98" i="6"/>
  <c r="S103" i="6"/>
  <c r="S99" i="6"/>
  <c r="S113" i="6"/>
  <c r="S111" i="6"/>
  <c r="S109" i="6"/>
  <c r="S97" i="6"/>
  <c r="T94" i="6"/>
  <c r="S112" i="6"/>
  <c r="S110" i="6"/>
  <c r="S108" i="6"/>
  <c r="S71" i="6"/>
  <c r="R28" i="6"/>
  <c r="S25" i="6"/>
  <c r="S51" i="6"/>
  <c r="T48" i="6"/>
  <c r="T104" i="6" l="1"/>
  <c r="T107" i="6"/>
  <c r="T106" i="6"/>
  <c r="T105" i="6"/>
  <c r="S8" i="6"/>
  <c r="S6" i="6"/>
  <c r="S14" i="6"/>
  <c r="S12" i="6"/>
  <c r="S5" i="6"/>
  <c r="S9" i="6"/>
  <c r="S10" i="6"/>
  <c r="S11" i="6"/>
  <c r="S7" i="6"/>
  <c r="S13" i="6"/>
  <c r="T2" i="6"/>
  <c r="T52" i="6"/>
  <c r="T55" i="6"/>
  <c r="T54" i="6"/>
  <c r="T53" i="6"/>
  <c r="S32" i="6"/>
  <c r="S29" i="6"/>
  <c r="S34" i="6"/>
  <c r="S31" i="6"/>
  <c r="S37" i="6"/>
  <c r="S33" i="6"/>
  <c r="S30" i="6"/>
  <c r="S35" i="6"/>
  <c r="S36" i="6"/>
  <c r="S80" i="6"/>
  <c r="S85" i="6"/>
  <c r="S84" i="6"/>
  <c r="S82" i="6"/>
  <c r="S88" i="6"/>
  <c r="S87" i="6"/>
  <c r="S89" i="6"/>
  <c r="S81" i="6"/>
  <c r="S86" i="6"/>
  <c r="S83" i="6"/>
  <c r="S78" i="6"/>
  <c r="S75" i="6"/>
  <c r="S79" i="6"/>
  <c r="S77" i="6"/>
  <c r="S76" i="6"/>
  <c r="S74" i="6"/>
  <c r="H61" i="18"/>
  <c r="I62" i="18"/>
  <c r="Z188" i="16"/>
  <c r="W188" i="16" s="1"/>
  <c r="Y189" i="16"/>
  <c r="T101" i="6"/>
  <c r="T102" i="6"/>
  <c r="T98" i="6"/>
  <c r="T100" i="6"/>
  <c r="T103" i="6"/>
  <c r="T99" i="6"/>
  <c r="T71" i="6"/>
  <c r="T113" i="6"/>
  <c r="T111" i="6"/>
  <c r="T109" i="6"/>
  <c r="T97" i="6"/>
  <c r="U94" i="6"/>
  <c r="T112" i="6"/>
  <c r="T110" i="6"/>
  <c r="T108" i="6"/>
  <c r="T51" i="6"/>
  <c r="U48" i="6"/>
  <c r="T25" i="6"/>
  <c r="S28" i="6"/>
  <c r="T88" i="6" l="1"/>
  <c r="T82" i="6"/>
  <c r="T85" i="6"/>
  <c r="T81" i="6"/>
  <c r="T87" i="6"/>
  <c r="T84" i="6"/>
  <c r="T86" i="6"/>
  <c r="T83" i="6"/>
  <c r="T89" i="6"/>
  <c r="T80" i="6"/>
  <c r="T78" i="6"/>
  <c r="T75" i="6"/>
  <c r="T77" i="6"/>
  <c r="T79" i="6"/>
  <c r="T76" i="6"/>
  <c r="T74" i="6"/>
  <c r="T9" i="6"/>
  <c r="T6" i="6"/>
  <c r="T11" i="6"/>
  <c r="T5" i="6"/>
  <c r="T12" i="6"/>
  <c r="T8" i="6"/>
  <c r="T10" i="6"/>
  <c r="T7" i="6"/>
  <c r="T14" i="6"/>
  <c r="T13" i="6"/>
  <c r="U2" i="6"/>
  <c r="T29" i="6"/>
  <c r="T34" i="6"/>
  <c r="T31" i="6"/>
  <c r="T37" i="6"/>
  <c r="T33" i="6"/>
  <c r="T30" i="6"/>
  <c r="T35" i="6"/>
  <c r="T36" i="6"/>
  <c r="T32" i="6"/>
  <c r="U52" i="6"/>
  <c r="U55" i="6"/>
  <c r="U54" i="6"/>
  <c r="U53" i="6"/>
  <c r="U104" i="6"/>
  <c r="U107" i="6"/>
  <c r="U106" i="6"/>
  <c r="U105" i="6"/>
  <c r="H62" i="18"/>
  <c r="I63" i="18"/>
  <c r="Z189" i="16"/>
  <c r="W189" i="16" s="1"/>
  <c r="Y190" i="16"/>
  <c r="U101" i="6"/>
  <c r="U102" i="6"/>
  <c r="U98" i="6"/>
  <c r="U103" i="6"/>
  <c r="U99" i="6"/>
  <c r="U100" i="6"/>
  <c r="U71" i="6"/>
  <c r="V94" i="6"/>
  <c r="U112" i="6"/>
  <c r="U110" i="6"/>
  <c r="U108" i="6"/>
  <c r="U113" i="6"/>
  <c r="U111" i="6"/>
  <c r="U109" i="6"/>
  <c r="U97" i="6"/>
  <c r="U25" i="6"/>
  <c r="T28" i="6"/>
  <c r="U51" i="6"/>
  <c r="V48" i="6"/>
  <c r="V104" i="6" l="1"/>
  <c r="V107" i="6"/>
  <c r="V106" i="6"/>
  <c r="V105" i="6"/>
  <c r="U87" i="6"/>
  <c r="U81" i="6"/>
  <c r="U85" i="6"/>
  <c r="U88" i="6"/>
  <c r="U82" i="6"/>
  <c r="U84" i="6"/>
  <c r="U83" i="6"/>
  <c r="U89" i="6"/>
  <c r="U86" i="6"/>
  <c r="U80" i="6"/>
  <c r="U77" i="6"/>
  <c r="U79" i="6"/>
  <c r="U75" i="6"/>
  <c r="U78" i="6"/>
  <c r="U74" i="6"/>
  <c r="U76" i="6"/>
  <c r="U13" i="6"/>
  <c r="U9" i="6"/>
  <c r="U12" i="6"/>
  <c r="U8" i="6"/>
  <c r="U7" i="6"/>
  <c r="U5" i="6"/>
  <c r="U6" i="6"/>
  <c r="U10" i="6"/>
  <c r="U11" i="6"/>
  <c r="U14" i="6"/>
  <c r="V2" i="6"/>
  <c r="V55" i="6"/>
  <c r="V54" i="6"/>
  <c r="V53" i="6"/>
  <c r="V52" i="6"/>
  <c r="U34" i="6"/>
  <c r="U31" i="6"/>
  <c r="U37" i="6"/>
  <c r="U33" i="6"/>
  <c r="U30" i="6"/>
  <c r="U35" i="6"/>
  <c r="U36" i="6"/>
  <c r="U32" i="6"/>
  <c r="U29" i="6"/>
  <c r="H63" i="18"/>
  <c r="I64" i="18"/>
  <c r="Z190" i="16"/>
  <c r="W190" i="16" s="1"/>
  <c r="Y191" i="16"/>
  <c r="V102" i="6"/>
  <c r="V98" i="6"/>
  <c r="V103" i="6"/>
  <c r="V99" i="6"/>
  <c r="V100" i="6"/>
  <c r="V101" i="6"/>
  <c r="W94" i="6"/>
  <c r="V112" i="6"/>
  <c r="V110" i="6"/>
  <c r="V108" i="6"/>
  <c r="V113" i="6"/>
  <c r="V111" i="6"/>
  <c r="V109" i="6"/>
  <c r="V97" i="6"/>
  <c r="U28" i="6"/>
  <c r="V25" i="6"/>
  <c r="V71" i="6"/>
  <c r="W48" i="6"/>
  <c r="V51" i="6"/>
  <c r="V11" i="6" l="1"/>
  <c r="V8" i="6"/>
  <c r="V13" i="6"/>
  <c r="V9" i="6"/>
  <c r="V7" i="6"/>
  <c r="V12" i="6"/>
  <c r="V5" i="6"/>
  <c r="V10" i="6"/>
  <c r="V14" i="6"/>
  <c r="V6" i="6"/>
  <c r="W2" i="6"/>
  <c r="V82" i="6"/>
  <c r="V88" i="6"/>
  <c r="V85" i="6"/>
  <c r="V84" i="6"/>
  <c r="V87" i="6"/>
  <c r="V81" i="6"/>
  <c r="V80" i="6"/>
  <c r="V89" i="6"/>
  <c r="V86" i="6"/>
  <c r="V83" i="6"/>
  <c r="V75" i="6"/>
  <c r="V76" i="6"/>
  <c r="V77" i="6"/>
  <c r="V74" i="6"/>
  <c r="V78" i="6"/>
  <c r="V79" i="6"/>
  <c r="V34" i="6"/>
  <c r="V31" i="6"/>
  <c r="V37" i="6"/>
  <c r="V33" i="6"/>
  <c r="V30" i="6"/>
  <c r="V35" i="6"/>
  <c r="V36" i="6"/>
  <c r="V32" i="6"/>
  <c r="V29" i="6"/>
  <c r="W104" i="6"/>
  <c r="W107" i="6"/>
  <c r="W106" i="6"/>
  <c r="W105" i="6"/>
  <c r="W55" i="6"/>
  <c r="W54" i="6"/>
  <c r="W53" i="6"/>
  <c r="W52" i="6"/>
  <c r="H64" i="18"/>
  <c r="I65" i="18"/>
  <c r="Z191" i="16"/>
  <c r="W191" i="16" s="1"/>
  <c r="Y192" i="16"/>
  <c r="Z192" i="16" s="1"/>
  <c r="W192" i="16" s="1"/>
  <c r="W102" i="6"/>
  <c r="W98" i="6"/>
  <c r="W103" i="6"/>
  <c r="W99" i="6"/>
  <c r="W100" i="6"/>
  <c r="W101" i="6"/>
  <c r="W71" i="6"/>
  <c r="W51" i="6"/>
  <c r="X48" i="6"/>
  <c r="W112" i="6"/>
  <c r="W110" i="6"/>
  <c r="W108" i="6"/>
  <c r="W113" i="6"/>
  <c r="W111" i="6"/>
  <c r="W109" i="6"/>
  <c r="W97" i="6"/>
  <c r="X94" i="6"/>
  <c r="V28" i="6"/>
  <c r="W25" i="6"/>
  <c r="X55" i="6" l="1"/>
  <c r="X54" i="6"/>
  <c r="X53" i="6"/>
  <c r="X52" i="6"/>
  <c r="W7" i="6"/>
  <c r="W10" i="6"/>
  <c r="W14" i="6"/>
  <c r="W12" i="6"/>
  <c r="W9" i="6"/>
  <c r="W6" i="6"/>
  <c r="W13" i="6"/>
  <c r="W8" i="6"/>
  <c r="W11" i="6"/>
  <c r="W5" i="6"/>
  <c r="X2" i="6"/>
  <c r="W88" i="6"/>
  <c r="W84" i="6"/>
  <c r="W85" i="6"/>
  <c r="W81" i="6"/>
  <c r="W82" i="6"/>
  <c r="W87" i="6"/>
  <c r="W89" i="6"/>
  <c r="W86" i="6"/>
  <c r="W83" i="6"/>
  <c r="W80" i="6"/>
  <c r="W76" i="6"/>
  <c r="W75" i="6"/>
  <c r="W78" i="6"/>
  <c r="W79" i="6"/>
  <c r="W77" i="6"/>
  <c r="W74" i="6"/>
  <c r="W34" i="6"/>
  <c r="W31" i="6"/>
  <c r="W37" i="6"/>
  <c r="W33" i="6"/>
  <c r="W30" i="6"/>
  <c r="W35" i="6"/>
  <c r="W36" i="6"/>
  <c r="W32" i="6"/>
  <c r="W29" i="6"/>
  <c r="X104" i="6"/>
  <c r="X107" i="6"/>
  <c r="X106" i="6"/>
  <c r="X105" i="6"/>
  <c r="H65" i="18"/>
  <c r="I66" i="18"/>
  <c r="X103" i="6"/>
  <c r="X99" i="6"/>
  <c r="X100" i="6"/>
  <c r="X98" i="6"/>
  <c r="X101" i="6"/>
  <c r="X102" i="6"/>
  <c r="X71" i="6"/>
  <c r="W28" i="6"/>
  <c r="X25" i="6"/>
  <c r="X112" i="6"/>
  <c r="X110" i="6"/>
  <c r="X108" i="6"/>
  <c r="X113" i="6"/>
  <c r="X111" i="6"/>
  <c r="X109" i="6"/>
  <c r="X97" i="6"/>
  <c r="Y94" i="6"/>
  <c r="X51" i="6"/>
  <c r="Y48" i="6"/>
  <c r="X10" i="6" l="1"/>
  <c r="X12" i="6"/>
  <c r="X7" i="6"/>
  <c r="X11" i="6"/>
  <c r="X5" i="6"/>
  <c r="X14" i="6"/>
  <c r="X9" i="6"/>
  <c r="X6" i="6"/>
  <c r="X13" i="6"/>
  <c r="X8" i="6"/>
  <c r="Y2" i="6"/>
  <c r="Y55" i="6"/>
  <c r="Y54" i="6"/>
  <c r="Y53" i="6"/>
  <c r="Y52" i="6"/>
  <c r="X85" i="6"/>
  <c r="X82" i="6"/>
  <c r="X87" i="6"/>
  <c r="X89" i="6"/>
  <c r="X81" i="6"/>
  <c r="X84" i="6"/>
  <c r="X86" i="6"/>
  <c r="X83" i="6"/>
  <c r="X80" i="6"/>
  <c r="X88" i="6"/>
  <c r="X76" i="6"/>
  <c r="X74" i="6"/>
  <c r="X77" i="6"/>
  <c r="X78" i="6"/>
  <c r="X75" i="6"/>
  <c r="X79" i="6"/>
  <c r="X34" i="6"/>
  <c r="X31" i="6"/>
  <c r="X37" i="6"/>
  <c r="X33" i="6"/>
  <c r="X30" i="6"/>
  <c r="X35" i="6"/>
  <c r="X36" i="6"/>
  <c r="X32" i="6"/>
  <c r="X29" i="6"/>
  <c r="Y104" i="6"/>
  <c r="Y107" i="6"/>
  <c r="Y106" i="6"/>
  <c r="Y105" i="6"/>
  <c r="H66" i="18"/>
  <c r="I67" i="18"/>
  <c r="Y103" i="6"/>
  <c r="Y99" i="6"/>
  <c r="Y100" i="6"/>
  <c r="Y101" i="6"/>
  <c r="Y102" i="6"/>
  <c r="Y98" i="6"/>
  <c r="Z48" i="6"/>
  <c r="Y51" i="6"/>
  <c r="Y113" i="6"/>
  <c r="Y111" i="6"/>
  <c r="Y109" i="6"/>
  <c r="Y97" i="6"/>
  <c r="Z94" i="6"/>
  <c r="Y112" i="6"/>
  <c r="Y110" i="6"/>
  <c r="Y108" i="6"/>
  <c r="Y71" i="6"/>
  <c r="X28" i="6"/>
  <c r="Y25" i="6"/>
  <c r="Z104" i="6" l="1"/>
  <c r="Z106" i="6"/>
  <c r="Z105" i="6"/>
  <c r="Z107" i="6"/>
  <c r="Z55" i="6"/>
  <c r="Z54" i="6"/>
  <c r="Z53" i="6"/>
  <c r="Z52" i="6"/>
  <c r="Y13" i="6"/>
  <c r="Y11" i="6"/>
  <c r="Y14" i="6"/>
  <c r="Y12" i="6"/>
  <c r="Y10" i="6"/>
  <c r="Y9" i="6"/>
  <c r="Y6" i="6"/>
  <c r="Y7" i="6"/>
  <c r="Y5" i="6"/>
  <c r="Y8" i="6"/>
  <c r="Z2" i="6"/>
  <c r="Y34" i="6"/>
  <c r="Y31" i="6"/>
  <c r="Y37" i="6"/>
  <c r="Y33" i="6"/>
  <c r="Y30" i="6"/>
  <c r="Y35" i="6"/>
  <c r="Y36" i="6"/>
  <c r="Y32" i="6"/>
  <c r="Y29" i="6"/>
  <c r="Y82" i="6"/>
  <c r="Y84" i="6"/>
  <c r="Y86" i="6"/>
  <c r="Y89" i="6"/>
  <c r="Y87" i="6"/>
  <c r="Y81" i="6"/>
  <c r="Y83" i="6"/>
  <c r="Y80" i="6"/>
  <c r="Y88" i="6"/>
  <c r="Y85" i="6"/>
  <c r="Y74" i="6"/>
  <c r="Y79" i="6"/>
  <c r="Y76" i="6"/>
  <c r="Y77" i="6"/>
  <c r="Y75" i="6"/>
  <c r="Y78" i="6"/>
  <c r="H67" i="18"/>
  <c r="I68" i="18"/>
  <c r="Z100" i="6"/>
  <c r="Z99" i="6"/>
  <c r="Z101" i="6"/>
  <c r="Z103" i="6"/>
  <c r="Z102" i="6"/>
  <c r="Z98" i="6"/>
  <c r="Z113" i="6"/>
  <c r="Z111" i="6"/>
  <c r="Z109" i="6"/>
  <c r="Z97" i="6"/>
  <c r="AA94" i="6"/>
  <c r="Z112" i="6"/>
  <c r="Z110" i="6"/>
  <c r="Z108" i="6"/>
  <c r="Z51" i="6"/>
  <c r="AA48" i="6"/>
  <c r="Y28" i="6"/>
  <c r="Z25" i="6"/>
  <c r="Z71" i="6"/>
  <c r="AA104" i="6" l="1"/>
  <c r="AA106" i="6"/>
  <c r="AA105" i="6"/>
  <c r="AA107" i="6"/>
  <c r="Z84" i="6"/>
  <c r="Z81" i="6"/>
  <c r="Z83" i="6"/>
  <c r="Z87" i="6"/>
  <c r="Z86" i="6"/>
  <c r="Z89" i="6"/>
  <c r="Z88" i="6"/>
  <c r="Z80" i="6"/>
  <c r="Z85" i="6"/>
  <c r="Z82" i="6"/>
  <c r="Z77" i="6"/>
  <c r="Z78" i="6"/>
  <c r="Z76" i="6"/>
  <c r="Z74" i="6"/>
  <c r="Z79" i="6"/>
  <c r="Z75" i="6"/>
  <c r="Z31" i="6"/>
  <c r="Z37" i="6"/>
  <c r="Z33" i="6"/>
  <c r="Z30" i="6"/>
  <c r="Z35" i="6"/>
  <c r="Z36" i="6"/>
  <c r="Z32" i="6"/>
  <c r="Z29" i="6"/>
  <c r="Z34" i="6"/>
  <c r="Z6" i="6"/>
  <c r="Z14" i="6"/>
  <c r="Z10" i="6"/>
  <c r="Z9" i="6"/>
  <c r="Z13" i="6"/>
  <c r="Z7" i="6"/>
  <c r="Z8" i="6"/>
  <c r="Z11" i="6"/>
  <c r="Z5" i="6"/>
  <c r="Z12" i="6"/>
  <c r="AA2" i="6"/>
  <c r="AA55" i="6"/>
  <c r="AA54" i="6"/>
  <c r="AA53" i="6"/>
  <c r="AA52" i="6"/>
  <c r="H68" i="18"/>
  <c r="I69" i="18"/>
  <c r="AA100" i="6"/>
  <c r="AA101" i="6"/>
  <c r="AA102" i="6"/>
  <c r="AA98" i="6"/>
  <c r="AA103" i="6"/>
  <c r="AA99" i="6"/>
  <c r="AA113" i="6"/>
  <c r="AA111" i="6"/>
  <c r="AA109" i="6"/>
  <c r="AA97" i="6"/>
  <c r="AB94" i="6"/>
  <c r="AA112" i="6"/>
  <c r="AA110" i="6"/>
  <c r="AA108" i="6"/>
  <c r="Z28" i="6"/>
  <c r="AA25" i="6"/>
  <c r="AA71" i="6"/>
  <c r="AA51" i="6"/>
  <c r="AB48" i="6"/>
  <c r="AB104" i="6" l="1"/>
  <c r="AB106" i="6"/>
  <c r="AB105" i="6"/>
  <c r="AB107" i="6"/>
  <c r="AB55" i="6"/>
  <c r="AB54" i="6"/>
  <c r="AB53" i="6"/>
  <c r="AB52" i="6"/>
  <c r="AA37" i="6"/>
  <c r="AA33" i="6"/>
  <c r="AA30" i="6"/>
  <c r="AA35" i="6"/>
  <c r="AA36" i="6"/>
  <c r="AA32" i="6"/>
  <c r="AA29" i="6"/>
  <c r="AA34" i="6"/>
  <c r="AA31" i="6"/>
  <c r="AA81" i="6"/>
  <c r="AA87" i="6"/>
  <c r="AA89" i="6"/>
  <c r="AA84" i="6"/>
  <c r="AA83" i="6"/>
  <c r="AA80" i="6"/>
  <c r="AA86" i="6"/>
  <c r="AA85" i="6"/>
  <c r="AA88" i="6"/>
  <c r="AA82" i="6"/>
  <c r="AA74" i="6"/>
  <c r="AA76" i="6"/>
  <c r="AA78" i="6"/>
  <c r="AA79" i="6"/>
  <c r="AA75" i="6"/>
  <c r="AA77" i="6"/>
  <c r="AA14" i="6"/>
  <c r="AA6" i="6"/>
  <c r="AA13" i="6"/>
  <c r="AA8" i="6"/>
  <c r="AA9" i="6"/>
  <c r="AA11" i="6"/>
  <c r="AA12" i="6"/>
  <c r="AA10" i="6"/>
  <c r="AA5" i="6"/>
  <c r="AA7" i="6"/>
  <c r="AB2" i="6"/>
  <c r="H69" i="18"/>
  <c r="I70" i="18"/>
  <c r="AB101" i="6"/>
  <c r="AB102" i="6"/>
  <c r="AB98" i="6"/>
  <c r="AB103" i="6"/>
  <c r="AB99" i="6"/>
  <c r="AB100" i="6"/>
  <c r="AB71" i="6"/>
  <c r="AB113" i="6"/>
  <c r="AB111" i="6"/>
  <c r="AB109" i="6"/>
  <c r="AB97" i="6"/>
  <c r="AC94" i="6"/>
  <c r="AB112" i="6"/>
  <c r="AB110" i="6"/>
  <c r="AB108" i="6"/>
  <c r="AB51" i="6"/>
  <c r="AC48" i="6"/>
  <c r="AB25" i="6"/>
  <c r="AA28" i="6"/>
  <c r="AB86" i="6" l="1"/>
  <c r="AB87" i="6"/>
  <c r="AB84" i="6"/>
  <c r="AB80" i="6"/>
  <c r="AB81" i="6"/>
  <c r="AB89" i="6"/>
  <c r="AB83" i="6"/>
  <c r="AB82" i="6"/>
  <c r="AB88" i="6"/>
  <c r="AB85" i="6"/>
  <c r="AB74" i="6"/>
  <c r="AB76" i="6"/>
  <c r="AB79" i="6"/>
  <c r="AB78" i="6"/>
  <c r="AB75" i="6"/>
  <c r="AB77" i="6"/>
  <c r="AC54" i="6"/>
  <c r="AC53" i="6"/>
  <c r="AC52" i="6"/>
  <c r="AC55" i="6"/>
  <c r="AB6" i="6"/>
  <c r="AB5" i="6"/>
  <c r="AB14" i="6"/>
  <c r="AB8" i="6"/>
  <c r="AB11" i="6"/>
  <c r="AB12" i="6"/>
  <c r="AB7" i="6"/>
  <c r="AB10" i="6"/>
  <c r="AB13" i="6"/>
  <c r="AB9" i="6"/>
  <c r="AC2" i="6"/>
  <c r="AC104" i="6"/>
  <c r="AC106" i="6"/>
  <c r="AC105" i="6"/>
  <c r="AC107" i="6"/>
  <c r="AB37" i="6"/>
  <c r="AB33" i="6"/>
  <c r="AB30" i="6"/>
  <c r="AB35" i="6"/>
  <c r="AB36" i="6"/>
  <c r="AB32" i="6"/>
  <c r="AB29" i="6"/>
  <c r="AB34" i="6"/>
  <c r="AB31" i="6"/>
  <c r="H70" i="18"/>
  <c r="I71" i="18"/>
  <c r="AC101" i="6"/>
  <c r="AC102" i="6"/>
  <c r="AC98" i="6"/>
  <c r="AC103" i="6"/>
  <c r="AC99" i="6"/>
  <c r="AC100" i="6"/>
  <c r="AC71" i="6"/>
  <c r="AD94" i="6"/>
  <c r="AC112" i="6"/>
  <c r="AC110" i="6"/>
  <c r="AC108" i="6"/>
  <c r="AC113" i="6"/>
  <c r="AC111" i="6"/>
  <c r="AC109" i="6"/>
  <c r="AC97" i="6"/>
  <c r="AC25" i="6"/>
  <c r="AB28" i="6"/>
  <c r="AC51" i="6"/>
  <c r="AD48" i="6"/>
  <c r="AD104" i="6" l="1"/>
  <c r="AD106" i="6"/>
  <c r="AD105" i="6"/>
  <c r="AD107" i="6"/>
  <c r="AC6" i="6"/>
  <c r="AC12" i="6"/>
  <c r="AC9" i="6"/>
  <c r="AC7" i="6"/>
  <c r="AC8" i="6"/>
  <c r="AC11" i="6"/>
  <c r="AC5" i="6"/>
  <c r="AC10" i="6"/>
  <c r="AC13" i="6"/>
  <c r="AC14" i="6"/>
  <c r="AD2" i="6"/>
  <c r="AC37" i="6"/>
  <c r="AC33" i="6"/>
  <c r="AC30" i="6"/>
  <c r="AC35" i="6"/>
  <c r="AC36" i="6"/>
  <c r="AC32" i="6"/>
  <c r="AC29" i="6"/>
  <c r="AC34" i="6"/>
  <c r="AC31" i="6"/>
  <c r="AC80" i="6"/>
  <c r="AC87" i="6"/>
  <c r="AC81" i="6"/>
  <c r="AC86" i="6"/>
  <c r="AC84" i="6"/>
  <c r="AC83" i="6"/>
  <c r="AC89" i="6"/>
  <c r="AC85" i="6"/>
  <c r="AC82" i="6"/>
  <c r="AC88" i="6"/>
  <c r="AC77" i="6"/>
  <c r="AC75" i="6"/>
  <c r="AC76" i="6"/>
  <c r="AC74" i="6"/>
  <c r="AC78" i="6"/>
  <c r="AC79" i="6"/>
  <c r="AD53" i="6"/>
  <c r="AD52" i="6"/>
  <c r="AD55" i="6"/>
  <c r="AD54" i="6"/>
  <c r="H71" i="18"/>
  <c r="I72" i="18"/>
  <c r="AD102" i="6"/>
  <c r="AD98" i="6"/>
  <c r="AD103" i="6"/>
  <c r="AD99" i="6"/>
  <c r="AD100" i="6"/>
  <c r="AD101" i="6"/>
  <c r="AC28" i="6"/>
  <c r="AD25" i="6"/>
  <c r="AE94" i="6"/>
  <c r="AD112" i="6"/>
  <c r="AD110" i="6"/>
  <c r="AD108" i="6"/>
  <c r="AD113" i="6"/>
  <c r="AD111" i="6"/>
  <c r="AD109" i="6"/>
  <c r="AD97" i="6"/>
  <c r="AD71" i="6"/>
  <c r="AD51" i="6"/>
  <c r="AE48" i="6"/>
  <c r="AE104" i="6" l="1"/>
  <c r="AE106" i="6"/>
  <c r="AE105" i="6"/>
  <c r="AE107" i="6"/>
  <c r="AD37" i="6"/>
  <c r="AD33" i="6"/>
  <c r="AD30" i="6"/>
  <c r="AD35" i="6"/>
  <c r="AD36" i="6"/>
  <c r="AD32" i="6"/>
  <c r="AD29" i="6"/>
  <c r="AD34" i="6"/>
  <c r="AD31" i="6"/>
  <c r="AE52" i="6"/>
  <c r="AE55" i="6"/>
  <c r="AE54" i="6"/>
  <c r="AE53" i="6"/>
  <c r="AD8" i="6"/>
  <c r="AD10" i="6"/>
  <c r="AD9" i="6"/>
  <c r="AD5" i="6"/>
  <c r="AD11" i="6"/>
  <c r="AD6" i="6"/>
  <c r="AD14" i="6"/>
  <c r="AD13" i="6"/>
  <c r="AD7" i="6"/>
  <c r="AD12" i="6"/>
  <c r="AE2" i="6"/>
  <c r="AD87" i="6"/>
  <c r="AD84" i="6"/>
  <c r="AD81" i="6"/>
  <c r="AD89" i="6"/>
  <c r="AD80" i="6"/>
  <c r="AD86" i="6"/>
  <c r="AD83" i="6"/>
  <c r="AD82" i="6"/>
  <c r="AD88" i="6"/>
  <c r="AD85" i="6"/>
  <c r="AD77" i="6"/>
  <c r="AD75" i="6"/>
  <c r="AD74" i="6"/>
  <c r="AD79" i="6"/>
  <c r="AD76" i="6"/>
  <c r="AD78" i="6"/>
  <c r="H72" i="18"/>
  <c r="I73" i="18"/>
  <c r="AE102" i="6"/>
  <c r="AE98" i="6"/>
  <c r="AE103" i="6"/>
  <c r="AE99" i="6"/>
  <c r="AE100" i="6"/>
  <c r="AE101" i="6"/>
  <c r="AE71" i="6"/>
  <c r="AE51" i="6"/>
  <c r="AF48" i="6"/>
  <c r="AE112" i="6"/>
  <c r="AE110" i="6"/>
  <c r="AE108" i="6"/>
  <c r="AE113" i="6"/>
  <c r="AE111" i="6"/>
  <c r="AE109" i="6"/>
  <c r="AE97" i="6"/>
  <c r="AF94" i="6"/>
  <c r="AD28" i="6"/>
  <c r="AE25" i="6"/>
  <c r="AE84" i="6" l="1"/>
  <c r="AE81" i="6"/>
  <c r="AE80" i="6"/>
  <c r="AE86" i="6"/>
  <c r="AE89" i="6"/>
  <c r="AE83" i="6"/>
  <c r="AE88" i="6"/>
  <c r="AE87" i="6"/>
  <c r="AE82" i="6"/>
  <c r="AE85" i="6"/>
  <c r="AE75" i="6"/>
  <c r="AE79" i="6"/>
  <c r="AE74" i="6"/>
  <c r="AE78" i="6"/>
  <c r="AE77" i="6"/>
  <c r="AE76" i="6"/>
  <c r="AE5" i="6"/>
  <c r="AE7" i="6"/>
  <c r="AE6" i="6"/>
  <c r="AE9" i="6"/>
  <c r="AE10" i="6"/>
  <c r="AE8" i="6"/>
  <c r="AE14" i="6"/>
  <c r="AE11" i="6"/>
  <c r="AE12" i="6"/>
  <c r="AE13" i="6"/>
  <c r="AF2" i="6"/>
  <c r="AF52" i="6"/>
  <c r="AF55" i="6"/>
  <c r="AF54" i="6"/>
  <c r="AF53" i="6"/>
  <c r="AE37" i="6"/>
  <c r="AE33" i="6"/>
  <c r="AE30" i="6"/>
  <c r="AE35" i="6"/>
  <c r="AE36" i="6"/>
  <c r="AE32" i="6"/>
  <c r="AE29" i="6"/>
  <c r="AE34" i="6"/>
  <c r="AE31" i="6"/>
  <c r="AF104" i="6"/>
  <c r="AF106" i="6"/>
  <c r="AF105" i="6"/>
  <c r="AF107" i="6"/>
  <c r="H73" i="18"/>
  <c r="I74" i="18"/>
  <c r="AF103" i="6"/>
  <c r="AF99" i="6"/>
  <c r="AF98" i="6"/>
  <c r="AF100" i="6"/>
  <c r="AF101" i="6"/>
  <c r="AF102" i="6"/>
  <c r="AF71" i="6"/>
  <c r="AE28" i="6"/>
  <c r="AF25" i="6"/>
  <c r="AF112" i="6"/>
  <c r="AF110" i="6"/>
  <c r="AF108" i="6"/>
  <c r="AF113" i="6"/>
  <c r="AF111" i="6"/>
  <c r="AF109" i="6"/>
  <c r="AF97" i="6"/>
  <c r="AG94" i="6"/>
  <c r="AF51" i="6"/>
  <c r="AG48" i="6"/>
  <c r="AF81" i="6" l="1"/>
  <c r="AF80" i="6"/>
  <c r="AF86" i="6"/>
  <c r="AF85" i="6"/>
  <c r="AF89" i="6"/>
  <c r="AF83" i="6"/>
  <c r="AF88" i="6"/>
  <c r="AF87" i="6"/>
  <c r="AF84" i="6"/>
  <c r="AF82" i="6"/>
  <c r="AF75" i="6"/>
  <c r="AF78" i="6"/>
  <c r="AF77" i="6"/>
  <c r="AF76" i="6"/>
  <c r="AF79" i="6"/>
  <c r="AF74" i="6"/>
  <c r="AG52" i="6"/>
  <c r="AG55" i="6"/>
  <c r="AG54" i="6"/>
  <c r="AG53" i="6"/>
  <c r="AF33" i="6"/>
  <c r="AF30" i="6"/>
  <c r="AF35" i="6"/>
  <c r="AF36" i="6"/>
  <c r="AF32" i="6"/>
  <c r="AF29" i="6"/>
  <c r="AF34" i="6"/>
  <c r="AF31" i="6"/>
  <c r="AF37" i="6"/>
  <c r="AF8" i="6"/>
  <c r="AF7" i="6"/>
  <c r="AF12" i="6"/>
  <c r="AF11" i="6"/>
  <c r="AF9" i="6"/>
  <c r="AF13" i="6"/>
  <c r="AF5" i="6"/>
  <c r="AF10" i="6"/>
  <c r="AF6" i="6"/>
  <c r="AF14" i="6"/>
  <c r="AG2" i="6"/>
  <c r="AG104" i="6"/>
  <c r="AG105" i="6"/>
  <c r="AG107" i="6"/>
  <c r="AG106" i="6"/>
  <c r="H74" i="18"/>
  <c r="I75" i="18"/>
  <c r="AG103" i="6"/>
  <c r="AG99" i="6"/>
  <c r="AG100" i="6"/>
  <c r="AG101" i="6"/>
  <c r="AG102" i="6"/>
  <c r="AG98" i="6"/>
  <c r="AG71" i="6"/>
  <c r="AG51" i="6"/>
  <c r="AH48" i="6"/>
  <c r="AG113" i="6"/>
  <c r="AG111" i="6"/>
  <c r="AG109" i="6"/>
  <c r="AG97" i="6"/>
  <c r="AH94" i="6"/>
  <c r="AG112" i="6"/>
  <c r="AG110" i="6"/>
  <c r="AG108" i="6"/>
  <c r="AF28" i="6"/>
  <c r="AG25" i="6"/>
  <c r="AG85" i="6" l="1"/>
  <c r="AG82" i="6"/>
  <c r="AG89" i="6"/>
  <c r="AG86" i="6"/>
  <c r="AG83" i="6"/>
  <c r="AG80" i="6"/>
  <c r="AG88" i="6"/>
  <c r="AG87" i="6"/>
  <c r="AG84" i="6"/>
  <c r="AG81" i="6"/>
  <c r="AG78" i="6"/>
  <c r="AG77" i="6"/>
  <c r="AG79" i="6"/>
  <c r="AG76" i="6"/>
  <c r="AG75" i="6"/>
  <c r="AG74" i="6"/>
  <c r="AH52" i="6"/>
  <c r="AH55" i="6"/>
  <c r="AH54" i="6"/>
  <c r="AH53" i="6"/>
  <c r="AG30" i="6"/>
  <c r="AG35" i="6"/>
  <c r="AG36" i="6"/>
  <c r="AG32" i="6"/>
  <c r="AG29" i="6"/>
  <c r="AG34" i="6"/>
  <c r="AG31" i="6"/>
  <c r="AG37" i="6"/>
  <c r="AG33" i="6"/>
  <c r="AG11" i="6"/>
  <c r="AG6" i="6"/>
  <c r="AG14" i="6"/>
  <c r="AG12" i="6"/>
  <c r="AG8" i="6"/>
  <c r="AG10" i="6"/>
  <c r="AG9" i="6"/>
  <c r="AG7" i="6"/>
  <c r="AG5" i="6"/>
  <c r="AG13" i="6"/>
  <c r="AH2" i="6"/>
  <c r="AH104" i="6"/>
  <c r="AH105" i="6"/>
  <c r="AH107" i="6"/>
  <c r="AH106" i="6"/>
  <c r="H75" i="18"/>
  <c r="I76" i="18"/>
  <c r="AH100" i="6"/>
  <c r="AH101" i="6"/>
  <c r="AH102" i="6"/>
  <c r="AH98" i="6"/>
  <c r="AH99" i="6"/>
  <c r="AH103" i="6"/>
  <c r="AH113" i="6"/>
  <c r="AH111" i="6"/>
  <c r="AH109" i="6"/>
  <c r="AH97" i="6"/>
  <c r="AI94" i="6"/>
  <c r="AH112" i="6"/>
  <c r="AH110" i="6"/>
  <c r="AH108" i="6"/>
  <c r="AG28" i="6"/>
  <c r="AH25" i="6"/>
  <c r="AI48" i="6"/>
  <c r="AH51" i="6"/>
  <c r="AH71" i="6"/>
  <c r="AI104" i="6" l="1"/>
  <c r="AI105" i="6"/>
  <c r="AI107" i="6"/>
  <c r="AI106" i="6"/>
  <c r="AH6" i="6"/>
  <c r="AH14" i="6"/>
  <c r="AH12" i="6"/>
  <c r="AH9" i="6"/>
  <c r="AH7" i="6"/>
  <c r="AH13" i="6"/>
  <c r="AH10" i="6"/>
  <c r="AH5" i="6"/>
  <c r="AH11" i="6"/>
  <c r="AH8" i="6"/>
  <c r="AI2" i="6"/>
  <c r="AI52" i="6"/>
  <c r="AI55" i="6"/>
  <c r="AI54" i="6"/>
  <c r="AI53" i="6"/>
  <c r="AH80" i="6"/>
  <c r="AH89" i="6"/>
  <c r="AH86" i="6"/>
  <c r="AH83" i="6"/>
  <c r="AH88" i="6"/>
  <c r="AH82" i="6"/>
  <c r="AH85" i="6"/>
  <c r="AH84" i="6"/>
  <c r="AH81" i="6"/>
  <c r="AH87" i="6"/>
  <c r="AH75" i="6"/>
  <c r="AH77" i="6"/>
  <c r="AH79" i="6"/>
  <c r="AH78" i="6"/>
  <c r="AH74" i="6"/>
  <c r="AH76" i="6"/>
  <c r="AH35" i="6"/>
  <c r="AH36" i="6"/>
  <c r="AH32" i="6"/>
  <c r="AH29" i="6"/>
  <c r="AH34" i="6"/>
  <c r="AH31" i="6"/>
  <c r="AH37" i="6"/>
  <c r="AH33" i="6"/>
  <c r="AH30" i="6"/>
  <c r="H76" i="18"/>
  <c r="I77" i="18"/>
  <c r="AI100" i="6"/>
  <c r="AI101" i="6"/>
  <c r="AI102" i="6"/>
  <c r="AI98" i="6"/>
  <c r="AI103" i="6"/>
  <c r="AI99" i="6"/>
  <c r="AI113" i="6"/>
  <c r="AI111" i="6"/>
  <c r="AI109" i="6"/>
  <c r="AI97" i="6"/>
  <c r="AJ94" i="6"/>
  <c r="AI112" i="6"/>
  <c r="AI110" i="6"/>
  <c r="AI108" i="6"/>
  <c r="AI71" i="6"/>
  <c r="AI51" i="6"/>
  <c r="AJ48" i="6"/>
  <c r="AH28" i="6"/>
  <c r="AI25" i="6"/>
  <c r="AJ104" i="6" l="1"/>
  <c r="AJ105" i="6"/>
  <c r="AJ107" i="6"/>
  <c r="AJ106" i="6"/>
  <c r="AI6" i="6"/>
  <c r="AI12" i="6"/>
  <c r="AI10" i="6"/>
  <c r="AI11" i="6"/>
  <c r="AI8" i="6"/>
  <c r="AI7" i="6"/>
  <c r="AI9" i="6"/>
  <c r="AI5" i="6"/>
  <c r="AI13" i="6"/>
  <c r="AI14" i="6"/>
  <c r="AJ2" i="6"/>
  <c r="AI35" i="6"/>
  <c r="AI36" i="6"/>
  <c r="AI32" i="6"/>
  <c r="AI29" i="6"/>
  <c r="AI34" i="6"/>
  <c r="AI31" i="6"/>
  <c r="AI37" i="6"/>
  <c r="AI33" i="6"/>
  <c r="AI30" i="6"/>
  <c r="AJ52" i="6"/>
  <c r="AJ55" i="6"/>
  <c r="AJ54" i="6"/>
  <c r="AJ53" i="6"/>
  <c r="AI89" i="6"/>
  <c r="AI83" i="6"/>
  <c r="AI86" i="6"/>
  <c r="AI85" i="6"/>
  <c r="AI80" i="6"/>
  <c r="AI88" i="6"/>
  <c r="AI82" i="6"/>
  <c r="AI81" i="6"/>
  <c r="AI87" i="6"/>
  <c r="AI84" i="6"/>
  <c r="AI75" i="6"/>
  <c r="AI78" i="6"/>
  <c r="AI74" i="6"/>
  <c r="AI76" i="6"/>
  <c r="AI79" i="6"/>
  <c r="AI77" i="6"/>
  <c r="H77" i="18"/>
  <c r="I78" i="18"/>
  <c r="AJ101" i="6"/>
  <c r="AJ102" i="6"/>
  <c r="AJ98" i="6"/>
  <c r="AJ100" i="6"/>
  <c r="AJ103" i="6"/>
  <c r="AJ99" i="6"/>
  <c r="AJ71" i="6"/>
  <c r="AJ113" i="6"/>
  <c r="AJ111" i="6"/>
  <c r="AJ109" i="6"/>
  <c r="AJ97" i="6"/>
  <c r="AK94" i="6"/>
  <c r="AJ112" i="6"/>
  <c r="AJ110" i="6"/>
  <c r="AJ108" i="6"/>
  <c r="AJ25" i="6"/>
  <c r="AI28" i="6"/>
  <c r="AJ51" i="6"/>
  <c r="AK48" i="6"/>
  <c r="AJ89" i="6" l="1"/>
  <c r="AJ86" i="6"/>
  <c r="AJ80" i="6"/>
  <c r="AJ83" i="6"/>
  <c r="AJ85" i="6"/>
  <c r="AJ82" i="6"/>
  <c r="AJ88" i="6"/>
  <c r="AJ81" i="6"/>
  <c r="AJ87" i="6"/>
  <c r="AJ84" i="6"/>
  <c r="AJ75" i="6"/>
  <c r="AJ76" i="6"/>
  <c r="AJ74" i="6"/>
  <c r="AJ77" i="6"/>
  <c r="AJ79" i="6"/>
  <c r="AJ78" i="6"/>
  <c r="AK104" i="6"/>
  <c r="AK105" i="6"/>
  <c r="AK107" i="6"/>
  <c r="AK106" i="6"/>
  <c r="AJ8" i="6"/>
  <c r="AJ9" i="6"/>
  <c r="AJ7" i="6"/>
  <c r="AJ6" i="6"/>
  <c r="AJ12" i="6"/>
  <c r="AJ13" i="6"/>
  <c r="AJ10" i="6"/>
  <c r="AJ5" i="6"/>
  <c r="AJ14" i="6"/>
  <c r="AJ11" i="6"/>
  <c r="AK2" i="6"/>
  <c r="AK52" i="6"/>
  <c r="AK55" i="6"/>
  <c r="AK54" i="6"/>
  <c r="AK53" i="6"/>
  <c r="AJ35" i="6"/>
  <c r="AJ36" i="6"/>
  <c r="AJ32" i="6"/>
  <c r="AJ29" i="6"/>
  <c r="AJ34" i="6"/>
  <c r="AJ31" i="6"/>
  <c r="AJ37" i="6"/>
  <c r="AJ33" i="6"/>
  <c r="AJ30" i="6"/>
  <c r="H78" i="18"/>
  <c r="I79" i="18"/>
  <c r="AK101" i="6"/>
  <c r="AK102" i="6"/>
  <c r="AK98" i="6"/>
  <c r="AK103" i="6"/>
  <c r="AK99" i="6"/>
  <c r="AK100" i="6"/>
  <c r="AK25" i="6"/>
  <c r="AJ28" i="6"/>
  <c r="AL94" i="6"/>
  <c r="AK112" i="6"/>
  <c r="AK110" i="6"/>
  <c r="AK108" i="6"/>
  <c r="AK111" i="6"/>
  <c r="AK109" i="6"/>
  <c r="AK97" i="6"/>
  <c r="AK113" i="6"/>
  <c r="AK71" i="6"/>
  <c r="AK51" i="6"/>
  <c r="AL48" i="6"/>
  <c r="AL104" i="6" l="1"/>
  <c r="AL105" i="6"/>
  <c r="AL107" i="6"/>
  <c r="AL106" i="6"/>
  <c r="AK13" i="6"/>
  <c r="AK5" i="6"/>
  <c r="AK9" i="6"/>
  <c r="AK6" i="6"/>
  <c r="AK11" i="6"/>
  <c r="AK8" i="6"/>
  <c r="AK10" i="6"/>
  <c r="AK12" i="6"/>
  <c r="AK7" i="6"/>
  <c r="AK14" i="6"/>
  <c r="AL2" i="6"/>
  <c r="AL52" i="6"/>
  <c r="AL55" i="6"/>
  <c r="AL54" i="6"/>
  <c r="AL53" i="6"/>
  <c r="AK35" i="6"/>
  <c r="AK36" i="6"/>
  <c r="AK32" i="6"/>
  <c r="AK29" i="6"/>
  <c r="AK34" i="6"/>
  <c r="AK31" i="6"/>
  <c r="AK37" i="6"/>
  <c r="AK33" i="6"/>
  <c r="AK30" i="6"/>
  <c r="AK86" i="6"/>
  <c r="AK83" i="6"/>
  <c r="AK80" i="6"/>
  <c r="AK82" i="6"/>
  <c r="AK88" i="6"/>
  <c r="AK85" i="6"/>
  <c r="AK87" i="6"/>
  <c r="AK81" i="6"/>
  <c r="AK89" i="6"/>
  <c r="AK84" i="6"/>
  <c r="AK75" i="6"/>
  <c r="AK76" i="6"/>
  <c r="AK74" i="6"/>
  <c r="AK79" i="6"/>
  <c r="AK77" i="6"/>
  <c r="AK78" i="6"/>
  <c r="H79" i="18"/>
  <c r="I80" i="18"/>
  <c r="AL102" i="6"/>
  <c r="AL98" i="6"/>
  <c r="AL101" i="6"/>
  <c r="AL103" i="6"/>
  <c r="AL99" i="6"/>
  <c r="AL100" i="6"/>
  <c r="AL71" i="6"/>
  <c r="AK28" i="6"/>
  <c r="AL25" i="6"/>
  <c r="AM94" i="6"/>
  <c r="AL112" i="6"/>
  <c r="AL110" i="6"/>
  <c r="AL108" i="6"/>
  <c r="AL113" i="6"/>
  <c r="AL111" i="6"/>
  <c r="AL109" i="6"/>
  <c r="AL97" i="6"/>
  <c r="AL51" i="6"/>
  <c r="AM48" i="6"/>
  <c r="AL83" i="6" l="1"/>
  <c r="AL80" i="6"/>
  <c r="AL87" i="6"/>
  <c r="AL88" i="6"/>
  <c r="AL85" i="6"/>
  <c r="AL82" i="6"/>
  <c r="AL86" i="6"/>
  <c r="AL81" i="6"/>
  <c r="AL84" i="6"/>
  <c r="AL89" i="6"/>
  <c r="AL76" i="6"/>
  <c r="AL79" i="6"/>
  <c r="AL74" i="6"/>
  <c r="AL78" i="6"/>
  <c r="AL75" i="6"/>
  <c r="AL77" i="6"/>
  <c r="AM104" i="6"/>
  <c r="AM105" i="6"/>
  <c r="AM107" i="6"/>
  <c r="AM106" i="6"/>
  <c r="AL36" i="6"/>
  <c r="AL32" i="6"/>
  <c r="AL29" i="6"/>
  <c r="AL34" i="6"/>
  <c r="AL31" i="6"/>
  <c r="AL37" i="6"/>
  <c r="AL33" i="6"/>
  <c r="AL30" i="6"/>
  <c r="AL35" i="6"/>
  <c r="AL6" i="6"/>
  <c r="AL8" i="6"/>
  <c r="AL13" i="6"/>
  <c r="AL7" i="6"/>
  <c r="AL11" i="6"/>
  <c r="AL5" i="6"/>
  <c r="AL9" i="6"/>
  <c r="AL14" i="6"/>
  <c r="AL10" i="6"/>
  <c r="AL12" i="6"/>
  <c r="AM2" i="6"/>
  <c r="AM52" i="6"/>
  <c r="AM55" i="6"/>
  <c r="AM54" i="6"/>
  <c r="AM53" i="6"/>
  <c r="H80" i="18"/>
  <c r="I81" i="18"/>
  <c r="AM102" i="6"/>
  <c r="AM98" i="6"/>
  <c r="AM103" i="6"/>
  <c r="AM99" i="6"/>
  <c r="AM100" i="6"/>
  <c r="AM101" i="6"/>
  <c r="AM71" i="6"/>
  <c r="AL28" i="6"/>
  <c r="AM25" i="6"/>
  <c r="AM51" i="6"/>
  <c r="AN48" i="6"/>
  <c r="AM112" i="6"/>
  <c r="AM110" i="6"/>
  <c r="AM108" i="6"/>
  <c r="AM113" i="6"/>
  <c r="AM111" i="6"/>
  <c r="AM109" i="6"/>
  <c r="AM97" i="6"/>
  <c r="AN94" i="6"/>
  <c r="AM13" i="6" l="1"/>
  <c r="AM12" i="6"/>
  <c r="AM6" i="6"/>
  <c r="AM5" i="6"/>
  <c r="AM11" i="6"/>
  <c r="AM10" i="6"/>
  <c r="AM14" i="6"/>
  <c r="AM8" i="6"/>
  <c r="AM9" i="6"/>
  <c r="AM7" i="6"/>
  <c r="AN2" i="6"/>
  <c r="AM80" i="6"/>
  <c r="AM87" i="6"/>
  <c r="AM85" i="6"/>
  <c r="AM88" i="6"/>
  <c r="AM84" i="6"/>
  <c r="AM82" i="6"/>
  <c r="AM89" i="6"/>
  <c r="AM81" i="6"/>
  <c r="AM86" i="6"/>
  <c r="AM83" i="6"/>
  <c r="AM74" i="6"/>
  <c r="AM75" i="6"/>
  <c r="AM79" i="6"/>
  <c r="AM76" i="6"/>
  <c r="AM77" i="6"/>
  <c r="AM78" i="6"/>
  <c r="AM32" i="6"/>
  <c r="AM29" i="6"/>
  <c r="AM34" i="6"/>
  <c r="AM31" i="6"/>
  <c r="AM37" i="6"/>
  <c r="AM33" i="6"/>
  <c r="AM30" i="6"/>
  <c r="AM35" i="6"/>
  <c r="AM36" i="6"/>
  <c r="AN52" i="6"/>
  <c r="AN55" i="6"/>
  <c r="AN54" i="6"/>
  <c r="AN53" i="6"/>
  <c r="AN104" i="6"/>
  <c r="AN107" i="6"/>
  <c r="AN106" i="6"/>
  <c r="AN105" i="6"/>
  <c r="H81" i="18"/>
  <c r="I82" i="18"/>
  <c r="AN98" i="6"/>
  <c r="AN103" i="6"/>
  <c r="AN99" i="6"/>
  <c r="AN102" i="6"/>
  <c r="AN100" i="6"/>
  <c r="AN101" i="6"/>
  <c r="AN112" i="6"/>
  <c r="AN110" i="6"/>
  <c r="AN108" i="6"/>
  <c r="AN113" i="6"/>
  <c r="AN111" i="6"/>
  <c r="AN109" i="6"/>
  <c r="AN97" i="6"/>
  <c r="AO94" i="6"/>
  <c r="AN51" i="6"/>
  <c r="AO48" i="6"/>
  <c r="AN71" i="6"/>
  <c r="AM28" i="6"/>
  <c r="AN25" i="6"/>
  <c r="AO104" i="6" l="1"/>
  <c r="AO107" i="6"/>
  <c r="AO106" i="6"/>
  <c r="AO105" i="6"/>
  <c r="AN8" i="6"/>
  <c r="AN10" i="6"/>
  <c r="AN5" i="6"/>
  <c r="AN12" i="6"/>
  <c r="AN6" i="6"/>
  <c r="AN11" i="6"/>
  <c r="AN14" i="6"/>
  <c r="AN9" i="6"/>
  <c r="AN7" i="6"/>
  <c r="AN13" i="6"/>
  <c r="AO2" i="6"/>
  <c r="AN81" i="6"/>
  <c r="AN88" i="6"/>
  <c r="AN85" i="6"/>
  <c r="AN82" i="6"/>
  <c r="AN84" i="6"/>
  <c r="AN87" i="6"/>
  <c r="AN86" i="6"/>
  <c r="AN83" i="6"/>
  <c r="AN80" i="6"/>
  <c r="AN89" i="6"/>
  <c r="AN74" i="6"/>
  <c r="AN76" i="6"/>
  <c r="AN78" i="6"/>
  <c r="AN79" i="6"/>
  <c r="AN77" i="6"/>
  <c r="AN75" i="6"/>
  <c r="AN29" i="6"/>
  <c r="AN34" i="6"/>
  <c r="AN31" i="6"/>
  <c r="AN37" i="6"/>
  <c r="AN33" i="6"/>
  <c r="AN30" i="6"/>
  <c r="AN35" i="6"/>
  <c r="AN36" i="6"/>
  <c r="AN32" i="6"/>
  <c r="AO52" i="6"/>
  <c r="AO55" i="6"/>
  <c r="AO54" i="6"/>
  <c r="AO53" i="6"/>
  <c r="H82" i="18"/>
  <c r="I83" i="18"/>
  <c r="AO103" i="6"/>
  <c r="AO99" i="6"/>
  <c r="AO100" i="6"/>
  <c r="AO101" i="6"/>
  <c r="AO102" i="6"/>
  <c r="AO98" i="6"/>
  <c r="AO113" i="6"/>
  <c r="AO111" i="6"/>
  <c r="AO109" i="6"/>
  <c r="AO97" i="6"/>
  <c r="AP94" i="6"/>
  <c r="AO110" i="6"/>
  <c r="AO108" i="6"/>
  <c r="AO112" i="6"/>
  <c r="AO71" i="6"/>
  <c r="AN28" i="6"/>
  <c r="AO25" i="6"/>
  <c r="AP48" i="6"/>
  <c r="AO51" i="6"/>
  <c r="AP104" i="6" l="1"/>
  <c r="AP107" i="6"/>
  <c r="AP106" i="6"/>
  <c r="AP105" i="6"/>
  <c r="AP55" i="6"/>
  <c r="AP54" i="6"/>
  <c r="AP53" i="6"/>
  <c r="AP52" i="6"/>
  <c r="AO34" i="6"/>
  <c r="AO31" i="6"/>
  <c r="AO37" i="6"/>
  <c r="AO33" i="6"/>
  <c r="AO30" i="6"/>
  <c r="AO35" i="6"/>
  <c r="AO36" i="6"/>
  <c r="AO32" i="6"/>
  <c r="AO29" i="6"/>
  <c r="AO12" i="6"/>
  <c r="AO13" i="6"/>
  <c r="AO10" i="6"/>
  <c r="AO5" i="6"/>
  <c r="AO6" i="6"/>
  <c r="AO14" i="6"/>
  <c r="AO9" i="6"/>
  <c r="AO8" i="6"/>
  <c r="AO11" i="6"/>
  <c r="AO7" i="6"/>
  <c r="AP2" i="6"/>
  <c r="AO85" i="6"/>
  <c r="AO88" i="6"/>
  <c r="AO87" i="6"/>
  <c r="AO82" i="6"/>
  <c r="AO81" i="6"/>
  <c r="AO84" i="6"/>
  <c r="AO83" i="6"/>
  <c r="AO80" i="6"/>
  <c r="AO89" i="6"/>
  <c r="AO86" i="6"/>
  <c r="AO74" i="6"/>
  <c r="AO76" i="6"/>
  <c r="AO78" i="6"/>
  <c r="AO75" i="6"/>
  <c r="AO79" i="6"/>
  <c r="AO77" i="6"/>
  <c r="H83" i="18"/>
  <c r="I84" i="18"/>
  <c r="H84" i="18" s="1"/>
  <c r="AP100" i="6"/>
  <c r="AP101" i="6"/>
  <c r="AP99" i="6"/>
  <c r="AP102" i="6"/>
  <c r="AP98" i="6"/>
  <c r="AP103" i="6"/>
  <c r="AO28" i="6"/>
  <c r="AP25" i="6"/>
  <c r="AP71" i="6"/>
  <c r="AP113" i="6"/>
  <c r="AP111" i="6"/>
  <c r="AP109" i="6"/>
  <c r="AP97" i="6"/>
  <c r="AQ94" i="6"/>
  <c r="AP112" i="6"/>
  <c r="AP110" i="6"/>
  <c r="AP108" i="6"/>
  <c r="AP51" i="6"/>
  <c r="AQ48" i="6"/>
  <c r="AQ55" i="6" l="1"/>
  <c r="AQ54" i="6"/>
  <c r="AQ53" i="6"/>
  <c r="AQ52" i="6"/>
  <c r="AP34" i="6"/>
  <c r="AP31" i="6"/>
  <c r="AP37" i="6"/>
  <c r="AP33" i="6"/>
  <c r="AP30" i="6"/>
  <c r="AP35" i="6"/>
  <c r="AP36" i="6"/>
  <c r="AP32" i="6"/>
  <c r="AP29" i="6"/>
  <c r="AP87" i="6"/>
  <c r="AP84" i="6"/>
  <c r="AP88" i="6"/>
  <c r="AP82" i="6"/>
  <c r="AP85" i="6"/>
  <c r="AP81" i="6"/>
  <c r="AP80" i="6"/>
  <c r="AP89" i="6"/>
  <c r="AP86" i="6"/>
  <c r="AP83" i="6"/>
  <c r="AP79" i="6"/>
  <c r="AP75" i="6"/>
  <c r="AP78" i="6"/>
  <c r="AP76" i="6"/>
  <c r="AP74" i="6"/>
  <c r="AP77" i="6"/>
  <c r="AP14" i="6"/>
  <c r="AP13" i="6"/>
  <c r="AP11" i="6"/>
  <c r="AP12" i="6"/>
  <c r="AP9" i="6"/>
  <c r="AP7" i="6"/>
  <c r="AP8" i="6"/>
  <c r="AP6" i="6"/>
  <c r="AP10" i="6"/>
  <c r="AP5" i="6"/>
  <c r="AQ2" i="6"/>
  <c r="AQ104" i="6"/>
  <c r="AQ107" i="6"/>
  <c r="AQ106" i="6"/>
  <c r="AQ105" i="6"/>
  <c r="AQ100" i="6"/>
  <c r="AQ101" i="6"/>
  <c r="AQ102" i="6"/>
  <c r="AQ98" i="6"/>
  <c r="AQ103" i="6"/>
  <c r="AQ99" i="6"/>
  <c r="AQ71" i="6"/>
  <c r="AQ113" i="6"/>
  <c r="AQ111" i="6"/>
  <c r="AQ109" i="6"/>
  <c r="AQ97" i="6"/>
  <c r="AR94" i="6"/>
  <c r="AQ112" i="6"/>
  <c r="AQ110" i="6"/>
  <c r="AQ108" i="6"/>
  <c r="AQ51" i="6"/>
  <c r="AR48" i="6"/>
  <c r="AP28" i="6"/>
  <c r="AQ25" i="6"/>
  <c r="AQ12" i="6" l="1"/>
  <c r="AQ9" i="6"/>
  <c r="AQ8" i="6"/>
  <c r="AQ6" i="6"/>
  <c r="AQ5" i="6"/>
  <c r="AQ14" i="6"/>
  <c r="AQ10" i="6"/>
  <c r="AQ11" i="6"/>
  <c r="AQ13" i="6"/>
  <c r="AQ7" i="6"/>
  <c r="AR2" i="6"/>
  <c r="AR104" i="6"/>
  <c r="AR107" i="6"/>
  <c r="AR106" i="6"/>
  <c r="AR105" i="6"/>
  <c r="AQ34" i="6"/>
  <c r="AQ31" i="6"/>
  <c r="AQ37" i="6"/>
  <c r="AQ33" i="6"/>
  <c r="AQ30" i="6"/>
  <c r="AQ35" i="6"/>
  <c r="AQ36" i="6"/>
  <c r="AQ32" i="6"/>
  <c r="AQ29" i="6"/>
  <c r="AQ88" i="6"/>
  <c r="AQ81" i="6"/>
  <c r="AQ85" i="6"/>
  <c r="AQ82" i="6"/>
  <c r="AQ84" i="6"/>
  <c r="AQ87" i="6"/>
  <c r="AQ89" i="6"/>
  <c r="AQ86" i="6"/>
  <c r="AQ80" i="6"/>
  <c r="AQ83" i="6"/>
  <c r="AQ74" i="6"/>
  <c r="AQ77" i="6"/>
  <c r="AQ75" i="6"/>
  <c r="AQ78" i="6"/>
  <c r="AQ76" i="6"/>
  <c r="AQ79" i="6"/>
  <c r="AR55" i="6"/>
  <c r="AR54" i="6"/>
  <c r="AR53" i="6"/>
  <c r="AR52" i="6"/>
  <c r="AR100" i="6"/>
  <c r="AR101" i="6"/>
  <c r="AR102" i="6"/>
  <c r="AR98" i="6"/>
  <c r="AR103" i="6"/>
  <c r="AR99" i="6"/>
  <c r="AR71" i="6"/>
  <c r="AR113" i="6"/>
  <c r="AR111" i="6"/>
  <c r="AR109" i="6"/>
  <c r="AR97" i="6"/>
  <c r="AS94" i="6"/>
  <c r="AR112" i="6"/>
  <c r="AR110" i="6"/>
  <c r="AR108" i="6"/>
  <c r="AR25" i="6"/>
  <c r="AQ28" i="6"/>
  <c r="AS48" i="6"/>
  <c r="AR51" i="6"/>
  <c r="AR85" i="6" l="1"/>
  <c r="AR82" i="6"/>
  <c r="AR87" i="6"/>
  <c r="AR84" i="6"/>
  <c r="AR81" i="6"/>
  <c r="AR89" i="6"/>
  <c r="AR80" i="6"/>
  <c r="AR86" i="6"/>
  <c r="AR83" i="6"/>
  <c r="AR88" i="6"/>
  <c r="AR79" i="6"/>
  <c r="AR75" i="6"/>
  <c r="AR78" i="6"/>
  <c r="AR76" i="6"/>
  <c r="AR77" i="6"/>
  <c r="AR74" i="6"/>
  <c r="AS104" i="6"/>
  <c r="AS107" i="6"/>
  <c r="AS106" i="6"/>
  <c r="AS105" i="6"/>
  <c r="AS55" i="6"/>
  <c r="AS54" i="6"/>
  <c r="AS53" i="6"/>
  <c r="AS52" i="6"/>
  <c r="AR5" i="6"/>
  <c r="AR14" i="6"/>
  <c r="AR10" i="6"/>
  <c r="AR13" i="6"/>
  <c r="AR9" i="6"/>
  <c r="AR6" i="6"/>
  <c r="AR7" i="6"/>
  <c r="AR12" i="6"/>
  <c r="AR8" i="6"/>
  <c r="AR11" i="6"/>
  <c r="AS2" i="6"/>
  <c r="AR34" i="6"/>
  <c r="AR31" i="6"/>
  <c r="AR37" i="6"/>
  <c r="AR33" i="6"/>
  <c r="AR30" i="6"/>
  <c r="AR35" i="6"/>
  <c r="AR36" i="6"/>
  <c r="AR32" i="6"/>
  <c r="AR29" i="6"/>
  <c r="AS101" i="6"/>
  <c r="AS102" i="6"/>
  <c r="AS98" i="6"/>
  <c r="AS103" i="6"/>
  <c r="AS99" i="6"/>
  <c r="AS100" i="6"/>
  <c r="AS71" i="6"/>
  <c r="AT48" i="6"/>
  <c r="AS51" i="6"/>
  <c r="AT94" i="6"/>
  <c r="AS112" i="6"/>
  <c r="AS110" i="6"/>
  <c r="AS108" i="6"/>
  <c r="AS109" i="6"/>
  <c r="AS97" i="6"/>
  <c r="AS113" i="6"/>
  <c r="AS111" i="6"/>
  <c r="AS25" i="6"/>
  <c r="AR28" i="6"/>
  <c r="AT104" i="6" l="1"/>
  <c r="AT106" i="6"/>
  <c r="AT105" i="6"/>
  <c r="AT107" i="6"/>
  <c r="AT55" i="6"/>
  <c r="AT54" i="6"/>
  <c r="AT53" i="6"/>
  <c r="AT52" i="6"/>
  <c r="AS14" i="6"/>
  <c r="AS10" i="6"/>
  <c r="AS8" i="6"/>
  <c r="AS5" i="6"/>
  <c r="AS7" i="6"/>
  <c r="AS9" i="6"/>
  <c r="AS13" i="6"/>
  <c r="AS6" i="6"/>
  <c r="AS12" i="6"/>
  <c r="AS11" i="6"/>
  <c r="AT2" i="6"/>
  <c r="AS82" i="6"/>
  <c r="AS86" i="6"/>
  <c r="AS81" i="6"/>
  <c r="AS87" i="6"/>
  <c r="AS84" i="6"/>
  <c r="AS89" i="6"/>
  <c r="AS80" i="6"/>
  <c r="AS83" i="6"/>
  <c r="AS88" i="6"/>
  <c r="AS85" i="6"/>
  <c r="AS75" i="6"/>
  <c r="AS77" i="6"/>
  <c r="AS78" i="6"/>
  <c r="AS79" i="6"/>
  <c r="AS76" i="6"/>
  <c r="AS74" i="6"/>
  <c r="AS34" i="6"/>
  <c r="AS31" i="6"/>
  <c r="AS37" i="6"/>
  <c r="AS33" i="6"/>
  <c r="AS30" i="6"/>
  <c r="AS35" i="6"/>
  <c r="AS36" i="6"/>
  <c r="AS32" i="6"/>
  <c r="AS29" i="6"/>
  <c r="AT102" i="6"/>
  <c r="AT98" i="6"/>
  <c r="AT103" i="6"/>
  <c r="AT99" i="6"/>
  <c r="AT101" i="6"/>
  <c r="AT100" i="6"/>
  <c r="AU48" i="6"/>
  <c r="AT51" i="6"/>
  <c r="AT71" i="6"/>
  <c r="AS28" i="6"/>
  <c r="AT25" i="6"/>
  <c r="AU94" i="6"/>
  <c r="AT112" i="6"/>
  <c r="AT110" i="6"/>
  <c r="AT108" i="6"/>
  <c r="AT113" i="6"/>
  <c r="AT111" i="6"/>
  <c r="AT109" i="6"/>
  <c r="AT97" i="6"/>
  <c r="AT81" i="6" l="1"/>
  <c r="AT87" i="6"/>
  <c r="AT84" i="6"/>
  <c r="AT86" i="6"/>
  <c r="AT83" i="6"/>
  <c r="AT89" i="6"/>
  <c r="AT88" i="6"/>
  <c r="AT80" i="6"/>
  <c r="AT85" i="6"/>
  <c r="AT82" i="6"/>
  <c r="AT76" i="6"/>
  <c r="AT75" i="6"/>
  <c r="AT77" i="6"/>
  <c r="AT79" i="6"/>
  <c r="AT78" i="6"/>
  <c r="AT74" i="6"/>
  <c r="AU104" i="6"/>
  <c r="AU106" i="6"/>
  <c r="AU105" i="6"/>
  <c r="AU107" i="6"/>
  <c r="AT31" i="6"/>
  <c r="AT37" i="6"/>
  <c r="AT33" i="6"/>
  <c r="AT30" i="6"/>
  <c r="AT35" i="6"/>
  <c r="AT36" i="6"/>
  <c r="AT32" i="6"/>
  <c r="AT29" i="6"/>
  <c r="AT34" i="6"/>
  <c r="AT8" i="6"/>
  <c r="AT6" i="6"/>
  <c r="AT5" i="6"/>
  <c r="AT14" i="6"/>
  <c r="AT12" i="6"/>
  <c r="AT9" i="6"/>
  <c r="AT7" i="6"/>
  <c r="AT10" i="6"/>
  <c r="AT13" i="6"/>
  <c r="AT11" i="6"/>
  <c r="AU2" i="6"/>
  <c r="AU55" i="6"/>
  <c r="AU54" i="6"/>
  <c r="AU53" i="6"/>
  <c r="AU52" i="6"/>
  <c r="AU102" i="6"/>
  <c r="AU98" i="6"/>
  <c r="AU103" i="6"/>
  <c r="AU99" i="6"/>
  <c r="AU100" i="6"/>
  <c r="AU101" i="6"/>
  <c r="AU71" i="6"/>
  <c r="AU112" i="6"/>
  <c r="AU110" i="6"/>
  <c r="AU108" i="6"/>
  <c r="AU113" i="6"/>
  <c r="AU111" i="6"/>
  <c r="AU109" i="6"/>
  <c r="AU97" i="6"/>
  <c r="AV94" i="6"/>
  <c r="AT28" i="6"/>
  <c r="AU25" i="6"/>
  <c r="AU51" i="6"/>
  <c r="AV48" i="6"/>
  <c r="AV104" i="6" l="1"/>
  <c r="AV106" i="6"/>
  <c r="AV105" i="6"/>
  <c r="AV107" i="6"/>
  <c r="AU87" i="6"/>
  <c r="AU80" i="6"/>
  <c r="AU84" i="6"/>
  <c r="AU81" i="6"/>
  <c r="AU83" i="6"/>
  <c r="AU89" i="6"/>
  <c r="AU86" i="6"/>
  <c r="AU85" i="6"/>
  <c r="AU88" i="6"/>
  <c r="AU82" i="6"/>
  <c r="AU75" i="6"/>
  <c r="AU76" i="6"/>
  <c r="AU77" i="6"/>
  <c r="AU74" i="6"/>
  <c r="AU78" i="6"/>
  <c r="AU79" i="6"/>
  <c r="AU10" i="6"/>
  <c r="AU11" i="6"/>
  <c r="AU6" i="6"/>
  <c r="AU5" i="6"/>
  <c r="AU9" i="6"/>
  <c r="AU7" i="6"/>
  <c r="AU8" i="6"/>
  <c r="AU14" i="6"/>
  <c r="AU13" i="6"/>
  <c r="AU12" i="6"/>
  <c r="AV2" i="6"/>
  <c r="AV55" i="6"/>
  <c r="AV54" i="6"/>
  <c r="AV53" i="6"/>
  <c r="AV52" i="6"/>
  <c r="AU37" i="6"/>
  <c r="AU33" i="6"/>
  <c r="AU30" i="6"/>
  <c r="AU35" i="6"/>
  <c r="AU36" i="6"/>
  <c r="AU32" i="6"/>
  <c r="AU29" i="6"/>
  <c r="AU34" i="6"/>
  <c r="AU31" i="6"/>
  <c r="AV103" i="6"/>
  <c r="AV99" i="6"/>
  <c r="AV98" i="6"/>
  <c r="AV100" i="6"/>
  <c r="AV102" i="6"/>
  <c r="AV101" i="6"/>
  <c r="AV112" i="6"/>
  <c r="AV110" i="6"/>
  <c r="AV108" i="6"/>
  <c r="AV113" i="6"/>
  <c r="AV111" i="6"/>
  <c r="AV109" i="6"/>
  <c r="AV97" i="6"/>
  <c r="AW94" i="6"/>
  <c r="AV51" i="6"/>
  <c r="AW48" i="6"/>
  <c r="AV71" i="6"/>
  <c r="AU28" i="6"/>
  <c r="AV25" i="6"/>
  <c r="AW54" i="6" l="1"/>
  <c r="AW53" i="6"/>
  <c r="AW52" i="6"/>
  <c r="AW55" i="6"/>
  <c r="AW104" i="6"/>
  <c r="AW106" i="6"/>
  <c r="AW105" i="6"/>
  <c r="AW107" i="6"/>
  <c r="AV11" i="6"/>
  <c r="AV9" i="6"/>
  <c r="AV5" i="6"/>
  <c r="AV13" i="6"/>
  <c r="AV6" i="6"/>
  <c r="AV12" i="6"/>
  <c r="AV7" i="6"/>
  <c r="AV8" i="6"/>
  <c r="AV14" i="6"/>
  <c r="AV10" i="6"/>
  <c r="AW2" i="6"/>
  <c r="AV37" i="6"/>
  <c r="AV33" i="6"/>
  <c r="AV30" i="6"/>
  <c r="AV35" i="6"/>
  <c r="AV36" i="6"/>
  <c r="AV32" i="6"/>
  <c r="AV29" i="6"/>
  <c r="AV34" i="6"/>
  <c r="AV31" i="6"/>
  <c r="AV89" i="6"/>
  <c r="AV87" i="6"/>
  <c r="AV84" i="6"/>
  <c r="AV81" i="6"/>
  <c r="AV86" i="6"/>
  <c r="AV80" i="6"/>
  <c r="AV83" i="6"/>
  <c r="AV82" i="6"/>
  <c r="AV85" i="6"/>
  <c r="AV88" i="6"/>
  <c r="AV78" i="6"/>
  <c r="AV74" i="6"/>
  <c r="AV75" i="6"/>
  <c r="AV76" i="6"/>
  <c r="AV77" i="6"/>
  <c r="AV79" i="6"/>
  <c r="AW103" i="6"/>
  <c r="AW99" i="6"/>
  <c r="AW100" i="6"/>
  <c r="AW101" i="6"/>
  <c r="AW102" i="6"/>
  <c r="AW98" i="6"/>
  <c r="AW113" i="6"/>
  <c r="AW111" i="6"/>
  <c r="AW109" i="6"/>
  <c r="AW97" i="6"/>
  <c r="AX94" i="6"/>
  <c r="AW108" i="6"/>
  <c r="AW112" i="6"/>
  <c r="AW110" i="6"/>
  <c r="AW71" i="6"/>
  <c r="AV28" i="6"/>
  <c r="AW25" i="6"/>
  <c r="AX48" i="6"/>
  <c r="AW51" i="6"/>
  <c r="AX104" i="6" l="1"/>
  <c r="AX106" i="6"/>
  <c r="AX105" i="6"/>
  <c r="AX107" i="6"/>
  <c r="AW87" i="6"/>
  <c r="AW83" i="6"/>
  <c r="AW84" i="6"/>
  <c r="AW80" i="6"/>
  <c r="AW81" i="6"/>
  <c r="AW89" i="6"/>
  <c r="AW86" i="6"/>
  <c r="AW88" i="6"/>
  <c r="AW85" i="6"/>
  <c r="AW82" i="6"/>
  <c r="AW74" i="6"/>
  <c r="AW75" i="6"/>
  <c r="AW79" i="6"/>
  <c r="AW78" i="6"/>
  <c r="AW76" i="6"/>
  <c r="AW77" i="6"/>
  <c r="AW5" i="6"/>
  <c r="AW14" i="6"/>
  <c r="AW8" i="6"/>
  <c r="AW6" i="6"/>
  <c r="AW9" i="6"/>
  <c r="AW13" i="6"/>
  <c r="AW7" i="6"/>
  <c r="AW12" i="6"/>
  <c r="AW11" i="6"/>
  <c r="AW10" i="6"/>
  <c r="AX2" i="6"/>
  <c r="AX53" i="6"/>
  <c r="AX52" i="6"/>
  <c r="AX55" i="6"/>
  <c r="AX54" i="6"/>
  <c r="AW37" i="6"/>
  <c r="AW33" i="6"/>
  <c r="AW30" i="6"/>
  <c r="AW35" i="6"/>
  <c r="AW36" i="6"/>
  <c r="AW32" i="6"/>
  <c r="AW29" i="6"/>
  <c r="AW34" i="6"/>
  <c r="AW31" i="6"/>
  <c r="AX100" i="6"/>
  <c r="AX101" i="6"/>
  <c r="AX103" i="6"/>
  <c r="AX102" i="6"/>
  <c r="AX98" i="6"/>
  <c r="AX99" i="6"/>
  <c r="AX113" i="6"/>
  <c r="AX111" i="6"/>
  <c r="AX109" i="6"/>
  <c r="AX97" i="6"/>
  <c r="AY94" i="6"/>
  <c r="AX112" i="6"/>
  <c r="AX110" i="6"/>
  <c r="AX108" i="6"/>
  <c r="AX51" i="6"/>
  <c r="AY48" i="6"/>
  <c r="AW28" i="6"/>
  <c r="AX25" i="6"/>
  <c r="AX71" i="6"/>
  <c r="AY104" i="6" l="1"/>
  <c r="AY106" i="6"/>
  <c r="AY105" i="6"/>
  <c r="AY107" i="6"/>
  <c r="AX87" i="6"/>
  <c r="AX89" i="6"/>
  <c r="AX86" i="6"/>
  <c r="AX84" i="6"/>
  <c r="AX81" i="6"/>
  <c r="AX83" i="6"/>
  <c r="AX80" i="6"/>
  <c r="AX88" i="6"/>
  <c r="AX85" i="6"/>
  <c r="AX82" i="6"/>
  <c r="AX78" i="6"/>
  <c r="AX77" i="6"/>
  <c r="AX74" i="6"/>
  <c r="AX76" i="6"/>
  <c r="AX79" i="6"/>
  <c r="AX75" i="6"/>
  <c r="AX14" i="6"/>
  <c r="AX7" i="6"/>
  <c r="AX10" i="6"/>
  <c r="AX12" i="6"/>
  <c r="AX9" i="6"/>
  <c r="AX11" i="6"/>
  <c r="AX5" i="6"/>
  <c r="AX13" i="6"/>
  <c r="AX6" i="6"/>
  <c r="AX8" i="6"/>
  <c r="AY2" i="6"/>
  <c r="AX37" i="6"/>
  <c r="AX33" i="6"/>
  <c r="AX30" i="6"/>
  <c r="AX35" i="6"/>
  <c r="AX36" i="6"/>
  <c r="AX32" i="6"/>
  <c r="AX29" i="6"/>
  <c r="AX34" i="6"/>
  <c r="AX31" i="6"/>
  <c r="AY52" i="6"/>
  <c r="AY55" i="6"/>
  <c r="AY54" i="6"/>
  <c r="AY53" i="6"/>
  <c r="AY100" i="6"/>
  <c r="AY101" i="6"/>
  <c r="AY102" i="6"/>
  <c r="AY98" i="6"/>
  <c r="AY103" i="6"/>
  <c r="AY99" i="6"/>
  <c r="AY113" i="6"/>
  <c r="AY111" i="6"/>
  <c r="AY109" i="6"/>
  <c r="AY97" i="6"/>
  <c r="AZ94" i="6"/>
  <c r="AY112" i="6"/>
  <c r="AY110" i="6"/>
  <c r="AY108" i="6"/>
  <c r="AX28" i="6"/>
  <c r="AY25" i="6"/>
  <c r="AY71" i="6"/>
  <c r="AY51" i="6"/>
  <c r="AZ48" i="6"/>
  <c r="AZ104" i="6" l="1"/>
  <c r="AZ106" i="6"/>
  <c r="AZ105" i="6"/>
  <c r="AZ107" i="6"/>
  <c r="AY5" i="6"/>
  <c r="AY11" i="6"/>
  <c r="AY13" i="6"/>
  <c r="AY12" i="6"/>
  <c r="AY14" i="6"/>
  <c r="AY6" i="6"/>
  <c r="AY9" i="6"/>
  <c r="AY10" i="6"/>
  <c r="AY7" i="6"/>
  <c r="AY8" i="6"/>
  <c r="AZ2" i="6"/>
  <c r="AZ52" i="6"/>
  <c r="AZ55" i="6"/>
  <c r="AZ54" i="6"/>
  <c r="AZ53" i="6"/>
  <c r="AY84" i="6"/>
  <c r="AY81" i="6"/>
  <c r="AY83" i="6"/>
  <c r="AY88" i="6"/>
  <c r="AY80" i="6"/>
  <c r="AY89" i="6"/>
  <c r="AY86" i="6"/>
  <c r="AY82" i="6"/>
  <c r="AY87" i="6"/>
  <c r="AY85" i="6"/>
  <c r="AY77" i="6"/>
  <c r="AY79" i="6"/>
  <c r="AY74" i="6"/>
  <c r="AY76" i="6"/>
  <c r="AY75" i="6"/>
  <c r="AY78" i="6"/>
  <c r="AY37" i="6"/>
  <c r="AY33" i="6"/>
  <c r="AY30" i="6"/>
  <c r="AY35" i="6"/>
  <c r="AY36" i="6"/>
  <c r="AY32" i="6"/>
  <c r="AY29" i="6"/>
  <c r="AY34" i="6"/>
  <c r="AY31" i="6"/>
  <c r="AZ101" i="6"/>
  <c r="AZ100" i="6"/>
  <c r="AZ102" i="6"/>
  <c r="AZ98" i="6"/>
  <c r="AZ103" i="6"/>
  <c r="AZ99" i="6"/>
  <c r="AZ113" i="6"/>
  <c r="AZ111" i="6"/>
  <c r="AZ109" i="6"/>
  <c r="AZ97" i="6"/>
  <c r="BA94" i="6"/>
  <c r="AZ112" i="6"/>
  <c r="AZ110" i="6"/>
  <c r="AZ108" i="6"/>
  <c r="AZ25" i="6"/>
  <c r="AY28" i="6"/>
  <c r="AZ51" i="6"/>
  <c r="BA48" i="6"/>
  <c r="AZ71" i="6"/>
  <c r="AZ33" i="6" l="1"/>
  <c r="AZ30" i="6"/>
  <c r="AZ35" i="6"/>
  <c r="AZ36" i="6"/>
  <c r="AZ32" i="6"/>
  <c r="AZ29" i="6"/>
  <c r="AZ34" i="6"/>
  <c r="AZ31" i="6"/>
  <c r="AZ37" i="6"/>
  <c r="AZ11" i="6"/>
  <c r="AZ5" i="6"/>
  <c r="AZ14" i="6"/>
  <c r="AZ10" i="6"/>
  <c r="AZ12" i="6"/>
  <c r="AZ6" i="6"/>
  <c r="AZ9" i="6"/>
  <c r="AZ7" i="6"/>
  <c r="AZ8" i="6"/>
  <c r="AZ13" i="6"/>
  <c r="BA2" i="6"/>
  <c r="BA104" i="6"/>
  <c r="BA105" i="6"/>
  <c r="BA107" i="6"/>
  <c r="BA106" i="6"/>
  <c r="AZ81" i="6"/>
  <c r="AZ86" i="6"/>
  <c r="AZ83" i="6"/>
  <c r="AZ89" i="6"/>
  <c r="AZ80" i="6"/>
  <c r="AZ88" i="6"/>
  <c r="AZ85" i="6"/>
  <c r="AZ87" i="6"/>
  <c r="AZ84" i="6"/>
  <c r="AZ82" i="6"/>
  <c r="AZ74" i="6"/>
  <c r="AZ77" i="6"/>
  <c r="AZ78" i="6"/>
  <c r="AZ75" i="6"/>
  <c r="AZ76" i="6"/>
  <c r="AZ79" i="6"/>
  <c r="BA52" i="6"/>
  <c r="BA55" i="6"/>
  <c r="BA54" i="6"/>
  <c r="BA53" i="6"/>
  <c r="BA101" i="6"/>
  <c r="BA102" i="6"/>
  <c r="BA98" i="6"/>
  <c r="BA103" i="6"/>
  <c r="BA99" i="6"/>
  <c r="BA100" i="6"/>
  <c r="BB94" i="6"/>
  <c r="BA112" i="6"/>
  <c r="BA110" i="6"/>
  <c r="BA108" i="6"/>
  <c r="BA97" i="6"/>
  <c r="BA113" i="6"/>
  <c r="BA111" i="6"/>
  <c r="BA109" i="6"/>
  <c r="BA51" i="6"/>
  <c r="BB48" i="6"/>
  <c r="BA71" i="6"/>
  <c r="BA25" i="6"/>
  <c r="AZ28" i="6"/>
  <c r="BA14" i="6" l="1"/>
  <c r="BA5" i="6"/>
  <c r="BA12" i="6"/>
  <c r="BA10" i="6"/>
  <c r="BA11" i="6"/>
  <c r="BA6" i="6"/>
  <c r="BA8" i="6"/>
  <c r="BA9" i="6"/>
  <c r="BA13" i="6"/>
  <c r="BA7" i="6"/>
  <c r="BB2" i="6"/>
  <c r="BB104" i="6"/>
  <c r="BB105" i="6"/>
  <c r="BB107" i="6"/>
  <c r="BB106" i="6"/>
  <c r="BB52" i="6"/>
  <c r="BB55" i="6"/>
  <c r="BB54" i="6"/>
  <c r="BB53" i="6"/>
  <c r="BA30" i="6"/>
  <c r="BA35" i="6"/>
  <c r="BA36" i="6"/>
  <c r="BA32" i="6"/>
  <c r="BA29" i="6"/>
  <c r="BA34" i="6"/>
  <c r="BA31" i="6"/>
  <c r="BA37" i="6"/>
  <c r="BA33" i="6"/>
  <c r="BA80" i="6"/>
  <c r="BA83" i="6"/>
  <c r="BA89" i="6"/>
  <c r="BA85" i="6"/>
  <c r="BA86" i="6"/>
  <c r="BA82" i="6"/>
  <c r="BA88" i="6"/>
  <c r="BA87" i="6"/>
  <c r="BA81" i="6"/>
  <c r="BA84" i="6"/>
  <c r="BA74" i="6"/>
  <c r="BA78" i="6"/>
  <c r="BA75" i="6"/>
  <c r="BA79" i="6"/>
  <c r="BA77" i="6"/>
  <c r="BA76" i="6"/>
  <c r="BB102" i="6"/>
  <c r="BB98" i="6"/>
  <c r="BB103" i="6"/>
  <c r="BB99" i="6"/>
  <c r="BB101" i="6"/>
  <c r="BB100" i="6"/>
  <c r="BA28" i="6"/>
  <c r="BB25" i="6"/>
  <c r="BC48" i="6"/>
  <c r="BB51" i="6"/>
  <c r="BB71" i="6"/>
  <c r="BC94" i="6"/>
  <c r="BB112" i="6"/>
  <c r="BB110" i="6"/>
  <c r="BB108" i="6"/>
  <c r="BB113" i="6"/>
  <c r="BB111" i="6"/>
  <c r="BB109" i="6"/>
  <c r="BB97" i="6"/>
  <c r="BC104" i="6" l="1"/>
  <c r="BC105" i="6"/>
  <c r="BC107" i="6"/>
  <c r="BC106" i="6"/>
  <c r="BB89" i="6"/>
  <c r="BB82" i="6"/>
  <c r="BB86" i="6"/>
  <c r="BB88" i="6"/>
  <c r="BB83" i="6"/>
  <c r="BB80" i="6"/>
  <c r="BB85" i="6"/>
  <c r="BB84" i="6"/>
  <c r="BB87" i="6"/>
  <c r="BB81" i="6"/>
  <c r="BB77" i="6"/>
  <c r="BB74" i="6"/>
  <c r="BB79" i="6"/>
  <c r="BB78" i="6"/>
  <c r="BB76" i="6"/>
  <c r="BB75" i="6"/>
  <c r="BB35" i="6"/>
  <c r="BB36" i="6"/>
  <c r="BB32" i="6"/>
  <c r="BB29" i="6"/>
  <c r="BB34" i="6"/>
  <c r="BB31" i="6"/>
  <c r="BB37" i="6"/>
  <c r="BB33" i="6"/>
  <c r="BB30" i="6"/>
  <c r="BC52" i="6"/>
  <c r="BC55" i="6"/>
  <c r="BC54" i="6"/>
  <c r="BC53" i="6"/>
  <c r="BB8" i="6"/>
  <c r="BB10" i="6"/>
  <c r="BB13" i="6"/>
  <c r="BB5" i="6"/>
  <c r="BB6" i="6"/>
  <c r="BB14" i="6"/>
  <c r="BB7" i="6"/>
  <c r="BB11" i="6"/>
  <c r="BB9" i="6"/>
  <c r="BB12" i="6"/>
  <c r="BC2" i="6"/>
  <c r="BC102" i="6"/>
  <c r="BC98" i="6"/>
  <c r="BC103" i="6"/>
  <c r="BC99" i="6"/>
  <c r="BC100" i="6"/>
  <c r="BC101" i="6"/>
  <c r="BC112" i="6"/>
  <c r="BC110" i="6"/>
  <c r="BC108" i="6"/>
  <c r="BC113" i="6"/>
  <c r="BC111" i="6"/>
  <c r="BC109" i="6"/>
  <c r="BC97" i="6"/>
  <c r="BD94" i="6"/>
  <c r="BC51" i="6"/>
  <c r="BD48" i="6"/>
  <c r="BC71" i="6"/>
  <c r="BB28" i="6"/>
  <c r="BC25" i="6"/>
  <c r="BD104" i="6" l="1"/>
  <c r="BD105" i="6"/>
  <c r="BD107" i="6"/>
  <c r="BD106" i="6"/>
  <c r="BD52" i="6"/>
  <c r="BD55" i="6"/>
  <c r="BD54" i="6"/>
  <c r="BD53" i="6"/>
  <c r="BC13" i="6"/>
  <c r="BC11" i="6"/>
  <c r="BC9" i="6"/>
  <c r="BC12" i="6"/>
  <c r="BC10" i="6"/>
  <c r="BC14" i="6"/>
  <c r="BC6" i="6"/>
  <c r="BC7" i="6"/>
  <c r="BC5" i="6"/>
  <c r="BC8" i="6"/>
  <c r="BD2" i="6"/>
  <c r="BC35" i="6"/>
  <c r="BC36" i="6"/>
  <c r="BC32" i="6"/>
  <c r="BC29" i="6"/>
  <c r="BC34" i="6"/>
  <c r="BC31" i="6"/>
  <c r="BC37" i="6"/>
  <c r="BC33" i="6"/>
  <c r="BC30" i="6"/>
  <c r="BC85" i="6"/>
  <c r="BC89" i="6"/>
  <c r="BC88" i="6"/>
  <c r="BC86" i="6"/>
  <c r="BC83" i="6"/>
  <c r="BC80" i="6"/>
  <c r="BC82" i="6"/>
  <c r="BC81" i="6"/>
  <c r="BC84" i="6"/>
  <c r="BC87" i="6"/>
  <c r="BC78" i="6"/>
  <c r="BC79" i="6"/>
  <c r="BC77" i="6"/>
  <c r="BC74" i="6"/>
  <c r="BC75" i="6"/>
  <c r="BC76" i="6"/>
  <c r="BD103" i="6"/>
  <c r="BD99" i="6"/>
  <c r="BD100" i="6"/>
  <c r="BD101" i="6"/>
  <c r="BD102" i="6"/>
  <c r="BD98" i="6"/>
  <c r="BD112" i="6"/>
  <c r="BD110" i="6"/>
  <c r="BD108" i="6"/>
  <c r="BD113" i="6"/>
  <c r="BD111" i="6"/>
  <c r="BD109" i="6"/>
  <c r="BD97" i="6"/>
  <c r="BE94" i="6"/>
  <c r="BD71" i="6"/>
  <c r="BC28" i="6"/>
  <c r="BD25" i="6"/>
  <c r="BD51" i="6"/>
  <c r="BE48" i="6"/>
  <c r="BD89" i="6" l="1"/>
  <c r="BD85" i="6"/>
  <c r="BD82" i="6"/>
  <c r="BD86" i="6"/>
  <c r="BD83" i="6"/>
  <c r="BD80" i="6"/>
  <c r="BD88" i="6"/>
  <c r="BD87" i="6"/>
  <c r="BD81" i="6"/>
  <c r="BD84" i="6"/>
  <c r="BD79" i="6"/>
  <c r="BD75" i="6"/>
  <c r="BD74" i="6"/>
  <c r="BD78" i="6"/>
  <c r="BD76" i="6"/>
  <c r="BD77" i="6"/>
  <c r="BE104" i="6"/>
  <c r="BE105" i="6"/>
  <c r="BE107" i="6"/>
  <c r="BE106" i="6"/>
  <c r="BD13" i="6"/>
  <c r="BD8" i="6"/>
  <c r="BD14" i="6"/>
  <c r="BD9" i="6"/>
  <c r="BD5" i="6"/>
  <c r="BD6" i="6"/>
  <c r="BD10" i="6"/>
  <c r="BD11" i="6"/>
  <c r="BD7" i="6"/>
  <c r="BD12" i="6"/>
  <c r="BE2" i="6"/>
  <c r="BE52" i="6"/>
  <c r="BE55" i="6"/>
  <c r="BE54" i="6"/>
  <c r="BE53" i="6"/>
  <c r="BD35" i="6"/>
  <c r="BD36" i="6"/>
  <c r="BD32" i="6"/>
  <c r="BD29" i="6"/>
  <c r="BD34" i="6"/>
  <c r="BD31" i="6"/>
  <c r="BD37" i="6"/>
  <c r="BD33" i="6"/>
  <c r="BD30" i="6"/>
  <c r="BE103" i="6"/>
  <c r="BE99" i="6"/>
  <c r="BE100" i="6"/>
  <c r="BE101" i="6"/>
  <c r="BE102" i="6"/>
  <c r="BE98" i="6"/>
  <c r="BE113" i="6"/>
  <c r="BE111" i="6"/>
  <c r="BE109" i="6"/>
  <c r="BE97" i="6"/>
  <c r="BF94" i="6"/>
  <c r="BE112" i="6"/>
  <c r="BE110" i="6"/>
  <c r="BE108" i="6"/>
  <c r="BF48" i="6"/>
  <c r="BE51" i="6"/>
  <c r="BE71" i="6"/>
  <c r="BD28" i="6"/>
  <c r="BE25" i="6"/>
  <c r="BF104" i="6" l="1"/>
  <c r="BF105" i="6"/>
  <c r="BF107" i="6"/>
  <c r="BF106" i="6"/>
  <c r="BE35" i="6"/>
  <c r="BE36" i="6"/>
  <c r="BE32" i="6"/>
  <c r="BE29" i="6"/>
  <c r="BE34" i="6"/>
  <c r="BE31" i="6"/>
  <c r="BE37" i="6"/>
  <c r="BE33" i="6"/>
  <c r="BE30" i="6"/>
  <c r="BF52" i="6"/>
  <c r="BF55" i="6"/>
  <c r="BF54" i="6"/>
  <c r="BF53" i="6"/>
  <c r="BE13" i="6"/>
  <c r="BE5" i="6"/>
  <c r="BE14" i="6"/>
  <c r="BE12" i="6"/>
  <c r="BE7" i="6"/>
  <c r="BE6" i="6"/>
  <c r="BE8" i="6"/>
  <c r="BE10" i="6"/>
  <c r="BE9" i="6"/>
  <c r="BE11" i="6"/>
  <c r="BF2" i="6"/>
  <c r="BE86" i="6"/>
  <c r="BE82" i="6"/>
  <c r="BE83" i="6"/>
  <c r="BE85" i="6"/>
  <c r="BE80" i="6"/>
  <c r="BE88" i="6"/>
  <c r="BE81" i="6"/>
  <c r="BE87" i="6"/>
  <c r="BE84" i="6"/>
  <c r="BE89" i="6"/>
  <c r="BE78" i="6"/>
  <c r="BE76" i="6"/>
  <c r="BE74" i="6"/>
  <c r="BE79" i="6"/>
  <c r="BE75" i="6"/>
  <c r="BE77" i="6"/>
  <c r="BF100" i="6"/>
  <c r="BF101" i="6"/>
  <c r="BF99" i="6"/>
  <c r="BF102" i="6"/>
  <c r="BF98" i="6"/>
  <c r="BF103" i="6"/>
  <c r="BE28" i="6"/>
  <c r="BF25" i="6"/>
  <c r="BF71" i="6"/>
  <c r="BF113" i="6"/>
  <c r="BF111" i="6"/>
  <c r="BF109" i="6"/>
  <c r="BF97" i="6"/>
  <c r="BG94" i="6"/>
  <c r="BF112" i="6"/>
  <c r="BF110" i="6"/>
  <c r="BF108" i="6"/>
  <c r="BF51" i="6"/>
  <c r="BG48" i="6"/>
  <c r="BF14" i="6" l="1"/>
  <c r="BF11" i="6"/>
  <c r="BF6" i="6"/>
  <c r="BF9" i="6"/>
  <c r="BF12" i="6"/>
  <c r="BF8" i="6"/>
  <c r="BF5" i="6"/>
  <c r="BF7" i="6"/>
  <c r="BF10" i="6"/>
  <c r="BF13" i="6"/>
  <c r="BG2" i="6"/>
  <c r="BG52" i="6"/>
  <c r="BG55" i="6"/>
  <c r="BG54" i="6"/>
  <c r="BG53" i="6"/>
  <c r="BG104" i="6"/>
  <c r="BG105" i="6"/>
  <c r="BG107" i="6"/>
  <c r="BG106" i="6"/>
  <c r="BF83" i="6"/>
  <c r="BF80" i="6"/>
  <c r="BF85" i="6"/>
  <c r="BF88" i="6"/>
  <c r="BF82" i="6"/>
  <c r="BF87" i="6"/>
  <c r="BF84" i="6"/>
  <c r="BF81" i="6"/>
  <c r="BF89" i="6"/>
  <c r="BF86" i="6"/>
  <c r="BF74" i="6"/>
  <c r="BF79" i="6"/>
  <c r="BF77" i="6"/>
  <c r="BF76" i="6"/>
  <c r="BF78" i="6"/>
  <c r="BF75" i="6"/>
  <c r="BF36" i="6"/>
  <c r="BF32" i="6"/>
  <c r="BF29" i="6"/>
  <c r="BF34" i="6"/>
  <c r="BF31" i="6"/>
  <c r="BF37" i="6"/>
  <c r="BF33" i="6"/>
  <c r="BF30" i="6"/>
  <c r="BF35" i="6"/>
  <c r="BG100" i="6"/>
  <c r="BG101" i="6"/>
  <c r="BG102" i="6"/>
  <c r="BG98" i="6"/>
  <c r="BG103" i="6"/>
  <c r="BG99" i="6"/>
  <c r="BG71" i="6"/>
  <c r="BG113" i="6"/>
  <c r="BG111" i="6"/>
  <c r="BG109" i="6"/>
  <c r="BG97" i="6"/>
  <c r="BH94" i="6"/>
  <c r="BG112" i="6"/>
  <c r="BG110" i="6"/>
  <c r="BG108" i="6"/>
  <c r="BG51" i="6"/>
  <c r="BH48" i="6"/>
  <c r="BF28" i="6"/>
  <c r="BG25" i="6"/>
  <c r="BG12" i="6" l="1"/>
  <c r="BG6" i="6"/>
  <c r="BG10" i="6"/>
  <c r="BG5" i="6"/>
  <c r="BG13" i="6"/>
  <c r="BG11" i="6"/>
  <c r="BG9" i="6"/>
  <c r="BG8" i="6"/>
  <c r="BG14" i="6"/>
  <c r="BG7" i="6"/>
  <c r="BH2" i="6"/>
  <c r="BG32" i="6"/>
  <c r="BG29" i="6"/>
  <c r="BG34" i="6"/>
  <c r="BG31" i="6"/>
  <c r="BG37" i="6"/>
  <c r="BG33" i="6"/>
  <c r="BG30" i="6"/>
  <c r="BG35" i="6"/>
  <c r="BG36" i="6"/>
  <c r="BH104" i="6"/>
  <c r="BH107" i="6"/>
  <c r="BH106" i="6"/>
  <c r="BH105" i="6"/>
  <c r="BG80" i="6"/>
  <c r="BG87" i="6"/>
  <c r="BG82" i="6"/>
  <c r="BG84" i="6"/>
  <c r="BG88" i="6"/>
  <c r="BG85" i="6"/>
  <c r="BG89" i="6"/>
  <c r="BG83" i="6"/>
  <c r="BG81" i="6"/>
  <c r="BG86" i="6"/>
  <c r="BG76" i="6"/>
  <c r="BG74" i="6"/>
  <c r="BG79" i="6"/>
  <c r="BG77" i="6"/>
  <c r="BG78" i="6"/>
  <c r="BG75" i="6"/>
  <c r="BH52" i="6"/>
  <c r="BH55" i="6"/>
  <c r="BH54" i="6"/>
  <c r="BH53" i="6"/>
  <c r="BH101" i="6"/>
  <c r="BH102" i="6"/>
  <c r="BH98" i="6"/>
  <c r="BH103" i="6"/>
  <c r="BH99" i="6"/>
  <c r="BH100" i="6"/>
  <c r="BH71" i="6"/>
  <c r="BH113" i="6"/>
  <c r="BH111" i="6"/>
  <c r="BH109" i="6"/>
  <c r="BH97" i="6"/>
  <c r="BI94" i="6"/>
  <c r="BH112" i="6"/>
  <c r="BH110" i="6"/>
  <c r="BH108" i="6"/>
  <c r="BH51" i="6"/>
  <c r="BI48" i="6"/>
  <c r="BH25" i="6"/>
  <c r="BG28" i="6"/>
  <c r="BI104" i="6" l="1"/>
  <c r="BI107" i="6"/>
  <c r="BI106" i="6"/>
  <c r="BI105" i="6"/>
  <c r="BH82" i="6"/>
  <c r="BH84" i="6"/>
  <c r="BH88" i="6"/>
  <c r="BH85" i="6"/>
  <c r="BH81" i="6"/>
  <c r="BH87" i="6"/>
  <c r="BH86" i="6"/>
  <c r="BH83" i="6"/>
  <c r="BH80" i="6"/>
  <c r="BH89" i="6"/>
  <c r="BH79" i="6"/>
  <c r="BH74" i="6"/>
  <c r="BH78" i="6"/>
  <c r="BH76" i="6"/>
  <c r="BH77" i="6"/>
  <c r="BH75" i="6"/>
  <c r="BH12" i="6"/>
  <c r="BH11" i="6"/>
  <c r="BH13" i="6"/>
  <c r="BH7" i="6"/>
  <c r="BH14" i="6"/>
  <c r="BH6" i="6"/>
  <c r="BH5" i="6"/>
  <c r="BH9" i="6"/>
  <c r="BH8" i="6"/>
  <c r="BH10" i="6"/>
  <c r="BI2" i="6"/>
  <c r="BH29" i="6"/>
  <c r="BH34" i="6"/>
  <c r="BH31" i="6"/>
  <c r="BH37" i="6"/>
  <c r="BH33" i="6"/>
  <c r="BH30" i="6"/>
  <c r="BH35" i="6"/>
  <c r="BH36" i="6"/>
  <c r="BH32" i="6"/>
  <c r="BI52" i="6"/>
  <c r="BI55" i="6"/>
  <c r="BI54" i="6"/>
  <c r="BI53" i="6"/>
  <c r="BI101" i="6"/>
  <c r="BI102" i="6"/>
  <c r="BI98" i="6"/>
  <c r="BI103" i="6"/>
  <c r="BI99" i="6"/>
  <c r="BI100" i="6"/>
  <c r="BI71" i="6"/>
  <c r="BI25" i="6"/>
  <c r="BH28" i="6"/>
  <c r="BJ94" i="6"/>
  <c r="BI112" i="6"/>
  <c r="BI110" i="6"/>
  <c r="BI108" i="6"/>
  <c r="BI113" i="6"/>
  <c r="BI111" i="6"/>
  <c r="BI109" i="6"/>
  <c r="BI97" i="6"/>
  <c r="BI51" i="6"/>
  <c r="BJ48" i="6"/>
  <c r="BJ104" i="6" l="1"/>
  <c r="BJ107" i="6"/>
  <c r="BJ106" i="6"/>
  <c r="BJ105" i="6"/>
  <c r="BI34" i="6"/>
  <c r="BI31" i="6"/>
  <c r="BI37" i="6"/>
  <c r="BI33" i="6"/>
  <c r="BI30" i="6"/>
  <c r="BI35" i="6"/>
  <c r="BI36" i="6"/>
  <c r="BI32" i="6"/>
  <c r="BI29" i="6"/>
  <c r="BI88" i="6"/>
  <c r="BI85" i="6"/>
  <c r="BI81" i="6"/>
  <c r="BI82" i="6"/>
  <c r="BI87" i="6"/>
  <c r="BI84" i="6"/>
  <c r="BI83" i="6"/>
  <c r="BI86" i="6"/>
  <c r="BI80" i="6"/>
  <c r="BI89" i="6"/>
  <c r="BI78" i="6"/>
  <c r="BI76" i="6"/>
  <c r="BI77" i="6"/>
  <c r="BI74" i="6"/>
  <c r="BI79" i="6"/>
  <c r="BI75" i="6"/>
  <c r="BJ55" i="6"/>
  <c r="BJ54" i="6"/>
  <c r="BJ53" i="6"/>
  <c r="BJ52" i="6"/>
  <c r="BI10" i="6"/>
  <c r="BI7" i="6"/>
  <c r="BI9" i="6"/>
  <c r="BI11" i="6"/>
  <c r="BI5" i="6"/>
  <c r="BI12" i="6"/>
  <c r="BI14" i="6"/>
  <c r="BI13" i="6"/>
  <c r="BI6" i="6"/>
  <c r="BI8" i="6"/>
  <c r="BJ2" i="6"/>
  <c r="BJ102" i="6"/>
  <c r="BJ98" i="6"/>
  <c r="BJ103" i="6"/>
  <c r="BJ99" i="6"/>
  <c r="BJ100" i="6"/>
  <c r="BJ101" i="6"/>
  <c r="BJ71" i="6"/>
  <c r="BJ51" i="6"/>
  <c r="BK48" i="6"/>
  <c r="BK94" i="6"/>
  <c r="BJ112" i="6"/>
  <c r="BJ110" i="6"/>
  <c r="BJ108" i="6"/>
  <c r="BJ113" i="6"/>
  <c r="BJ111" i="6"/>
  <c r="BJ109" i="6"/>
  <c r="BJ97" i="6"/>
  <c r="BI28" i="6"/>
  <c r="BJ25" i="6"/>
  <c r="BK104" i="6" l="1"/>
  <c r="BK107" i="6"/>
  <c r="BK106" i="6"/>
  <c r="BK105" i="6"/>
  <c r="BJ88" i="6"/>
  <c r="BJ85" i="6"/>
  <c r="BJ82" i="6"/>
  <c r="BJ87" i="6"/>
  <c r="BJ84" i="6"/>
  <c r="BJ81" i="6"/>
  <c r="BJ80" i="6"/>
  <c r="BJ86" i="6"/>
  <c r="BJ89" i="6"/>
  <c r="BJ83" i="6"/>
  <c r="BJ75" i="6"/>
  <c r="BJ79" i="6"/>
  <c r="BJ74" i="6"/>
  <c r="BJ76" i="6"/>
  <c r="BJ77" i="6"/>
  <c r="BJ78" i="6"/>
  <c r="BJ10" i="6"/>
  <c r="BJ12" i="6"/>
  <c r="BJ8" i="6"/>
  <c r="BJ11" i="6"/>
  <c r="BJ5" i="6"/>
  <c r="BJ13" i="6"/>
  <c r="BJ6" i="6"/>
  <c r="BJ14" i="6"/>
  <c r="BJ9" i="6"/>
  <c r="BJ7" i="6"/>
  <c r="BK2" i="6"/>
  <c r="BJ34" i="6"/>
  <c r="BJ31" i="6"/>
  <c r="BJ37" i="6"/>
  <c r="BJ33" i="6"/>
  <c r="BJ30" i="6"/>
  <c r="BJ35" i="6"/>
  <c r="BJ36" i="6"/>
  <c r="BJ32" i="6"/>
  <c r="BJ29" i="6"/>
  <c r="BK55" i="6"/>
  <c r="BK54" i="6"/>
  <c r="BK53" i="6"/>
  <c r="BK52" i="6"/>
  <c r="BK102" i="6"/>
  <c r="BK98" i="6"/>
  <c r="BK103" i="6"/>
  <c r="BK99" i="6"/>
  <c r="BK100" i="6"/>
  <c r="BK101" i="6"/>
  <c r="BK51" i="6"/>
  <c r="BL48" i="6"/>
  <c r="BK71" i="6"/>
  <c r="BJ28" i="6"/>
  <c r="BK25" i="6"/>
  <c r="BK112" i="6"/>
  <c r="BK110" i="6"/>
  <c r="BK108" i="6"/>
  <c r="BK113" i="6"/>
  <c r="BK111" i="6"/>
  <c r="BK109" i="6"/>
  <c r="BK97" i="6"/>
  <c r="BL94" i="6"/>
  <c r="BK34" i="6" l="1"/>
  <c r="BK31" i="6"/>
  <c r="BK37" i="6"/>
  <c r="BK33" i="6"/>
  <c r="BK30" i="6"/>
  <c r="BK35" i="6"/>
  <c r="BK36" i="6"/>
  <c r="BK32" i="6"/>
  <c r="BK29" i="6"/>
  <c r="BK88" i="6"/>
  <c r="BK85" i="6"/>
  <c r="BK82" i="6"/>
  <c r="BK87" i="6"/>
  <c r="BK84" i="6"/>
  <c r="BK81" i="6"/>
  <c r="BK89" i="6"/>
  <c r="BK83" i="6"/>
  <c r="BK86" i="6"/>
  <c r="BK80" i="6"/>
  <c r="BK74" i="6"/>
  <c r="BK79" i="6"/>
  <c r="BK78" i="6"/>
  <c r="BK76" i="6"/>
  <c r="BK75" i="6"/>
  <c r="BK77" i="6"/>
  <c r="BK8" i="6"/>
  <c r="BK11" i="6"/>
  <c r="BK13" i="6"/>
  <c r="BK7" i="6"/>
  <c r="BK14" i="6"/>
  <c r="BK10" i="6"/>
  <c r="BK5" i="6"/>
  <c r="BK6" i="6"/>
  <c r="BK9" i="6"/>
  <c r="BK12" i="6"/>
  <c r="BL2" i="6"/>
  <c r="BL104" i="6"/>
  <c r="BL107" i="6"/>
  <c r="BL106" i="6"/>
  <c r="BL105" i="6"/>
  <c r="BL55" i="6"/>
  <c r="BL54" i="6"/>
  <c r="BL53" i="6"/>
  <c r="BL52" i="6"/>
  <c r="BL103" i="6"/>
  <c r="BL99" i="6"/>
  <c r="BL100" i="6"/>
  <c r="BL98" i="6"/>
  <c r="BL101" i="6"/>
  <c r="BL102" i="6"/>
  <c r="BL71" i="6"/>
  <c r="BK28" i="6"/>
  <c r="BL25" i="6"/>
  <c r="BL112" i="6"/>
  <c r="BL110" i="6"/>
  <c r="BL108" i="6"/>
  <c r="BL113" i="6"/>
  <c r="BL111" i="6"/>
  <c r="BL109" i="6"/>
  <c r="BL97" i="6"/>
  <c r="BM94" i="6"/>
  <c r="BL51" i="6"/>
  <c r="BM48" i="6"/>
  <c r="BL12" i="6" l="1"/>
  <c r="BL14" i="6"/>
  <c r="BL6" i="6"/>
  <c r="BL7" i="6"/>
  <c r="BL13" i="6"/>
  <c r="BL11" i="6"/>
  <c r="BL10" i="6"/>
  <c r="BL5" i="6"/>
  <c r="BL9" i="6"/>
  <c r="BL8" i="6"/>
  <c r="BM2" i="6"/>
  <c r="BL34" i="6"/>
  <c r="BL31" i="6"/>
  <c r="BL37" i="6"/>
  <c r="BL33" i="6"/>
  <c r="BL30" i="6"/>
  <c r="BL35" i="6"/>
  <c r="BL36" i="6"/>
  <c r="BL32" i="6"/>
  <c r="BL29" i="6"/>
  <c r="BL85" i="6"/>
  <c r="BL84" i="6"/>
  <c r="BL82" i="6"/>
  <c r="BL81" i="6"/>
  <c r="BL89" i="6"/>
  <c r="BL87" i="6"/>
  <c r="BL88" i="6"/>
  <c r="BL86" i="6"/>
  <c r="BL83" i="6"/>
  <c r="BL80" i="6"/>
  <c r="BL74" i="6"/>
  <c r="BL75" i="6"/>
  <c r="BL79" i="6"/>
  <c r="BL76" i="6"/>
  <c r="BL78" i="6"/>
  <c r="BL77" i="6"/>
  <c r="BM55" i="6"/>
  <c r="BM54" i="6"/>
  <c r="BM53" i="6"/>
  <c r="BM52" i="6"/>
  <c r="BM104" i="6"/>
  <c r="BM107" i="6"/>
  <c r="BM106" i="6"/>
  <c r="BM105" i="6"/>
  <c r="BM103" i="6"/>
  <c r="BM99" i="6"/>
  <c r="BM100" i="6"/>
  <c r="BM101" i="6"/>
  <c r="BM102" i="6"/>
  <c r="BM98" i="6"/>
  <c r="BL28" i="6"/>
  <c r="BM25" i="6"/>
  <c r="BM51" i="6"/>
  <c r="BN48" i="6"/>
  <c r="BM113" i="6"/>
  <c r="BM111" i="6"/>
  <c r="BM109" i="6"/>
  <c r="BM97" i="6"/>
  <c r="BN94" i="6"/>
  <c r="BM112" i="6"/>
  <c r="BM110" i="6"/>
  <c r="BM108" i="6"/>
  <c r="BM71" i="6"/>
  <c r="BN104" i="6" l="1"/>
  <c r="BN106" i="6"/>
  <c r="BN105" i="6"/>
  <c r="BN107" i="6"/>
  <c r="BN55" i="6"/>
  <c r="BN54" i="6"/>
  <c r="BN53" i="6"/>
  <c r="BN52" i="6"/>
  <c r="BM34" i="6"/>
  <c r="BM31" i="6"/>
  <c r="BM37" i="6"/>
  <c r="BM33" i="6"/>
  <c r="BM30" i="6"/>
  <c r="BM35" i="6"/>
  <c r="BM36" i="6"/>
  <c r="BM32" i="6"/>
  <c r="BM29" i="6"/>
  <c r="BM8" i="6"/>
  <c r="BM11" i="6"/>
  <c r="BM9" i="6"/>
  <c r="BM6" i="6"/>
  <c r="BM14" i="6"/>
  <c r="BM7" i="6"/>
  <c r="BM10" i="6"/>
  <c r="BM13" i="6"/>
  <c r="BM12" i="6"/>
  <c r="BM5" i="6"/>
  <c r="BN2" i="6"/>
  <c r="BM82" i="6"/>
  <c r="BM89" i="6"/>
  <c r="BM84" i="6"/>
  <c r="BM87" i="6"/>
  <c r="BM81" i="6"/>
  <c r="BM86" i="6"/>
  <c r="BM80" i="6"/>
  <c r="BM85" i="6"/>
  <c r="BM83" i="6"/>
  <c r="BM88" i="6"/>
  <c r="BM75" i="6"/>
  <c r="BM76" i="6"/>
  <c r="BM74" i="6"/>
  <c r="BM79" i="6"/>
  <c r="BM78" i="6"/>
  <c r="BM77" i="6"/>
  <c r="BN99" i="6"/>
  <c r="BN100" i="6"/>
  <c r="BN101" i="6"/>
  <c r="BN103" i="6"/>
  <c r="BN102" i="6"/>
  <c r="BN98" i="6"/>
  <c r="BN71" i="6"/>
  <c r="BN51" i="6"/>
  <c r="BO48" i="6"/>
  <c r="BM28" i="6"/>
  <c r="BN25" i="6"/>
  <c r="BN113" i="6"/>
  <c r="BN111" i="6"/>
  <c r="BN109" i="6"/>
  <c r="BN97" i="6"/>
  <c r="BO94" i="6"/>
  <c r="BN112" i="6"/>
  <c r="BN110" i="6"/>
  <c r="BN108" i="6"/>
  <c r="BO55" i="6" l="1"/>
  <c r="BO54" i="6"/>
  <c r="BO53" i="6"/>
  <c r="BO52" i="6"/>
  <c r="BN31" i="6"/>
  <c r="BN37" i="6"/>
  <c r="BN33" i="6"/>
  <c r="BN30" i="6"/>
  <c r="BN35" i="6"/>
  <c r="BN36" i="6"/>
  <c r="BN32" i="6"/>
  <c r="BN29" i="6"/>
  <c r="BN34" i="6"/>
  <c r="BN83" i="6"/>
  <c r="BN84" i="6"/>
  <c r="BN86" i="6"/>
  <c r="BN87" i="6"/>
  <c r="BN81" i="6"/>
  <c r="BN89" i="6"/>
  <c r="BN88" i="6"/>
  <c r="BN82" i="6"/>
  <c r="BN80" i="6"/>
  <c r="BN85" i="6"/>
  <c r="BN77" i="6"/>
  <c r="BN75" i="6"/>
  <c r="BN74" i="6"/>
  <c r="BN78" i="6"/>
  <c r="BN76" i="6"/>
  <c r="BN79" i="6"/>
  <c r="BN9" i="6"/>
  <c r="BN10" i="6"/>
  <c r="BN8" i="6"/>
  <c r="BN6" i="6"/>
  <c r="BN14" i="6"/>
  <c r="BN11" i="6"/>
  <c r="BN5" i="6"/>
  <c r="BN12" i="6"/>
  <c r="BN13" i="6"/>
  <c r="BN7" i="6"/>
  <c r="BO2" i="6"/>
  <c r="BO104" i="6"/>
  <c r="BO106" i="6"/>
  <c r="BO105" i="6"/>
  <c r="BO107" i="6"/>
  <c r="BO100" i="6"/>
  <c r="BO101" i="6"/>
  <c r="BO102" i="6"/>
  <c r="BO98" i="6"/>
  <c r="BO103" i="6"/>
  <c r="BO99" i="6"/>
  <c r="BO51" i="6"/>
  <c r="BP48" i="6"/>
  <c r="BO71" i="6"/>
  <c r="BN28" i="6"/>
  <c r="BO25" i="6"/>
  <c r="BO113" i="6"/>
  <c r="BO111" i="6"/>
  <c r="BO109" i="6"/>
  <c r="BO97" i="6"/>
  <c r="BP94" i="6"/>
  <c r="BO112" i="6"/>
  <c r="BO110" i="6"/>
  <c r="BO108" i="6"/>
  <c r="BO8" i="6" l="1"/>
  <c r="BO11" i="6"/>
  <c r="BO5" i="6"/>
  <c r="BO14" i="6"/>
  <c r="BO13" i="6"/>
  <c r="BO12" i="6"/>
  <c r="BO7" i="6"/>
  <c r="BO10" i="6"/>
  <c r="BO9" i="6"/>
  <c r="BO6" i="6"/>
  <c r="BP2" i="6"/>
  <c r="BO81" i="6"/>
  <c r="BO87" i="6"/>
  <c r="BO83" i="6"/>
  <c r="BO80" i="6"/>
  <c r="BO84" i="6"/>
  <c r="BO89" i="6"/>
  <c r="BO86" i="6"/>
  <c r="BO85" i="6"/>
  <c r="BO88" i="6"/>
  <c r="BO82" i="6"/>
  <c r="BO74" i="6"/>
  <c r="BO78" i="6"/>
  <c r="BO79" i="6"/>
  <c r="BO77" i="6"/>
  <c r="BO76" i="6"/>
  <c r="BO75" i="6"/>
  <c r="BO37" i="6"/>
  <c r="BO33" i="6"/>
  <c r="BO30" i="6"/>
  <c r="BO35" i="6"/>
  <c r="BO36" i="6"/>
  <c r="BO32" i="6"/>
  <c r="BO29" i="6"/>
  <c r="BO34" i="6"/>
  <c r="BO31" i="6"/>
  <c r="BP55" i="6"/>
  <c r="BP54" i="6"/>
  <c r="BP53" i="6"/>
  <c r="BP52" i="6"/>
  <c r="BP107" i="6"/>
  <c r="BP109" i="6"/>
  <c r="BP108" i="6"/>
  <c r="BP106" i="6"/>
  <c r="BP105" i="6"/>
  <c r="BQ94" i="6"/>
  <c r="BP103" i="6"/>
  <c r="BP101" i="6"/>
  <c r="BP99" i="6"/>
  <c r="BP97" i="6"/>
  <c r="BP104" i="6"/>
  <c r="BP102" i="6"/>
  <c r="BP100" i="6"/>
  <c r="BP98" i="6"/>
  <c r="BP96" i="6"/>
  <c r="BP71" i="6"/>
  <c r="BP25" i="6"/>
  <c r="BQ25" i="6" s="1"/>
  <c r="BR25" i="6" s="1"/>
  <c r="BS25" i="6" s="1"/>
  <c r="BT25" i="6" s="1"/>
  <c r="BU25" i="6" s="1"/>
  <c r="BV25" i="6" s="1"/>
  <c r="BW25" i="6" s="1"/>
  <c r="BX25" i="6" s="1"/>
  <c r="BY25" i="6" s="1"/>
  <c r="BZ25" i="6" s="1"/>
  <c r="CA25" i="6" s="1"/>
  <c r="CB25" i="6" s="1"/>
  <c r="CC25" i="6" s="1"/>
  <c r="CD25" i="6" s="1"/>
  <c r="CE25" i="6" s="1"/>
  <c r="CF25" i="6" s="1"/>
  <c r="CG25" i="6" s="1"/>
  <c r="CH25" i="6" s="1"/>
  <c r="CI25" i="6" s="1"/>
  <c r="CJ25" i="6" s="1"/>
  <c r="CK25" i="6" s="1"/>
  <c r="CL25" i="6" s="1"/>
  <c r="CM25" i="6" s="1"/>
  <c r="CN25" i="6" s="1"/>
  <c r="CO25" i="6" s="1"/>
  <c r="CP25" i="6" s="1"/>
  <c r="CQ25" i="6" s="1"/>
  <c r="CR25" i="6" s="1"/>
  <c r="CS25" i="6" s="1"/>
  <c r="CT25" i="6" s="1"/>
  <c r="CU25" i="6" s="1"/>
  <c r="CV25" i="6" s="1"/>
  <c r="BO28" i="6"/>
  <c r="BP51" i="6"/>
  <c r="BQ48" i="6"/>
  <c r="BP87" i="6" l="1"/>
  <c r="BP84" i="6"/>
  <c r="BP81" i="6"/>
  <c r="BP86" i="6"/>
  <c r="BP89" i="6"/>
  <c r="BP83" i="6"/>
  <c r="BP80" i="6"/>
  <c r="BP82" i="6"/>
  <c r="BP85" i="6"/>
  <c r="BP88" i="6"/>
  <c r="BP75" i="6"/>
  <c r="BP77" i="6"/>
  <c r="BP78" i="6"/>
  <c r="BP79" i="6"/>
  <c r="BP74" i="6"/>
  <c r="BP76" i="6"/>
  <c r="BQ109" i="6"/>
  <c r="BQ108" i="6"/>
  <c r="BQ107" i="6"/>
  <c r="BQ106" i="6"/>
  <c r="BQ105" i="6"/>
  <c r="BQ54" i="6"/>
  <c r="BQ53" i="6"/>
  <c r="BQ52" i="6"/>
  <c r="BQ55" i="6"/>
  <c r="BP6" i="6"/>
  <c r="BP10" i="6"/>
  <c r="BP8" i="6"/>
  <c r="BP13" i="6"/>
  <c r="BP5" i="6"/>
  <c r="BP12" i="6"/>
  <c r="BP9" i="6"/>
  <c r="BP11" i="6"/>
  <c r="BP14" i="6"/>
  <c r="BP7" i="6"/>
  <c r="BQ2" i="6"/>
  <c r="BR2" i="6" s="1"/>
  <c r="BS2" i="6" s="1"/>
  <c r="BT2" i="6" s="1"/>
  <c r="BU2" i="6" s="1"/>
  <c r="BV2" i="6" s="1"/>
  <c r="BW2" i="6" s="1"/>
  <c r="BX2" i="6" s="1"/>
  <c r="BY2" i="6" s="1"/>
  <c r="BZ2" i="6" s="1"/>
  <c r="CA2" i="6" s="1"/>
  <c r="CB2" i="6" s="1"/>
  <c r="CC2" i="6" s="1"/>
  <c r="CD2" i="6" s="1"/>
  <c r="CE2" i="6" s="1"/>
  <c r="CF2" i="6" s="1"/>
  <c r="CG2" i="6" s="1"/>
  <c r="CH2" i="6" s="1"/>
  <c r="CI2" i="6" s="1"/>
  <c r="CJ2" i="6" s="1"/>
  <c r="CK2" i="6" s="1"/>
  <c r="CL2" i="6" s="1"/>
  <c r="CM2" i="6" s="1"/>
  <c r="CN2" i="6" s="1"/>
  <c r="CO2" i="6" s="1"/>
  <c r="CP2" i="6" s="1"/>
  <c r="CQ2" i="6" s="1"/>
  <c r="CR2" i="6" s="1"/>
  <c r="CS2" i="6" s="1"/>
  <c r="CT2" i="6" s="1"/>
  <c r="CU2" i="6" s="1"/>
  <c r="CV2" i="6" s="1"/>
  <c r="BR94" i="6"/>
  <c r="BQ98" i="6"/>
  <c r="BQ103" i="6"/>
  <c r="BQ101" i="6"/>
  <c r="BQ99" i="6"/>
  <c r="BQ97" i="6"/>
  <c r="BQ104" i="6"/>
  <c r="BQ102" i="6"/>
  <c r="BQ96" i="6"/>
  <c r="BQ100" i="6"/>
  <c r="BQ51" i="6"/>
  <c r="BR48" i="6"/>
  <c r="BQ71" i="6"/>
  <c r="BR71" i="6" s="1"/>
  <c r="BS71" i="6" s="1"/>
  <c r="BT71" i="6" s="1"/>
  <c r="BU71" i="6" s="1"/>
  <c r="BV71" i="6" s="1"/>
  <c r="BW71" i="6" s="1"/>
  <c r="BX71" i="6" s="1"/>
  <c r="BY71" i="6" s="1"/>
  <c r="BZ71" i="6" s="1"/>
  <c r="CA71" i="6" s="1"/>
  <c r="CB71" i="6" s="1"/>
  <c r="CC71" i="6" s="1"/>
  <c r="CD71" i="6" s="1"/>
  <c r="CE71" i="6" s="1"/>
  <c r="CF71" i="6" s="1"/>
  <c r="CG71" i="6" s="1"/>
  <c r="CH71" i="6" s="1"/>
  <c r="CI71" i="6" s="1"/>
  <c r="CJ71" i="6" s="1"/>
  <c r="CK71" i="6" s="1"/>
  <c r="CL71" i="6" s="1"/>
  <c r="CM71" i="6" s="1"/>
  <c r="CN71" i="6" s="1"/>
  <c r="CO71" i="6" s="1"/>
  <c r="CP71" i="6" s="1"/>
  <c r="CQ71" i="6" s="1"/>
  <c r="CR71" i="6" s="1"/>
  <c r="CS71" i="6" s="1"/>
  <c r="CT71" i="6" s="1"/>
  <c r="CU71" i="6" s="1"/>
  <c r="CV71" i="6" s="1"/>
  <c r="BR53" i="6" l="1"/>
  <c r="BR52" i="6"/>
  <c r="BR55" i="6"/>
  <c r="BR54" i="6"/>
  <c r="BR107" i="6"/>
  <c r="BR108" i="6"/>
  <c r="BR106" i="6"/>
  <c r="BR105" i="6"/>
  <c r="BR109" i="6"/>
  <c r="BS94" i="6"/>
  <c r="BR103" i="6"/>
  <c r="BR101" i="6"/>
  <c r="BR99" i="6"/>
  <c r="BR97" i="6"/>
  <c r="BR104" i="6"/>
  <c r="BR102" i="6"/>
  <c r="BR100" i="6"/>
  <c r="BR98" i="6"/>
  <c r="BR96" i="6"/>
  <c r="BR51" i="6"/>
  <c r="BS48" i="6"/>
  <c r="BS105" i="6" l="1"/>
  <c r="BS106" i="6"/>
  <c r="BS108" i="6"/>
  <c r="BS107" i="6"/>
  <c r="BS109" i="6"/>
  <c r="BS52" i="6"/>
  <c r="BS55" i="6"/>
  <c r="BS54" i="6"/>
  <c r="BS53" i="6"/>
  <c r="BT94" i="6"/>
  <c r="BS103" i="6"/>
  <c r="BS104" i="6"/>
  <c r="BS102" i="6"/>
  <c r="BS100" i="6"/>
  <c r="BS98" i="6"/>
  <c r="BS96" i="6"/>
  <c r="BS101" i="6"/>
  <c r="BS99" i="6"/>
  <c r="BS97" i="6"/>
  <c r="BS51" i="6"/>
  <c r="BT48" i="6"/>
  <c r="BT109" i="6" l="1"/>
  <c r="BT107" i="6"/>
  <c r="BT105" i="6"/>
  <c r="BT108" i="6"/>
  <c r="BT106" i="6"/>
  <c r="BT52" i="6"/>
  <c r="BT55" i="6"/>
  <c r="BT54" i="6"/>
  <c r="BT53" i="6"/>
  <c r="BU94" i="6"/>
  <c r="BT104" i="6"/>
  <c r="BT102" i="6"/>
  <c r="BT100" i="6"/>
  <c r="BT98" i="6"/>
  <c r="BT96" i="6"/>
  <c r="BT103" i="6"/>
  <c r="BT101" i="6"/>
  <c r="BT99" i="6"/>
  <c r="BT97" i="6"/>
  <c r="BT51" i="6"/>
  <c r="BU48" i="6"/>
  <c r="BU109" i="6" l="1"/>
  <c r="BU107" i="6"/>
  <c r="BU106" i="6"/>
  <c r="BU105" i="6"/>
  <c r="BU108" i="6"/>
  <c r="BU52" i="6"/>
  <c r="BU55" i="6"/>
  <c r="BU54" i="6"/>
  <c r="BU53" i="6"/>
  <c r="BV94" i="6"/>
  <c r="BU104" i="6"/>
  <c r="BU102" i="6"/>
  <c r="BU100" i="6"/>
  <c r="BU98" i="6"/>
  <c r="BU96" i="6"/>
  <c r="BU103" i="6"/>
  <c r="BU97" i="6"/>
  <c r="BU101" i="6"/>
  <c r="BU99" i="6"/>
  <c r="BV48" i="6"/>
  <c r="BU51" i="6"/>
  <c r="BV52" i="6" l="1"/>
  <c r="BV55" i="6"/>
  <c r="BV54" i="6"/>
  <c r="BV53" i="6"/>
  <c r="BV106" i="6"/>
  <c r="BV109" i="6"/>
  <c r="BV108" i="6"/>
  <c r="BV107" i="6"/>
  <c r="BV105" i="6"/>
  <c r="BW94" i="6"/>
  <c r="BV104" i="6"/>
  <c r="BV102" i="6"/>
  <c r="BV100" i="6"/>
  <c r="BV98" i="6"/>
  <c r="BV96" i="6"/>
  <c r="BV103" i="6"/>
  <c r="BV101" i="6"/>
  <c r="BV99" i="6"/>
  <c r="BV97" i="6"/>
  <c r="BV51" i="6"/>
  <c r="BW48" i="6"/>
  <c r="BW109" i="6" l="1"/>
  <c r="BW108" i="6"/>
  <c r="BW107" i="6"/>
  <c r="BW106" i="6"/>
  <c r="BW105" i="6"/>
  <c r="BW52" i="6"/>
  <c r="BW55" i="6"/>
  <c r="BW54" i="6"/>
  <c r="BW53" i="6"/>
  <c r="BX94" i="6"/>
  <c r="BW103" i="6"/>
  <c r="BW101" i="6"/>
  <c r="BW99" i="6"/>
  <c r="BW97" i="6"/>
  <c r="BW98" i="6"/>
  <c r="BW102" i="6"/>
  <c r="BW96" i="6"/>
  <c r="BW104" i="6"/>
  <c r="BW100" i="6"/>
  <c r="BW51" i="6"/>
  <c r="BX48" i="6"/>
  <c r="BX109" i="6" l="1"/>
  <c r="BX108" i="6"/>
  <c r="BX107" i="6"/>
  <c r="BX106" i="6"/>
  <c r="BX105" i="6"/>
  <c r="BX52" i="6"/>
  <c r="BX55" i="6"/>
  <c r="BX54" i="6"/>
  <c r="BX53" i="6"/>
  <c r="BY94" i="6"/>
  <c r="BX103" i="6"/>
  <c r="BX101" i="6"/>
  <c r="BX99" i="6"/>
  <c r="BX97" i="6"/>
  <c r="BX104" i="6"/>
  <c r="BX102" i="6"/>
  <c r="BX100" i="6"/>
  <c r="BX98" i="6"/>
  <c r="BX96" i="6"/>
  <c r="BY48" i="6"/>
  <c r="BX51" i="6"/>
  <c r="BY52" i="6" l="1"/>
  <c r="BY55" i="6"/>
  <c r="BY54" i="6"/>
  <c r="BY53" i="6"/>
  <c r="BY109" i="6"/>
  <c r="BY108" i="6"/>
  <c r="BY107" i="6"/>
  <c r="BY106" i="6"/>
  <c r="BY105" i="6"/>
  <c r="BZ94" i="6"/>
  <c r="BY104" i="6"/>
  <c r="BY103" i="6"/>
  <c r="BY101" i="6"/>
  <c r="BY99" i="6"/>
  <c r="BY97" i="6"/>
  <c r="BY98" i="6"/>
  <c r="BY102" i="6"/>
  <c r="BY100" i="6"/>
  <c r="BY96" i="6"/>
  <c r="BZ48" i="6"/>
  <c r="BY51" i="6"/>
  <c r="BZ52" i="6" l="1"/>
  <c r="BZ55" i="6"/>
  <c r="BZ54" i="6"/>
  <c r="BZ53" i="6"/>
  <c r="BZ109" i="6"/>
  <c r="BZ108" i="6"/>
  <c r="BZ107" i="6"/>
  <c r="BZ106" i="6"/>
  <c r="BZ105" i="6"/>
  <c r="CA94" i="6"/>
  <c r="BZ103" i="6"/>
  <c r="BZ101" i="6"/>
  <c r="BZ99" i="6"/>
  <c r="BZ97" i="6"/>
  <c r="BZ104" i="6"/>
  <c r="BZ102" i="6"/>
  <c r="BZ100" i="6"/>
  <c r="BZ98" i="6"/>
  <c r="BZ96" i="6"/>
  <c r="CA48" i="6"/>
  <c r="BZ51" i="6"/>
  <c r="CA52" i="6" l="1"/>
  <c r="CA55" i="6"/>
  <c r="CA54" i="6"/>
  <c r="CA53" i="6"/>
  <c r="CA109" i="6"/>
  <c r="CA108" i="6"/>
  <c r="CA107" i="6"/>
  <c r="CA106" i="6"/>
  <c r="CA105" i="6"/>
  <c r="CB94" i="6"/>
  <c r="CA101" i="6"/>
  <c r="CA104" i="6"/>
  <c r="CA102" i="6"/>
  <c r="CA100" i="6"/>
  <c r="CA98" i="6"/>
  <c r="CA96" i="6"/>
  <c r="CA103" i="6"/>
  <c r="CA99" i="6"/>
  <c r="CA97" i="6"/>
  <c r="CA51" i="6"/>
  <c r="CB48" i="6"/>
  <c r="CB109" i="6" l="1"/>
  <c r="CB108" i="6"/>
  <c r="CB107" i="6"/>
  <c r="CB106" i="6"/>
  <c r="CB105" i="6"/>
  <c r="CB52" i="6"/>
  <c r="CB55" i="6"/>
  <c r="CB54" i="6"/>
  <c r="CB53" i="6"/>
  <c r="CC94" i="6"/>
  <c r="CB104" i="6"/>
  <c r="CB102" i="6"/>
  <c r="CB100" i="6"/>
  <c r="CB98" i="6"/>
  <c r="CB96" i="6"/>
  <c r="CB103" i="6"/>
  <c r="CB101" i="6"/>
  <c r="CB99" i="6"/>
  <c r="CB97" i="6"/>
  <c r="CB51" i="6"/>
  <c r="CC48" i="6"/>
  <c r="CC105" i="6" l="1"/>
  <c r="CC107" i="6"/>
  <c r="CC108" i="6"/>
  <c r="CC106" i="6"/>
  <c r="CC109" i="6"/>
  <c r="CC52" i="6"/>
  <c r="CC55" i="6"/>
  <c r="CC54" i="6"/>
  <c r="CC53" i="6"/>
  <c r="CD94" i="6"/>
  <c r="CC101" i="6"/>
  <c r="CC104" i="6"/>
  <c r="CC102" i="6"/>
  <c r="CC100" i="6"/>
  <c r="CC98" i="6"/>
  <c r="CC96" i="6"/>
  <c r="CC99" i="6"/>
  <c r="CC103" i="6"/>
  <c r="CC97" i="6"/>
  <c r="CD48" i="6"/>
  <c r="CE48" i="6" s="1"/>
  <c r="CF48" i="6" s="1"/>
  <c r="CG48" i="6" s="1"/>
  <c r="CH48" i="6" s="1"/>
  <c r="CI48" i="6" s="1"/>
  <c r="CJ48" i="6" s="1"/>
  <c r="CK48" i="6" s="1"/>
  <c r="CL48" i="6" s="1"/>
  <c r="CM48" i="6" s="1"/>
  <c r="CN48" i="6" s="1"/>
  <c r="CO48" i="6" s="1"/>
  <c r="CP48" i="6" s="1"/>
  <c r="CQ48" i="6" s="1"/>
  <c r="CR48" i="6" s="1"/>
  <c r="CS48" i="6" s="1"/>
  <c r="CT48" i="6" s="1"/>
  <c r="CU48" i="6" s="1"/>
  <c r="CV48" i="6" s="1"/>
  <c r="CC51" i="6"/>
  <c r="CD109" i="6" l="1"/>
  <c r="CD108" i="6"/>
  <c r="CD107" i="6"/>
  <c r="CD106" i="6"/>
  <c r="CD105" i="6"/>
  <c r="CE94" i="6"/>
  <c r="CD104" i="6"/>
  <c r="CD102" i="6"/>
  <c r="CD100" i="6"/>
  <c r="CD98" i="6"/>
  <c r="CD96" i="6"/>
  <c r="CD103" i="6"/>
  <c r="CD101" i="6"/>
  <c r="CD99" i="6"/>
  <c r="CD97" i="6"/>
  <c r="CY116" i="6"/>
  <c r="CY115" i="6"/>
  <c r="CY114" i="6"/>
  <c r="CY113" i="6"/>
  <c r="CY112" i="6"/>
  <c r="CY111" i="6"/>
  <c r="CY110" i="6"/>
  <c r="CY109" i="6"/>
  <c r="CY108" i="6"/>
  <c r="CY97" i="6"/>
  <c r="P1" i="9"/>
  <c r="CE109" i="6" l="1"/>
  <c r="CE108" i="6"/>
  <c r="CE107" i="6"/>
  <c r="CE106" i="6"/>
  <c r="CE105" i="6"/>
  <c r="CF94" i="6"/>
  <c r="CE100" i="6"/>
  <c r="CE98" i="6"/>
  <c r="CE102" i="6"/>
  <c r="CE96" i="6"/>
  <c r="CE104" i="6"/>
  <c r="CE103" i="6"/>
  <c r="CE101" i="6"/>
  <c r="CE99" i="6"/>
  <c r="CE97" i="6"/>
  <c r="A2" i="9"/>
  <c r="AB1" i="9"/>
  <c r="AD1" i="1"/>
  <c r="G25" i="16" s="1"/>
  <c r="CI2" i="7"/>
  <c r="AA1" i="7" s="1"/>
  <c r="CF109" i="6" l="1"/>
  <c r="CF107" i="6"/>
  <c r="CF105" i="6"/>
  <c r="CF108" i="6"/>
  <c r="CF106" i="6"/>
  <c r="CG94" i="6"/>
  <c r="CF103" i="6"/>
  <c r="CF101" i="6"/>
  <c r="CF99" i="6"/>
  <c r="CF97" i="6"/>
  <c r="CF104" i="6"/>
  <c r="CF102" i="6"/>
  <c r="CF100" i="6"/>
  <c r="CF98" i="6"/>
  <c r="CF96" i="6"/>
  <c r="CJ2" i="7"/>
  <c r="CH2" i="7"/>
  <c r="CF13" i="1"/>
  <c r="CF12" i="1"/>
  <c r="CF11" i="1"/>
  <c r="CF10" i="1"/>
  <c r="CF9" i="1"/>
  <c r="CF8" i="1"/>
  <c r="CF7" i="1"/>
  <c r="CD12" i="1"/>
  <c r="CD11" i="1"/>
  <c r="CD10" i="1"/>
  <c r="CD9" i="1"/>
  <c r="CD8" i="1"/>
  <c r="CD7" i="1"/>
  <c r="CB11" i="1"/>
  <c r="CB10" i="1"/>
  <c r="CB9" i="1"/>
  <c r="CB8" i="1"/>
  <c r="CB7" i="1"/>
  <c r="BZ10" i="1"/>
  <c r="BZ9" i="1"/>
  <c r="BZ8" i="1"/>
  <c r="BZ7" i="1"/>
  <c r="BX9" i="1"/>
  <c r="BX8" i="1"/>
  <c r="BX7" i="1"/>
  <c r="BV8" i="1"/>
  <c r="BV7" i="1"/>
  <c r="BT7" i="1"/>
  <c r="O23" i="7"/>
  <c r="O24" i="7"/>
  <c r="M27" i="7"/>
  <c r="M26" i="7"/>
  <c r="M25" i="7"/>
  <c r="M24" i="7"/>
  <c r="M23" i="7"/>
  <c r="O22" i="7"/>
  <c r="M22" i="7"/>
  <c r="M21" i="7"/>
  <c r="M20" i="7"/>
  <c r="U19" i="7"/>
  <c r="M19" i="7"/>
  <c r="M18" i="7"/>
  <c r="E14" i="7"/>
  <c r="H14" i="7" s="1"/>
  <c r="R19" i="7"/>
  <c r="BN32" i="7"/>
  <c r="BM31" i="7"/>
  <c r="T21" i="9"/>
  <c r="G20" i="9"/>
  <c r="I19" i="9"/>
  <c r="G19" i="9"/>
  <c r="I18" i="9"/>
  <c r="G18" i="9"/>
  <c r="G17" i="9"/>
  <c r="D17" i="9"/>
  <c r="I17" i="9" s="1"/>
  <c r="G16" i="9"/>
  <c r="I15" i="9"/>
  <c r="I14" i="9"/>
  <c r="G14" i="9"/>
  <c r="I13" i="9"/>
  <c r="I12" i="9"/>
  <c r="G12" i="9"/>
  <c r="U11" i="9"/>
  <c r="G11" i="9"/>
  <c r="I10" i="9"/>
  <c r="G10" i="9"/>
  <c r="G9" i="9"/>
  <c r="I8" i="9"/>
  <c r="BU26" i="7"/>
  <c r="BV25" i="7"/>
  <c r="AG78" i="11"/>
  <c r="C73" i="11"/>
  <c r="B73" i="11"/>
  <c r="B73" i="10"/>
  <c r="C73" i="10"/>
  <c r="CG109" i="6" l="1"/>
  <c r="CG107" i="6"/>
  <c r="CG105" i="6"/>
  <c r="CG108" i="6"/>
  <c r="CG106" i="6"/>
  <c r="AG79" i="11"/>
  <c r="A78" i="11"/>
  <c r="CH94" i="6"/>
  <c r="CG103" i="6"/>
  <c r="CG101" i="6"/>
  <c r="CG99" i="6"/>
  <c r="CG97" i="6"/>
  <c r="CG100" i="6"/>
  <c r="CG98" i="6"/>
  <c r="CG96" i="6"/>
  <c r="CG104" i="6"/>
  <c r="CG102" i="6"/>
  <c r="B31" i="7"/>
  <c r="A31" i="7"/>
  <c r="D73" i="10"/>
  <c r="Y76" i="10"/>
  <c r="X76" i="10"/>
  <c r="M76" i="10"/>
  <c r="L76" i="10"/>
  <c r="Y76" i="11"/>
  <c r="X76" i="11"/>
  <c r="M76" i="11"/>
  <c r="L76" i="11"/>
  <c r="BN33" i="7"/>
  <c r="A33" i="7" s="1"/>
  <c r="A32" i="7"/>
  <c r="BM52" i="7"/>
  <c r="E54" i="7" s="1"/>
  <c r="CG10" i="7"/>
  <c r="CG31" i="7"/>
  <c r="CG32" i="7" s="1"/>
  <c r="CG33" i="7" s="1"/>
  <c r="CG34" i="7" s="1"/>
  <c r="CG35" i="7" s="1"/>
  <c r="CG36" i="7" s="1"/>
  <c r="CG37" i="7" s="1"/>
  <c r="CG38" i="7" s="1"/>
  <c r="CG39" i="7" s="1"/>
  <c r="CG40" i="7" s="1"/>
  <c r="CG41" i="7" s="1"/>
  <c r="CG42" i="7" s="1"/>
  <c r="CG43" i="7" s="1"/>
  <c r="CG44" i="7" s="1"/>
  <c r="CG45" i="7" s="1"/>
  <c r="CG46" i="7" s="1"/>
  <c r="CG47" i="7" s="1"/>
  <c r="CG48" i="7" s="1"/>
  <c r="CG49" i="7" s="1"/>
  <c r="CG50" i="7" s="1"/>
  <c r="CG51" i="7" s="1"/>
  <c r="BN34" i="7"/>
  <c r="G13" i="7"/>
  <c r="T19" i="7"/>
  <c r="CB1" i="7"/>
  <c r="D73" i="11"/>
  <c r="S4" i="9"/>
  <c r="CH109" i="6" l="1"/>
  <c r="CH108" i="6"/>
  <c r="CH107" i="6"/>
  <c r="CH106" i="6"/>
  <c r="CH105" i="6"/>
  <c r="CI94" i="6"/>
  <c r="CH103" i="6"/>
  <c r="CH101" i="6"/>
  <c r="CH99" i="6"/>
  <c r="CH97" i="6"/>
  <c r="CH104" i="6"/>
  <c r="CH102" i="6"/>
  <c r="CH100" i="6"/>
  <c r="CH98" i="6"/>
  <c r="CH96" i="6"/>
  <c r="AG80" i="11"/>
  <c r="A79" i="11"/>
  <c r="C95" i="11"/>
  <c r="C159" i="11"/>
  <c r="C103" i="11"/>
  <c r="C125" i="11"/>
  <c r="C126" i="11"/>
  <c r="C166" i="11"/>
  <c r="C94" i="11"/>
  <c r="C160" i="11"/>
  <c r="C158" i="11"/>
  <c r="C118" i="11"/>
  <c r="C151" i="11"/>
  <c r="C110" i="11"/>
  <c r="C102" i="11"/>
  <c r="C150" i="11"/>
  <c r="C119" i="11"/>
  <c r="C142" i="11"/>
  <c r="C134" i="11"/>
  <c r="C135" i="11"/>
  <c r="C143" i="11"/>
  <c r="C133" i="11"/>
  <c r="C165" i="11"/>
  <c r="C109" i="11"/>
  <c r="C167" i="11"/>
  <c r="C149" i="11"/>
  <c r="C111" i="11"/>
  <c r="C117" i="11"/>
  <c r="C101" i="11"/>
  <c r="C127" i="11"/>
  <c r="C93" i="11"/>
  <c r="C141" i="11"/>
  <c r="C157" i="11"/>
  <c r="C136" i="11"/>
  <c r="C104" i="11"/>
  <c r="C128" i="11"/>
  <c r="C168" i="11"/>
  <c r="C144" i="11"/>
  <c r="C120" i="11"/>
  <c r="C112" i="11"/>
  <c r="C152" i="11"/>
  <c r="C161" i="11"/>
  <c r="C96" i="11"/>
  <c r="C145" i="11"/>
  <c r="C129" i="11"/>
  <c r="C121" i="11"/>
  <c r="C97" i="11"/>
  <c r="C153" i="11"/>
  <c r="C162" i="11"/>
  <c r="C169" i="11"/>
  <c r="C105" i="11"/>
  <c r="C137" i="11"/>
  <c r="C113" i="11"/>
  <c r="C98" i="11"/>
  <c r="C146" i="11"/>
  <c r="C170" i="11"/>
  <c r="C154" i="11"/>
  <c r="C106" i="11"/>
  <c r="C130" i="11"/>
  <c r="C163" i="11"/>
  <c r="C138" i="11"/>
  <c r="C122" i="11"/>
  <c r="C114" i="11"/>
  <c r="C131" i="11"/>
  <c r="C115" i="11"/>
  <c r="C99" i="11"/>
  <c r="C155" i="11"/>
  <c r="C123" i="11"/>
  <c r="C147" i="11"/>
  <c r="C139" i="11"/>
  <c r="C171" i="11"/>
  <c r="C107" i="11"/>
  <c r="C87" i="11"/>
  <c r="C91" i="11"/>
  <c r="C89" i="11"/>
  <c r="C85" i="11"/>
  <c r="C86" i="11"/>
  <c r="C90" i="11"/>
  <c r="C88" i="11"/>
  <c r="C134" i="10"/>
  <c r="C135" i="10"/>
  <c r="C166" i="10"/>
  <c r="C103" i="10"/>
  <c r="C125" i="10"/>
  <c r="C126" i="10"/>
  <c r="C160" i="10"/>
  <c r="C118" i="10"/>
  <c r="C151" i="10"/>
  <c r="C110" i="10"/>
  <c r="C94" i="10"/>
  <c r="C150" i="10"/>
  <c r="C158" i="10"/>
  <c r="C119" i="10"/>
  <c r="C142" i="10"/>
  <c r="C102" i="10"/>
  <c r="C95" i="10"/>
  <c r="C159" i="10"/>
  <c r="C93" i="10"/>
  <c r="C133" i="10"/>
  <c r="C157" i="10"/>
  <c r="C165" i="10"/>
  <c r="C109" i="10"/>
  <c r="C143" i="10"/>
  <c r="C101" i="10"/>
  <c r="C167" i="10"/>
  <c r="C149" i="10"/>
  <c r="C111" i="10"/>
  <c r="C117" i="10"/>
  <c r="C127" i="10"/>
  <c r="C141" i="10"/>
  <c r="C128" i="10"/>
  <c r="C168" i="10"/>
  <c r="C144" i="10"/>
  <c r="C120" i="10"/>
  <c r="C112" i="10"/>
  <c r="C161" i="10"/>
  <c r="C96" i="10"/>
  <c r="C152" i="10"/>
  <c r="C136" i="10"/>
  <c r="C104" i="10"/>
  <c r="C97" i="10"/>
  <c r="C121" i="10"/>
  <c r="C169" i="10"/>
  <c r="C153" i="10"/>
  <c r="C162" i="10"/>
  <c r="C105" i="10"/>
  <c r="C137" i="10"/>
  <c r="C113" i="10"/>
  <c r="C145" i="10"/>
  <c r="C129" i="10"/>
  <c r="C146" i="10"/>
  <c r="C98" i="10"/>
  <c r="C154" i="10"/>
  <c r="C106" i="10"/>
  <c r="C170" i="10"/>
  <c r="C138" i="10"/>
  <c r="C130" i="10"/>
  <c r="C163" i="10"/>
  <c r="C114" i="10"/>
  <c r="C122" i="10"/>
  <c r="C171" i="10"/>
  <c r="C107" i="10"/>
  <c r="C115" i="10"/>
  <c r="C99" i="10"/>
  <c r="C155" i="10"/>
  <c r="C123" i="10"/>
  <c r="C147" i="10"/>
  <c r="C139" i="10"/>
  <c r="C131" i="10"/>
  <c r="C85" i="10"/>
  <c r="C88" i="10"/>
  <c r="C90" i="10"/>
  <c r="C87" i="10"/>
  <c r="C89" i="10"/>
  <c r="C91" i="10"/>
  <c r="C86" i="10"/>
  <c r="BN35" i="7"/>
  <c r="BN36" i="7" s="1"/>
  <c r="A34" i="7"/>
  <c r="A67" i="7"/>
  <c r="A64" i="7"/>
  <c r="A55" i="7"/>
  <c r="A71" i="7"/>
  <c r="A61" i="7"/>
  <c r="A54" i="7"/>
  <c r="A70" i="7"/>
  <c r="A53" i="7"/>
  <c r="A66" i="7"/>
  <c r="A63" i="7"/>
  <c r="A60" i="7"/>
  <c r="B52" i="7"/>
  <c r="A69" i="7"/>
  <c r="A59" i="7"/>
  <c r="A52" i="7"/>
  <c r="A58" i="7"/>
  <c r="A68" i="7"/>
  <c r="A65" i="7"/>
  <c r="A62" i="7"/>
  <c r="A57" i="7"/>
  <c r="A56" i="7"/>
  <c r="B129" i="11"/>
  <c r="O129" i="11" s="1"/>
  <c r="E37" i="7"/>
  <c r="G37" i="7" s="1"/>
  <c r="E58" i="7"/>
  <c r="G58" i="7" s="1"/>
  <c r="B125" i="11"/>
  <c r="B126" i="11"/>
  <c r="B127" i="11"/>
  <c r="B128" i="11"/>
  <c r="B146" i="11"/>
  <c r="O146" i="11" s="1"/>
  <c r="B130" i="11"/>
  <c r="B131" i="11"/>
  <c r="B138" i="11"/>
  <c r="B139" i="11"/>
  <c r="B145" i="11"/>
  <c r="O145" i="11" s="1"/>
  <c r="B133" i="11"/>
  <c r="B143" i="11"/>
  <c r="O143" i="11" s="1"/>
  <c r="B134" i="11"/>
  <c r="B147" i="11"/>
  <c r="O147" i="11" s="1"/>
  <c r="B135" i="11"/>
  <c r="B144" i="11"/>
  <c r="O144" i="11" s="1"/>
  <c r="B136" i="11"/>
  <c r="B142" i="11"/>
  <c r="O142" i="11" s="1"/>
  <c r="B137" i="11"/>
  <c r="B141" i="11"/>
  <c r="O141" i="11" s="1"/>
  <c r="B152" i="11"/>
  <c r="O152" i="11" s="1"/>
  <c r="B149" i="11"/>
  <c r="O149" i="11" s="1"/>
  <c r="B153" i="11"/>
  <c r="O153" i="11" s="1"/>
  <c r="B150" i="11"/>
  <c r="O150" i="11" s="1"/>
  <c r="B154" i="11"/>
  <c r="O154" i="11" s="1"/>
  <c r="B151" i="11"/>
  <c r="O151" i="11" s="1"/>
  <c r="B155" i="11"/>
  <c r="O155" i="11" s="1"/>
  <c r="B161" i="11"/>
  <c r="O161" i="11" s="1"/>
  <c r="B121" i="11"/>
  <c r="O121" i="11" s="1"/>
  <c r="B162" i="11"/>
  <c r="B163" i="11"/>
  <c r="B160" i="11"/>
  <c r="B157" i="11"/>
  <c r="B158" i="11"/>
  <c r="B159" i="11"/>
  <c r="BM73" i="7"/>
  <c r="CG52" i="7"/>
  <c r="CG53" i="7" s="1"/>
  <c r="CG54" i="7" s="1"/>
  <c r="CG55" i="7" s="1"/>
  <c r="CG56" i="7" s="1"/>
  <c r="CG57" i="7" s="1"/>
  <c r="CG58" i="7" s="1"/>
  <c r="CG59" i="7" s="1"/>
  <c r="CG60" i="7" s="1"/>
  <c r="CG61" i="7" s="1"/>
  <c r="CG62" i="7" s="1"/>
  <c r="CG63" i="7" s="1"/>
  <c r="CG64" i="7" s="1"/>
  <c r="CG65" i="7" s="1"/>
  <c r="CG66" i="7" s="1"/>
  <c r="CG67" i="7" s="1"/>
  <c r="CG68" i="7" s="1"/>
  <c r="CG69" i="7" s="1"/>
  <c r="CG70" i="7" s="1"/>
  <c r="CG71" i="7" s="1"/>
  <c r="CG72" i="7" s="1"/>
  <c r="CG11" i="7"/>
  <c r="B77" i="11"/>
  <c r="O77" i="11" s="1"/>
  <c r="B82" i="11"/>
  <c r="O82" i="11" s="1"/>
  <c r="B165" i="11"/>
  <c r="O165" i="11" s="1"/>
  <c r="B95" i="11"/>
  <c r="O95" i="11" s="1"/>
  <c r="B115" i="11"/>
  <c r="O115" i="11" s="1"/>
  <c r="B171" i="11"/>
  <c r="O171" i="11" s="1"/>
  <c r="B111" i="11"/>
  <c r="O111" i="11" s="1"/>
  <c r="B90" i="11"/>
  <c r="O90" i="11" s="1"/>
  <c r="B103" i="11"/>
  <c r="O103" i="11" s="1"/>
  <c r="B96" i="11"/>
  <c r="O96" i="11" s="1"/>
  <c r="B91" i="11"/>
  <c r="O91" i="11" s="1"/>
  <c r="B81" i="11"/>
  <c r="O81" i="11" s="1"/>
  <c r="B119" i="11"/>
  <c r="O119" i="11" s="1"/>
  <c r="B94" i="11"/>
  <c r="O94" i="11" s="1"/>
  <c r="B89" i="11"/>
  <c r="O89" i="11" s="1"/>
  <c r="B123" i="11"/>
  <c r="O123" i="11" s="1"/>
  <c r="B112" i="11"/>
  <c r="O112" i="11" s="1"/>
  <c r="B88" i="11"/>
  <c r="O88" i="11" s="1"/>
  <c r="B110" i="11"/>
  <c r="O110" i="11" s="1"/>
  <c r="B79" i="11"/>
  <c r="O79" i="11" s="1"/>
  <c r="B117" i="11"/>
  <c r="O117" i="11" s="1"/>
  <c r="B109" i="11"/>
  <c r="O109" i="11" s="1"/>
  <c r="B114" i="11"/>
  <c r="O114" i="11" s="1"/>
  <c r="B104" i="11"/>
  <c r="O104" i="11" s="1"/>
  <c r="B85" i="11"/>
  <c r="O85" i="11" s="1"/>
  <c r="B83" i="11"/>
  <c r="O83" i="11" s="1"/>
  <c r="B169" i="11"/>
  <c r="O169" i="11" s="1"/>
  <c r="B87" i="11"/>
  <c r="O87" i="11" s="1"/>
  <c r="B97" i="11"/>
  <c r="O97" i="11" s="1"/>
  <c r="B80" i="11"/>
  <c r="O80" i="11" s="1"/>
  <c r="B168" i="11"/>
  <c r="O168" i="11" s="1"/>
  <c r="B106" i="11"/>
  <c r="O106" i="11" s="1"/>
  <c r="B166" i="11"/>
  <c r="O166" i="11" s="1"/>
  <c r="B122" i="11"/>
  <c r="O122" i="11" s="1"/>
  <c r="B99" i="11"/>
  <c r="O99" i="11" s="1"/>
  <c r="B120" i="11"/>
  <c r="O120" i="11" s="1"/>
  <c r="B107" i="11"/>
  <c r="O107" i="11" s="1"/>
  <c r="B93" i="11"/>
  <c r="O93" i="11" s="1"/>
  <c r="B105" i="11"/>
  <c r="O105" i="11" s="1"/>
  <c r="B113" i="11"/>
  <c r="O113" i="11" s="1"/>
  <c r="B101" i="11"/>
  <c r="O101" i="11" s="1"/>
  <c r="B86" i="11"/>
  <c r="O86" i="11" s="1"/>
  <c r="B98" i="11"/>
  <c r="O98" i="11" s="1"/>
  <c r="B102" i="11"/>
  <c r="O102" i="11" s="1"/>
  <c r="B170" i="11"/>
  <c r="O170" i="11" s="1"/>
  <c r="B167" i="11"/>
  <c r="O167" i="11" s="1"/>
  <c r="B78" i="11"/>
  <c r="O78" i="11" s="1"/>
  <c r="B118" i="11"/>
  <c r="O118" i="11" s="1"/>
  <c r="AG78" i="10"/>
  <c r="D30" i="10"/>
  <c r="C30" i="10"/>
  <c r="C55" i="11"/>
  <c r="B55" i="11"/>
  <c r="B56" i="11" s="1"/>
  <c r="C52" i="11"/>
  <c r="C53" i="11" s="1"/>
  <c r="B52" i="11"/>
  <c r="I49" i="11"/>
  <c r="I50" i="11" s="1"/>
  <c r="H49" i="11"/>
  <c r="H50" i="11" s="1"/>
  <c r="C49" i="11"/>
  <c r="C50" i="11" s="1"/>
  <c r="B49" i="11"/>
  <c r="B50" i="11" s="1"/>
  <c r="I46" i="11"/>
  <c r="I47" i="11" s="1"/>
  <c r="H46" i="11"/>
  <c r="H47" i="11" s="1"/>
  <c r="C46" i="11"/>
  <c r="C47" i="11" s="1"/>
  <c r="B46" i="11"/>
  <c r="B47" i="11" s="1"/>
  <c r="I43" i="11"/>
  <c r="I44" i="11" s="1"/>
  <c r="H43" i="11"/>
  <c r="H44" i="11" s="1"/>
  <c r="C43" i="11"/>
  <c r="C44" i="11" s="1"/>
  <c r="B43" i="11"/>
  <c r="B44" i="11" s="1"/>
  <c r="I40" i="11"/>
  <c r="I41" i="11" s="1"/>
  <c r="H40" i="11"/>
  <c r="H41" i="11" s="1"/>
  <c r="J30" i="11"/>
  <c r="I30" i="11"/>
  <c r="D30" i="11"/>
  <c r="C30" i="11"/>
  <c r="K28" i="11"/>
  <c r="J28" i="11"/>
  <c r="I28" i="11"/>
  <c r="E28" i="11"/>
  <c r="D28" i="11"/>
  <c r="C28" i="11"/>
  <c r="C22" i="11"/>
  <c r="B22" i="11"/>
  <c r="B23" i="11" s="1"/>
  <c r="C19" i="11"/>
  <c r="C20" i="11" s="1"/>
  <c r="B19" i="11"/>
  <c r="I16" i="11"/>
  <c r="I17" i="11" s="1"/>
  <c r="H16" i="11"/>
  <c r="H17" i="11" s="1"/>
  <c r="C16" i="11"/>
  <c r="C17" i="11" s="1"/>
  <c r="B16" i="11"/>
  <c r="B17" i="11" s="1"/>
  <c r="I13" i="11"/>
  <c r="I14" i="11" s="1"/>
  <c r="H13" i="11"/>
  <c r="H14" i="11" s="1"/>
  <c r="C13" i="11"/>
  <c r="C14" i="11" s="1"/>
  <c r="B13" i="11"/>
  <c r="B14" i="11" s="1"/>
  <c r="I10" i="11"/>
  <c r="I11" i="11" s="1"/>
  <c r="H10" i="11"/>
  <c r="H11" i="11" s="1"/>
  <c r="C10" i="11"/>
  <c r="C11" i="11" s="1"/>
  <c r="B10" i="11"/>
  <c r="B11" i="11" s="1"/>
  <c r="I7" i="11"/>
  <c r="H7" i="11"/>
  <c r="H8" i="11" s="1"/>
  <c r="I55" i="10"/>
  <c r="I56" i="10" s="1"/>
  <c r="H55" i="10"/>
  <c r="H56" i="10" s="1"/>
  <c r="C55" i="10"/>
  <c r="C56" i="10" s="1"/>
  <c r="B55" i="10"/>
  <c r="B56" i="10" s="1"/>
  <c r="I52" i="10"/>
  <c r="I53" i="10" s="1"/>
  <c r="H52" i="10"/>
  <c r="H53" i="10" s="1"/>
  <c r="C52" i="10"/>
  <c r="C53" i="10" s="1"/>
  <c r="B52" i="10"/>
  <c r="B53" i="10" s="1"/>
  <c r="I49" i="10"/>
  <c r="I50" i="10" s="1"/>
  <c r="H49" i="10"/>
  <c r="H50" i="10" s="1"/>
  <c r="C49" i="10"/>
  <c r="C50" i="10" s="1"/>
  <c r="B49" i="10"/>
  <c r="B50" i="10" s="1"/>
  <c r="I46" i="10"/>
  <c r="I47" i="10" s="1"/>
  <c r="H46" i="10"/>
  <c r="H47" i="10" s="1"/>
  <c r="C46" i="10"/>
  <c r="C47" i="10" s="1"/>
  <c r="B46" i="10"/>
  <c r="B47" i="10" s="1"/>
  <c r="I43" i="10"/>
  <c r="I44" i="10" s="1"/>
  <c r="H43" i="10"/>
  <c r="H44" i="10" s="1"/>
  <c r="C43" i="10"/>
  <c r="C44" i="10" s="1"/>
  <c r="B43" i="10"/>
  <c r="B44" i="10" s="1"/>
  <c r="I40" i="10"/>
  <c r="I41" i="10" s="1"/>
  <c r="H40" i="10"/>
  <c r="H41" i="10" s="1"/>
  <c r="J30" i="10"/>
  <c r="I30" i="10"/>
  <c r="K28" i="10"/>
  <c r="J28" i="10"/>
  <c r="I28" i="10"/>
  <c r="E28" i="10"/>
  <c r="D28" i="10"/>
  <c r="C28" i="10"/>
  <c r="I22" i="10"/>
  <c r="I23" i="10" s="1"/>
  <c r="H22" i="10"/>
  <c r="H23" i="10" s="1"/>
  <c r="C22" i="10"/>
  <c r="C23" i="10" s="1"/>
  <c r="B22" i="10"/>
  <c r="B23" i="10" s="1"/>
  <c r="I19" i="10"/>
  <c r="I20" i="10" s="1"/>
  <c r="H19" i="10"/>
  <c r="H20" i="10" s="1"/>
  <c r="C19" i="10"/>
  <c r="C20" i="10" s="1"/>
  <c r="B19" i="10"/>
  <c r="B20" i="10" s="1"/>
  <c r="I16" i="10"/>
  <c r="I17" i="10" s="1"/>
  <c r="H16" i="10"/>
  <c r="H17" i="10" s="1"/>
  <c r="C16" i="10"/>
  <c r="B16" i="10"/>
  <c r="B17" i="10" s="1"/>
  <c r="I13" i="10"/>
  <c r="I14" i="10" s="1"/>
  <c r="H13" i="10"/>
  <c r="H14" i="10" s="1"/>
  <c r="C13" i="10"/>
  <c r="C14" i="10" s="1"/>
  <c r="B13" i="10"/>
  <c r="B14" i="10" s="1"/>
  <c r="I10" i="10"/>
  <c r="I11" i="10" s="1"/>
  <c r="H10" i="10"/>
  <c r="H11" i="10" s="1"/>
  <c r="C10" i="10"/>
  <c r="C11" i="10" s="1"/>
  <c r="B10" i="10"/>
  <c r="B11" i="10" s="1"/>
  <c r="I7" i="10"/>
  <c r="I8" i="10" s="1"/>
  <c r="H7" i="10"/>
  <c r="H8" i="10" s="1"/>
  <c r="A36" i="7" l="1"/>
  <c r="H40" i="7"/>
  <c r="A35" i="7"/>
  <c r="H39" i="7"/>
  <c r="CI109" i="6"/>
  <c r="CI108" i="6"/>
  <c r="CI107" i="6"/>
  <c r="CI106" i="6"/>
  <c r="CI105" i="6"/>
  <c r="AG79" i="10"/>
  <c r="A79" i="10" s="1"/>
  <c r="A78" i="10"/>
  <c r="AG81" i="11"/>
  <c r="A80" i="11"/>
  <c r="CJ94" i="6"/>
  <c r="CK94" i="6" s="1"/>
  <c r="CL94" i="6" s="1"/>
  <c r="CM94" i="6" s="1"/>
  <c r="CN94" i="6" s="1"/>
  <c r="CO94" i="6" s="1"/>
  <c r="CP94" i="6" s="1"/>
  <c r="CQ94" i="6" s="1"/>
  <c r="CR94" i="6" s="1"/>
  <c r="CS94" i="6" s="1"/>
  <c r="CT94" i="6" s="1"/>
  <c r="CU94" i="6" s="1"/>
  <c r="CV94" i="6" s="1"/>
  <c r="CI99" i="6"/>
  <c r="CI97" i="6"/>
  <c r="CI104" i="6"/>
  <c r="CI102" i="6"/>
  <c r="CI100" i="6"/>
  <c r="CI98" i="6"/>
  <c r="CI96" i="6"/>
  <c r="CI103" i="6"/>
  <c r="CI101" i="6"/>
  <c r="A90" i="7"/>
  <c r="A80" i="7"/>
  <c r="A73" i="7"/>
  <c r="A79" i="7"/>
  <c r="A89" i="7"/>
  <c r="A86" i="7"/>
  <c r="A83" i="7"/>
  <c r="A78" i="7"/>
  <c r="A77" i="7"/>
  <c r="A88" i="7"/>
  <c r="A85" i="7"/>
  <c r="A76" i="7"/>
  <c r="A92" i="7"/>
  <c r="A82" i="7"/>
  <c r="A75" i="7"/>
  <c r="A91" i="7"/>
  <c r="A74" i="7"/>
  <c r="A87" i="7"/>
  <c r="A84" i="7"/>
  <c r="A81" i="7"/>
  <c r="B73" i="7"/>
  <c r="E75" i="7"/>
  <c r="E79" i="7" s="1"/>
  <c r="G79" i="7" s="1"/>
  <c r="P125" i="11"/>
  <c r="D125" i="11"/>
  <c r="O128" i="11"/>
  <c r="P126" i="11"/>
  <c r="D126" i="11"/>
  <c r="O127" i="11"/>
  <c r="P127" i="11"/>
  <c r="D127" i="11"/>
  <c r="O126" i="11"/>
  <c r="P128" i="11"/>
  <c r="D128" i="11"/>
  <c r="O125" i="11"/>
  <c r="O131" i="11"/>
  <c r="P129" i="11"/>
  <c r="Q129" i="11" s="1"/>
  <c r="D129" i="11"/>
  <c r="O130" i="11"/>
  <c r="P130" i="11"/>
  <c r="D130" i="11"/>
  <c r="P131" i="11"/>
  <c r="D131" i="11"/>
  <c r="O136" i="11"/>
  <c r="P145" i="11"/>
  <c r="Q145" i="11" s="1"/>
  <c r="D145" i="11"/>
  <c r="P137" i="11"/>
  <c r="D137" i="11"/>
  <c r="P142" i="11"/>
  <c r="Q142" i="11" s="1"/>
  <c r="D142" i="11"/>
  <c r="P138" i="11"/>
  <c r="D138" i="11"/>
  <c r="O135" i="11"/>
  <c r="D146" i="11"/>
  <c r="P146" i="11"/>
  <c r="Q146" i="11" s="1"/>
  <c r="D147" i="11"/>
  <c r="P147" i="11"/>
  <c r="Q147" i="11" s="1"/>
  <c r="P136" i="11"/>
  <c r="D136" i="11"/>
  <c r="P135" i="11"/>
  <c r="D135" i="11"/>
  <c r="O134" i="11"/>
  <c r="P139" i="11"/>
  <c r="D139" i="11"/>
  <c r="P144" i="11"/>
  <c r="Q144" i="11" s="1"/>
  <c r="D144" i="11"/>
  <c r="P143" i="11"/>
  <c r="Q143" i="11" s="1"/>
  <c r="D143" i="11"/>
  <c r="O137" i="11"/>
  <c r="O133" i="11"/>
  <c r="P133" i="11"/>
  <c r="D133" i="11"/>
  <c r="O139" i="11"/>
  <c r="P141" i="11"/>
  <c r="Q141" i="11" s="1"/>
  <c r="D141" i="11"/>
  <c r="P134" i="11"/>
  <c r="D134" i="11"/>
  <c r="O138" i="11"/>
  <c r="P151" i="11"/>
  <c r="Q151" i="11" s="1"/>
  <c r="D151" i="11"/>
  <c r="P155" i="11"/>
  <c r="Q155" i="11" s="1"/>
  <c r="D155" i="11"/>
  <c r="P152" i="11"/>
  <c r="Q152" i="11" s="1"/>
  <c r="D152" i="11"/>
  <c r="P149" i="11"/>
  <c r="Q149" i="11" s="1"/>
  <c r="D149" i="11"/>
  <c r="P153" i="11"/>
  <c r="Q153" i="11" s="1"/>
  <c r="D153" i="11"/>
  <c r="P150" i="11"/>
  <c r="Q150" i="11" s="1"/>
  <c r="D150" i="11"/>
  <c r="P154" i="11"/>
  <c r="Q154" i="11" s="1"/>
  <c r="D154" i="11"/>
  <c r="P161" i="11"/>
  <c r="Q161" i="11" s="1"/>
  <c r="D161" i="11"/>
  <c r="P162" i="11"/>
  <c r="D162" i="11"/>
  <c r="P163" i="11"/>
  <c r="D163" i="11"/>
  <c r="O157" i="11"/>
  <c r="O163" i="11"/>
  <c r="O162" i="11"/>
  <c r="O158" i="11"/>
  <c r="O160" i="11"/>
  <c r="P157" i="11"/>
  <c r="D157" i="11"/>
  <c r="P158" i="11"/>
  <c r="D158" i="11"/>
  <c r="P160" i="11"/>
  <c r="D160" i="11"/>
  <c r="O159" i="11"/>
  <c r="P159" i="11"/>
  <c r="D159" i="11"/>
  <c r="BM94" i="7"/>
  <c r="CG73" i="7"/>
  <c r="CG74" i="7" s="1"/>
  <c r="CG75" i="7" s="1"/>
  <c r="CG76" i="7" s="1"/>
  <c r="CG77" i="7" s="1"/>
  <c r="CG78" i="7" s="1"/>
  <c r="CG79" i="7" s="1"/>
  <c r="CG80" i="7" s="1"/>
  <c r="CG81" i="7" s="1"/>
  <c r="CG82" i="7" s="1"/>
  <c r="CG83" i="7" s="1"/>
  <c r="CG84" i="7" s="1"/>
  <c r="CG85" i="7" s="1"/>
  <c r="CG86" i="7" s="1"/>
  <c r="CG87" i="7" s="1"/>
  <c r="CG88" i="7" s="1"/>
  <c r="CG89" i="7" s="1"/>
  <c r="CG90" i="7" s="1"/>
  <c r="CG91" i="7" s="1"/>
  <c r="CG92" i="7" s="1"/>
  <c r="CG93" i="7" s="1"/>
  <c r="BN37" i="7"/>
  <c r="B62" i="11"/>
  <c r="A40" i="11" s="1"/>
  <c r="CG12" i="7"/>
  <c r="I8" i="11"/>
  <c r="B20" i="11"/>
  <c r="B171" i="10"/>
  <c r="O171" i="10" s="1"/>
  <c r="B167" i="10"/>
  <c r="O167" i="10" s="1"/>
  <c r="B163" i="10"/>
  <c r="O163" i="10" s="1"/>
  <c r="B159" i="10"/>
  <c r="O159" i="10" s="1"/>
  <c r="B155" i="10"/>
  <c r="O155" i="10" s="1"/>
  <c r="B151" i="10"/>
  <c r="O151" i="10" s="1"/>
  <c r="B144" i="10"/>
  <c r="O144" i="10" s="1"/>
  <c r="B139" i="10"/>
  <c r="O139" i="10" s="1"/>
  <c r="B135" i="10"/>
  <c r="O135" i="10" s="1"/>
  <c r="B130" i="10"/>
  <c r="O130" i="10" s="1"/>
  <c r="B126" i="10"/>
  <c r="O126" i="10" s="1"/>
  <c r="B121" i="10"/>
  <c r="O121" i="10" s="1"/>
  <c r="B117" i="10"/>
  <c r="O117" i="10" s="1"/>
  <c r="B112" i="10"/>
  <c r="O112" i="10" s="1"/>
  <c r="B102" i="10"/>
  <c r="O102" i="10" s="1"/>
  <c r="B98" i="10"/>
  <c r="O98" i="10" s="1"/>
  <c r="B107" i="10"/>
  <c r="O107" i="10" s="1"/>
  <c r="B95" i="10"/>
  <c r="O95" i="10" s="1"/>
  <c r="B93" i="10"/>
  <c r="O93" i="10" s="1"/>
  <c r="B170" i="10"/>
  <c r="O170" i="10" s="1"/>
  <c r="B166" i="10"/>
  <c r="O166" i="10" s="1"/>
  <c r="B162" i="10"/>
  <c r="O162" i="10" s="1"/>
  <c r="B158" i="10"/>
  <c r="O158" i="10" s="1"/>
  <c r="B154" i="10"/>
  <c r="O154" i="10" s="1"/>
  <c r="B150" i="10"/>
  <c r="O150" i="10" s="1"/>
  <c r="B147" i="10"/>
  <c r="O147" i="10" s="1"/>
  <c r="B143" i="10"/>
  <c r="O143" i="10" s="1"/>
  <c r="B138" i="10"/>
  <c r="O138" i="10" s="1"/>
  <c r="B134" i="10"/>
  <c r="O134" i="10" s="1"/>
  <c r="B129" i="10"/>
  <c r="O129" i="10" s="1"/>
  <c r="B125" i="10"/>
  <c r="O125" i="10" s="1"/>
  <c r="B120" i="10"/>
  <c r="O120" i="10" s="1"/>
  <c r="B115" i="10"/>
  <c r="O115" i="10" s="1"/>
  <c r="B111" i="10"/>
  <c r="O111" i="10" s="1"/>
  <c r="B104" i="10"/>
  <c r="O104" i="10" s="1"/>
  <c r="B101" i="10"/>
  <c r="O101" i="10" s="1"/>
  <c r="B97" i="10"/>
  <c r="O97" i="10" s="1"/>
  <c r="B169" i="10"/>
  <c r="O169" i="10" s="1"/>
  <c r="B161" i="10"/>
  <c r="O161" i="10" s="1"/>
  <c r="B153" i="10"/>
  <c r="O153" i="10" s="1"/>
  <c r="B146" i="10"/>
  <c r="O146" i="10" s="1"/>
  <c r="B142" i="10"/>
  <c r="O142" i="10" s="1"/>
  <c r="B137" i="10"/>
  <c r="O137" i="10" s="1"/>
  <c r="B133" i="10"/>
  <c r="O133" i="10" s="1"/>
  <c r="B128" i="10"/>
  <c r="O128" i="10" s="1"/>
  <c r="B123" i="10"/>
  <c r="O123" i="10" s="1"/>
  <c r="B119" i="10"/>
  <c r="O119" i="10" s="1"/>
  <c r="B114" i="10"/>
  <c r="O114" i="10" s="1"/>
  <c r="B110" i="10"/>
  <c r="O110" i="10" s="1"/>
  <c r="B106" i="10"/>
  <c r="O106" i="10" s="1"/>
  <c r="B94" i="10"/>
  <c r="O94" i="10" s="1"/>
  <c r="B103" i="10"/>
  <c r="O103" i="10" s="1"/>
  <c r="B99" i="10"/>
  <c r="O99" i="10" s="1"/>
  <c r="B165" i="10"/>
  <c r="O165" i="10" s="1"/>
  <c r="B157" i="10"/>
  <c r="O157" i="10" s="1"/>
  <c r="B149" i="10"/>
  <c r="O149" i="10" s="1"/>
  <c r="B96" i="10"/>
  <c r="O96" i="10" s="1"/>
  <c r="B168" i="10"/>
  <c r="O168" i="10" s="1"/>
  <c r="B160" i="10"/>
  <c r="O160" i="10" s="1"/>
  <c r="B152" i="10"/>
  <c r="O152" i="10" s="1"/>
  <c r="B145" i="10"/>
  <c r="O145" i="10" s="1"/>
  <c r="B141" i="10"/>
  <c r="O141" i="10" s="1"/>
  <c r="B136" i="10"/>
  <c r="O136" i="10" s="1"/>
  <c r="B131" i="10"/>
  <c r="O131" i="10" s="1"/>
  <c r="B127" i="10"/>
  <c r="O127" i="10" s="1"/>
  <c r="B122" i="10"/>
  <c r="O122" i="10" s="1"/>
  <c r="B118" i="10"/>
  <c r="O118" i="10" s="1"/>
  <c r="B113" i="10"/>
  <c r="O113" i="10" s="1"/>
  <c r="B109" i="10"/>
  <c r="O109" i="10" s="1"/>
  <c r="B105" i="10"/>
  <c r="O105" i="10" s="1"/>
  <c r="B91" i="10"/>
  <c r="O91" i="10" s="1"/>
  <c r="B87" i="10"/>
  <c r="O87" i="10" s="1"/>
  <c r="B90" i="10"/>
  <c r="O90" i="10" s="1"/>
  <c r="B86" i="10"/>
  <c r="O86" i="10" s="1"/>
  <c r="B89" i="10"/>
  <c r="O89" i="10" s="1"/>
  <c r="B85" i="10"/>
  <c r="O85" i="10" s="1"/>
  <c r="B88" i="10"/>
  <c r="O88" i="10" s="1"/>
  <c r="B77" i="10"/>
  <c r="B62" i="10" s="1"/>
  <c r="B81" i="10"/>
  <c r="O81" i="10" s="1"/>
  <c r="B78" i="10"/>
  <c r="O78" i="10" s="1"/>
  <c r="B82" i="10"/>
  <c r="O82" i="10" s="1"/>
  <c r="B79" i="10"/>
  <c r="O79" i="10" s="1"/>
  <c r="B83" i="10"/>
  <c r="O83" i="10" s="1"/>
  <c r="B80" i="10"/>
  <c r="O80" i="10" s="1"/>
  <c r="C17" i="10"/>
  <c r="B53" i="11"/>
  <c r="C23" i="11"/>
  <c r="C56" i="11"/>
  <c r="A37" i="7" l="1"/>
  <c r="H41" i="7"/>
  <c r="AG80" i="10"/>
  <c r="A80" i="10" s="1"/>
  <c r="Q127" i="11"/>
  <c r="AG82" i="11"/>
  <c r="A81" i="11"/>
  <c r="Q128" i="11"/>
  <c r="U128" i="11" s="1"/>
  <c r="V128" i="11" s="1"/>
  <c r="A109" i="7"/>
  <c r="A106" i="7"/>
  <c r="A97" i="7"/>
  <c r="A113" i="7"/>
  <c r="A103" i="7"/>
  <c r="A96" i="7"/>
  <c r="A112" i="7"/>
  <c r="A95" i="7"/>
  <c r="A108" i="7"/>
  <c r="A105" i="7"/>
  <c r="A102" i="7"/>
  <c r="B94" i="7"/>
  <c r="A111" i="7"/>
  <c r="A101" i="7"/>
  <c r="A94" i="7"/>
  <c r="A100" i="7"/>
  <c r="A110" i="7"/>
  <c r="A107" i="7"/>
  <c r="A104" i="7"/>
  <c r="A99" i="7"/>
  <c r="A98" i="7"/>
  <c r="E96" i="7"/>
  <c r="E100" i="7" s="1"/>
  <c r="G100" i="7" s="1"/>
  <c r="Q134" i="11"/>
  <c r="Q130" i="11"/>
  <c r="U130" i="11" s="1"/>
  <c r="V130" i="11" s="1"/>
  <c r="Q126" i="11"/>
  <c r="Q136" i="11"/>
  <c r="R136" i="11" s="1"/>
  <c r="S136" i="11" s="1"/>
  <c r="I131" i="11"/>
  <c r="J131" i="11" s="1"/>
  <c r="H131" i="11"/>
  <c r="L131" i="11" s="1"/>
  <c r="K131" i="11"/>
  <c r="M131" i="11" s="1"/>
  <c r="R129" i="11"/>
  <c r="S129" i="11" s="1"/>
  <c r="W129" i="11"/>
  <c r="Y129" i="11" s="1"/>
  <c r="U129" i="11"/>
  <c r="V129" i="11" s="1"/>
  <c r="T129" i="11"/>
  <c r="X129" i="11" s="1"/>
  <c r="Q131" i="11"/>
  <c r="Q135" i="11"/>
  <c r="I130" i="11"/>
  <c r="J130" i="11" s="1"/>
  <c r="H130" i="11"/>
  <c r="L130" i="11" s="1"/>
  <c r="K130" i="11"/>
  <c r="M130" i="11" s="1"/>
  <c r="A53" i="11"/>
  <c r="I129" i="11"/>
  <c r="J129" i="11" s="1"/>
  <c r="H129" i="11"/>
  <c r="L129" i="11" s="1"/>
  <c r="K129" i="11"/>
  <c r="M129" i="11" s="1"/>
  <c r="I128" i="11"/>
  <c r="J128" i="11" s="1"/>
  <c r="H128" i="11"/>
  <c r="L128" i="11" s="1"/>
  <c r="K128" i="11"/>
  <c r="M128" i="11" s="1"/>
  <c r="Q125" i="11"/>
  <c r="Q133" i="11"/>
  <c r="W146" i="11"/>
  <c r="Y146" i="11" s="1"/>
  <c r="U146" i="11"/>
  <c r="V146" i="11" s="1"/>
  <c r="T146" i="11"/>
  <c r="X146" i="11" s="1"/>
  <c r="R146" i="11"/>
  <c r="S146" i="11" s="1"/>
  <c r="K146" i="11"/>
  <c r="M146" i="11" s="1"/>
  <c r="I146" i="11"/>
  <c r="J146" i="11" s="1"/>
  <c r="H146" i="11"/>
  <c r="L146" i="11" s="1"/>
  <c r="I137" i="11"/>
  <c r="J137" i="11" s="1"/>
  <c r="H137" i="11"/>
  <c r="L137" i="11" s="1"/>
  <c r="K137" i="11"/>
  <c r="M137" i="11" s="1"/>
  <c r="Q137" i="11"/>
  <c r="K144" i="11"/>
  <c r="M144" i="11" s="1"/>
  <c r="I144" i="11"/>
  <c r="J144" i="11" s="1"/>
  <c r="H144" i="11"/>
  <c r="L144" i="11" s="1"/>
  <c r="I145" i="11"/>
  <c r="J145" i="11" s="1"/>
  <c r="H145" i="11"/>
  <c r="L145" i="11" s="1"/>
  <c r="K145" i="11"/>
  <c r="M145" i="11" s="1"/>
  <c r="W144" i="11"/>
  <c r="Y144" i="11" s="1"/>
  <c r="U144" i="11"/>
  <c r="V144" i="11" s="1"/>
  <c r="T144" i="11"/>
  <c r="X144" i="11" s="1"/>
  <c r="R144" i="11"/>
  <c r="S144" i="11" s="1"/>
  <c r="I136" i="11"/>
  <c r="J136" i="11" s="1"/>
  <c r="H136" i="11"/>
  <c r="L136" i="11" s="1"/>
  <c r="K136" i="11"/>
  <c r="M136" i="11" s="1"/>
  <c r="R145" i="11"/>
  <c r="S145" i="11" s="1"/>
  <c r="W145" i="11"/>
  <c r="Y145" i="11" s="1"/>
  <c r="U145" i="11"/>
  <c r="V145" i="11" s="1"/>
  <c r="T145" i="11"/>
  <c r="X145" i="11" s="1"/>
  <c r="Q160" i="11"/>
  <c r="R160" i="11" s="1"/>
  <c r="S160" i="11" s="1"/>
  <c r="I139" i="11"/>
  <c r="J139" i="11" s="1"/>
  <c r="H139" i="11"/>
  <c r="L139" i="11" s="1"/>
  <c r="K139" i="11"/>
  <c r="M139" i="11" s="1"/>
  <c r="I138" i="11"/>
  <c r="J138" i="11" s="1"/>
  <c r="H138" i="11"/>
  <c r="L138" i="11" s="1"/>
  <c r="K138" i="11"/>
  <c r="M138" i="11" s="1"/>
  <c r="Q139" i="11"/>
  <c r="R147" i="11"/>
  <c r="S147" i="11" s="1"/>
  <c r="W147" i="11"/>
  <c r="Y147" i="11" s="1"/>
  <c r="U147" i="11"/>
  <c r="V147" i="11" s="1"/>
  <c r="T147" i="11"/>
  <c r="X147" i="11" s="1"/>
  <c r="Q138" i="11"/>
  <c r="K147" i="11"/>
  <c r="M147" i="11" s="1"/>
  <c r="I147" i="11"/>
  <c r="J147" i="11" s="1"/>
  <c r="H147" i="11"/>
  <c r="L147" i="11" s="1"/>
  <c r="K153" i="11"/>
  <c r="M153" i="11" s="1"/>
  <c r="I153" i="11"/>
  <c r="J153" i="11" s="1"/>
  <c r="H153" i="11"/>
  <c r="L153" i="11" s="1"/>
  <c r="R153" i="11"/>
  <c r="S153" i="11" s="1"/>
  <c r="W153" i="11"/>
  <c r="Y153" i="11" s="1"/>
  <c r="U153" i="11"/>
  <c r="V153" i="11" s="1"/>
  <c r="T153" i="11"/>
  <c r="X153" i="11" s="1"/>
  <c r="I154" i="11"/>
  <c r="J154" i="11" s="1"/>
  <c r="H154" i="11"/>
  <c r="L154" i="11" s="1"/>
  <c r="K154" i="11"/>
  <c r="M154" i="11" s="1"/>
  <c r="R154" i="11"/>
  <c r="S154" i="11" s="1"/>
  <c r="U154" i="11"/>
  <c r="V154" i="11" s="1"/>
  <c r="W154" i="11"/>
  <c r="Y154" i="11" s="1"/>
  <c r="T154" i="11"/>
  <c r="X154" i="11" s="1"/>
  <c r="I155" i="11"/>
  <c r="J155" i="11" s="1"/>
  <c r="H155" i="11"/>
  <c r="L155" i="11" s="1"/>
  <c r="K155" i="11"/>
  <c r="M155" i="11" s="1"/>
  <c r="H152" i="11"/>
  <c r="L152" i="11" s="1"/>
  <c r="K152" i="11"/>
  <c r="M152" i="11" s="1"/>
  <c r="I152" i="11"/>
  <c r="J152" i="11" s="1"/>
  <c r="U155" i="11"/>
  <c r="V155" i="11" s="1"/>
  <c r="R155" i="11"/>
  <c r="S155" i="11" s="1"/>
  <c r="W155" i="11"/>
  <c r="Y155" i="11" s="1"/>
  <c r="T155" i="11"/>
  <c r="X155" i="11" s="1"/>
  <c r="W152" i="11"/>
  <c r="Y152" i="11" s="1"/>
  <c r="U152" i="11"/>
  <c r="V152" i="11" s="1"/>
  <c r="T152" i="11"/>
  <c r="X152" i="11" s="1"/>
  <c r="R152" i="11"/>
  <c r="S152" i="11" s="1"/>
  <c r="Q158" i="11"/>
  <c r="Q159" i="11"/>
  <c r="Q163" i="11"/>
  <c r="U163" i="11" s="1"/>
  <c r="V163" i="11" s="1"/>
  <c r="A50" i="11"/>
  <c r="A44" i="11"/>
  <c r="Q157" i="11"/>
  <c r="I163" i="11"/>
  <c r="J163" i="11" s="1"/>
  <c r="H163" i="11"/>
  <c r="L163" i="11" s="1"/>
  <c r="K163" i="11"/>
  <c r="M163" i="11" s="1"/>
  <c r="A49" i="11"/>
  <c r="I162" i="11"/>
  <c r="J162" i="11" s="1"/>
  <c r="H162" i="11"/>
  <c r="L162" i="11" s="1"/>
  <c r="K162" i="11"/>
  <c r="M162" i="11" s="1"/>
  <c r="A56" i="11"/>
  <c r="Q162" i="11"/>
  <c r="I160" i="11"/>
  <c r="J160" i="11" s="1"/>
  <c r="H160" i="11"/>
  <c r="L160" i="11" s="1"/>
  <c r="K160" i="11"/>
  <c r="M160" i="11" s="1"/>
  <c r="I161" i="11"/>
  <c r="J161" i="11" s="1"/>
  <c r="H161" i="11"/>
  <c r="L161" i="11" s="1"/>
  <c r="K161" i="11"/>
  <c r="M161" i="11" s="1"/>
  <c r="A43" i="11"/>
  <c r="R161" i="11"/>
  <c r="S161" i="11" s="1"/>
  <c r="W161" i="11"/>
  <c r="Y161" i="11" s="1"/>
  <c r="U161" i="11"/>
  <c r="V161" i="11" s="1"/>
  <c r="T161" i="11"/>
  <c r="X161" i="11" s="1"/>
  <c r="BM115" i="7"/>
  <c r="CG94" i="7"/>
  <c r="CG95" i="7" s="1"/>
  <c r="CG96" i="7" s="1"/>
  <c r="CG97" i="7" s="1"/>
  <c r="CG98" i="7" s="1"/>
  <c r="CG99" i="7" s="1"/>
  <c r="CG100" i="7" s="1"/>
  <c r="CG101" i="7" s="1"/>
  <c r="CG102" i="7" s="1"/>
  <c r="CG103" i="7" s="1"/>
  <c r="CG104" i="7" s="1"/>
  <c r="CG105" i="7" s="1"/>
  <c r="CG106" i="7" s="1"/>
  <c r="CG107" i="7" s="1"/>
  <c r="CG108" i="7" s="1"/>
  <c r="CG109" i="7" s="1"/>
  <c r="CG110" i="7" s="1"/>
  <c r="CG111" i="7" s="1"/>
  <c r="CG112" i="7" s="1"/>
  <c r="CG113" i="7" s="1"/>
  <c r="CG114" i="7" s="1"/>
  <c r="A55" i="11"/>
  <c r="A47" i="11"/>
  <c r="A52" i="11"/>
  <c r="A45" i="11"/>
  <c r="B29" i="11"/>
  <c r="A11" i="11" s="1"/>
  <c r="A54" i="11"/>
  <c r="H62" i="11"/>
  <c r="G55" i="11" s="1"/>
  <c r="A48" i="11"/>
  <c r="BN38" i="7"/>
  <c r="A41" i="11"/>
  <c r="C63" i="11"/>
  <c r="A39" i="11"/>
  <c r="A46" i="11"/>
  <c r="A51" i="11"/>
  <c r="A42" i="11"/>
  <c r="CG13" i="7"/>
  <c r="B29" i="10"/>
  <c r="O77" i="10"/>
  <c r="AG81" i="10"/>
  <c r="A81" i="10" s="1"/>
  <c r="A38" i="7" l="1"/>
  <c r="H42" i="7"/>
  <c r="I158" i="11"/>
  <c r="J158" i="11" s="1"/>
  <c r="AG83" i="11"/>
  <c r="A82" i="11"/>
  <c r="T128" i="11"/>
  <c r="X128" i="11" s="1"/>
  <c r="W128" i="11"/>
  <c r="Y128" i="11" s="1"/>
  <c r="R128" i="11"/>
  <c r="S128" i="11" s="1"/>
  <c r="W136" i="11"/>
  <c r="Y136" i="11" s="1"/>
  <c r="G49" i="11"/>
  <c r="G40" i="11"/>
  <c r="A132" i="7"/>
  <c r="A122" i="7"/>
  <c r="A115" i="7"/>
  <c r="A121" i="7"/>
  <c r="A131" i="7"/>
  <c r="A128" i="7"/>
  <c r="A125" i="7"/>
  <c r="A120" i="7"/>
  <c r="A119" i="7"/>
  <c r="A130" i="7"/>
  <c r="A127" i="7"/>
  <c r="A118" i="7"/>
  <c r="A134" i="7"/>
  <c r="A124" i="7"/>
  <c r="A117" i="7"/>
  <c r="A133" i="7"/>
  <c r="A116" i="7"/>
  <c r="A129" i="7"/>
  <c r="A126" i="7"/>
  <c r="A123" i="7"/>
  <c r="B115" i="7"/>
  <c r="E117" i="7"/>
  <c r="E121" i="7" s="1"/>
  <c r="G121" i="7" s="1"/>
  <c r="A12" i="11"/>
  <c r="C29" i="11"/>
  <c r="H29" i="11"/>
  <c r="G8" i="11" s="1"/>
  <c r="A23" i="11"/>
  <c r="A21" i="11"/>
  <c r="A19" i="11"/>
  <c r="A9" i="11"/>
  <c r="A13" i="11"/>
  <c r="A6" i="11"/>
  <c r="A18" i="11"/>
  <c r="A8" i="11"/>
  <c r="A15" i="11"/>
  <c r="W130" i="11"/>
  <c r="Y130" i="11" s="1"/>
  <c r="R130" i="11"/>
  <c r="S130" i="11" s="1"/>
  <c r="T130" i="11"/>
  <c r="X130" i="11" s="1"/>
  <c r="T136" i="11"/>
  <c r="X136" i="11" s="1"/>
  <c r="U136" i="11"/>
  <c r="V136" i="11" s="1"/>
  <c r="G41" i="11"/>
  <c r="E127" i="11"/>
  <c r="F127" i="11" s="1"/>
  <c r="T160" i="11"/>
  <c r="X160" i="11" s="1"/>
  <c r="U160" i="11"/>
  <c r="V160" i="11" s="1"/>
  <c r="W160" i="11"/>
  <c r="Y160" i="11" s="1"/>
  <c r="I125" i="11"/>
  <c r="E131" i="11"/>
  <c r="F131" i="11" s="1"/>
  <c r="G39" i="11"/>
  <c r="E128" i="11"/>
  <c r="F128" i="11" s="1"/>
  <c r="I127" i="11"/>
  <c r="G45" i="11"/>
  <c r="G44" i="11"/>
  <c r="G42" i="11"/>
  <c r="E130" i="11"/>
  <c r="F130" i="11" s="1"/>
  <c r="R131" i="11"/>
  <c r="S131" i="11" s="1"/>
  <c r="W131" i="11"/>
  <c r="Y131" i="11" s="1"/>
  <c r="U131" i="11"/>
  <c r="V131" i="11" s="1"/>
  <c r="T131" i="11"/>
  <c r="X131" i="11" s="1"/>
  <c r="G53" i="11"/>
  <c r="E29" i="11"/>
  <c r="G54" i="11"/>
  <c r="A16" i="11"/>
  <c r="E126" i="11"/>
  <c r="G47" i="11"/>
  <c r="G51" i="11"/>
  <c r="E129" i="11"/>
  <c r="F129" i="11" s="1"/>
  <c r="E125" i="11"/>
  <c r="I126" i="11"/>
  <c r="G52" i="11"/>
  <c r="G46" i="11"/>
  <c r="A20" i="11"/>
  <c r="E142" i="11"/>
  <c r="R138" i="11"/>
  <c r="S138" i="11" s="1"/>
  <c r="U138" i="11"/>
  <c r="V138" i="11" s="1"/>
  <c r="W138" i="11"/>
  <c r="Y138" i="11" s="1"/>
  <c r="T138" i="11"/>
  <c r="X138" i="11" s="1"/>
  <c r="E135" i="11"/>
  <c r="I141" i="11"/>
  <c r="I142" i="11"/>
  <c r="E143" i="11"/>
  <c r="E138" i="11"/>
  <c r="F138" i="11" s="1"/>
  <c r="E139" i="11"/>
  <c r="F139" i="11" s="1"/>
  <c r="E144" i="11"/>
  <c r="F144" i="11" s="1"/>
  <c r="E146" i="11"/>
  <c r="F146" i="11" s="1"/>
  <c r="E147" i="11"/>
  <c r="F147" i="11" s="1"/>
  <c r="I135" i="11"/>
  <c r="E133" i="11"/>
  <c r="E137" i="11"/>
  <c r="F137" i="11" s="1"/>
  <c r="I133" i="11"/>
  <c r="R139" i="11"/>
  <c r="S139" i="11" s="1"/>
  <c r="W139" i="11"/>
  <c r="Y139" i="11" s="1"/>
  <c r="U139" i="11"/>
  <c r="V139" i="11" s="1"/>
  <c r="T139" i="11"/>
  <c r="X139" i="11" s="1"/>
  <c r="E134" i="11"/>
  <c r="G48" i="11"/>
  <c r="G56" i="11"/>
  <c r="A14" i="11"/>
  <c r="E136" i="11"/>
  <c r="F136" i="11" s="1"/>
  <c r="E145" i="11"/>
  <c r="F145" i="11" s="1"/>
  <c r="R137" i="11"/>
  <c r="S137" i="11" s="1"/>
  <c r="U137" i="11"/>
  <c r="V137" i="11" s="1"/>
  <c r="W137" i="11"/>
  <c r="Y137" i="11" s="1"/>
  <c r="T137" i="11"/>
  <c r="X137" i="11" s="1"/>
  <c r="E141" i="11"/>
  <c r="I143" i="11"/>
  <c r="I134" i="11"/>
  <c r="T163" i="11"/>
  <c r="X163" i="11" s="1"/>
  <c r="W163" i="11"/>
  <c r="Y163" i="11" s="1"/>
  <c r="R163" i="11"/>
  <c r="S163" i="11" s="1"/>
  <c r="E150" i="11"/>
  <c r="I151" i="11"/>
  <c r="C64" i="11"/>
  <c r="C65" i="11" s="1"/>
  <c r="C66" i="11" s="1"/>
  <c r="E66" i="11" s="1"/>
  <c r="E155" i="11"/>
  <c r="F155" i="11" s="1"/>
  <c r="E151" i="11"/>
  <c r="E154" i="11"/>
  <c r="F154" i="11" s="1"/>
  <c r="A17" i="11"/>
  <c r="E152" i="11"/>
  <c r="F152" i="11" s="1"/>
  <c r="E163" i="11"/>
  <c r="F163" i="11" s="1"/>
  <c r="E149" i="11"/>
  <c r="E153" i="11"/>
  <c r="F153" i="11" s="1"/>
  <c r="I149" i="11"/>
  <c r="I150" i="11"/>
  <c r="A22" i="11"/>
  <c r="E157" i="11"/>
  <c r="F157" i="11" s="1"/>
  <c r="E159" i="11"/>
  <c r="F159" i="11" s="1"/>
  <c r="I157" i="11"/>
  <c r="J157" i="11" s="1"/>
  <c r="E160" i="11"/>
  <c r="F160" i="11" s="1"/>
  <c r="R162" i="11"/>
  <c r="S162" i="11" s="1"/>
  <c r="W162" i="11"/>
  <c r="Y162" i="11" s="1"/>
  <c r="U162" i="11"/>
  <c r="V162" i="11" s="1"/>
  <c r="T162" i="11"/>
  <c r="X162" i="11" s="1"/>
  <c r="I159" i="11"/>
  <c r="E161" i="11"/>
  <c r="F161" i="11" s="1"/>
  <c r="E158" i="11"/>
  <c r="D29" i="11"/>
  <c r="A7" i="11"/>
  <c r="I63" i="11"/>
  <c r="A10" i="11"/>
  <c r="E162" i="11"/>
  <c r="F162" i="11" s="1"/>
  <c r="BM136" i="7"/>
  <c r="CG115" i="7"/>
  <c r="CG116" i="7" s="1"/>
  <c r="CG117" i="7" s="1"/>
  <c r="CG118" i="7" s="1"/>
  <c r="CG119" i="7" s="1"/>
  <c r="CG120" i="7" s="1"/>
  <c r="CG121" i="7" s="1"/>
  <c r="CG122" i="7" s="1"/>
  <c r="CG123" i="7" s="1"/>
  <c r="CG124" i="7" s="1"/>
  <c r="CG125" i="7" s="1"/>
  <c r="CG126" i="7" s="1"/>
  <c r="CG127" i="7" s="1"/>
  <c r="CG128" i="7" s="1"/>
  <c r="CG129" i="7" s="1"/>
  <c r="CG130" i="7" s="1"/>
  <c r="CG131" i="7" s="1"/>
  <c r="CG132" i="7" s="1"/>
  <c r="CG133" i="7" s="1"/>
  <c r="CG134" i="7" s="1"/>
  <c r="CG135" i="7" s="1"/>
  <c r="C67" i="11"/>
  <c r="C68" i="11" s="1"/>
  <c r="C69" i="11" s="1"/>
  <c r="E69" i="11" s="1"/>
  <c r="G50" i="11"/>
  <c r="G43" i="11"/>
  <c r="BN39" i="7"/>
  <c r="CG14" i="7"/>
  <c r="G20" i="11"/>
  <c r="G17" i="11"/>
  <c r="H29" i="10"/>
  <c r="H62" i="10"/>
  <c r="A13" i="10"/>
  <c r="A10" i="10"/>
  <c r="A6" i="10"/>
  <c r="A12" i="10"/>
  <c r="A21" i="10"/>
  <c r="C29" i="10"/>
  <c r="A15" i="10"/>
  <c r="A9" i="10"/>
  <c r="E29" i="10"/>
  <c r="D29" i="10"/>
  <c r="A7" i="10"/>
  <c r="A18" i="10"/>
  <c r="A8" i="10"/>
  <c r="A16" i="10"/>
  <c r="A19" i="10"/>
  <c r="A22" i="10"/>
  <c r="A14" i="10"/>
  <c r="A20" i="10"/>
  <c r="A23" i="10"/>
  <c r="A11" i="10"/>
  <c r="A17" i="10"/>
  <c r="C63" i="10"/>
  <c r="A40" i="10"/>
  <c r="A51" i="10"/>
  <c r="A43" i="10"/>
  <c r="A45" i="10"/>
  <c r="A52" i="10"/>
  <c r="A53" i="10"/>
  <c r="A50" i="10"/>
  <c r="A44" i="10"/>
  <c r="A41" i="10"/>
  <c r="A47" i="10"/>
  <c r="A48" i="10"/>
  <c r="A56" i="10"/>
  <c r="A42" i="10"/>
  <c r="A39" i="10"/>
  <c r="A54" i="10"/>
  <c r="A49" i="10"/>
  <c r="A55" i="10"/>
  <c r="A46" i="10"/>
  <c r="AG82" i="10"/>
  <c r="A82" i="10" s="1"/>
  <c r="G23" i="11" l="1"/>
  <c r="G18" i="11"/>
  <c r="A39" i="7"/>
  <c r="H43" i="7"/>
  <c r="G10" i="11"/>
  <c r="K158" i="11"/>
  <c r="M158" i="11" s="1"/>
  <c r="R149" i="11"/>
  <c r="S149" i="11" s="1"/>
  <c r="R143" i="11"/>
  <c r="T143" i="11" s="1"/>
  <c r="X143" i="11" s="1"/>
  <c r="R142" i="11"/>
  <c r="T142" i="11" s="1"/>
  <c r="X142" i="11" s="1"/>
  <c r="U126" i="11"/>
  <c r="V126" i="11" s="1"/>
  <c r="R158" i="11"/>
  <c r="S158" i="11" s="1"/>
  <c r="U134" i="11"/>
  <c r="V134" i="11" s="1"/>
  <c r="R126" i="11"/>
  <c r="S126" i="11" s="1"/>
  <c r="U159" i="11"/>
  <c r="V159" i="11" s="1"/>
  <c r="U158" i="11"/>
  <c r="V158" i="11" s="1"/>
  <c r="R151" i="11"/>
  <c r="S151" i="11" s="1"/>
  <c r="R134" i="11"/>
  <c r="T134" i="11" s="1"/>
  <c r="X134" i="11" s="1"/>
  <c r="R150" i="11"/>
  <c r="T150" i="11" s="1"/>
  <c r="X150" i="11" s="1"/>
  <c r="U150" i="11"/>
  <c r="W150" i="11" s="1"/>
  <c r="Y150" i="11" s="1"/>
  <c r="U151" i="11"/>
  <c r="W151" i="11" s="1"/>
  <c r="Y151" i="11" s="1"/>
  <c r="R135" i="11"/>
  <c r="T135" i="11" s="1"/>
  <c r="X135" i="11" s="1"/>
  <c r="U135" i="11"/>
  <c r="W135" i="11" s="1"/>
  <c r="Y135" i="11" s="1"/>
  <c r="U143" i="11"/>
  <c r="V143" i="11" s="1"/>
  <c r="U142" i="11"/>
  <c r="W142" i="11" s="1"/>
  <c r="Y142" i="11" s="1"/>
  <c r="H127" i="11"/>
  <c r="L127" i="11" s="1"/>
  <c r="A83" i="11"/>
  <c r="AG85" i="11"/>
  <c r="I29" i="11"/>
  <c r="G13" i="11"/>
  <c r="J29" i="11"/>
  <c r="G11" i="11"/>
  <c r="G12" i="11"/>
  <c r="G6" i="11"/>
  <c r="K33" i="11" s="1"/>
  <c r="G7" i="11"/>
  <c r="G19" i="11"/>
  <c r="K29" i="11"/>
  <c r="G22" i="11"/>
  <c r="G14" i="11"/>
  <c r="G15" i="11"/>
  <c r="G16" i="11"/>
  <c r="G9" i="11"/>
  <c r="G21" i="11"/>
  <c r="A151" i="7"/>
  <c r="A148" i="7"/>
  <c r="A139" i="7"/>
  <c r="A155" i="7"/>
  <c r="A145" i="7"/>
  <c r="A138" i="7"/>
  <c r="A154" i="7"/>
  <c r="A137" i="7"/>
  <c r="A150" i="7"/>
  <c r="A147" i="7"/>
  <c r="A144" i="7"/>
  <c r="B136" i="7"/>
  <c r="A153" i="7"/>
  <c r="A143" i="7"/>
  <c r="A136" i="7"/>
  <c r="A142" i="7"/>
  <c r="A152" i="7"/>
  <c r="A149" i="7"/>
  <c r="A146" i="7"/>
  <c r="A141" i="7"/>
  <c r="A140" i="7"/>
  <c r="E138" i="7"/>
  <c r="E142" i="7" s="1"/>
  <c r="G142" i="7" s="1"/>
  <c r="E33" i="11"/>
  <c r="E34" i="11" s="1"/>
  <c r="R141" i="11"/>
  <c r="S141" i="11" s="1"/>
  <c r="T141" i="11" s="1"/>
  <c r="X141" i="11" s="1"/>
  <c r="U141" i="11"/>
  <c r="V141" i="11" s="1"/>
  <c r="U125" i="11"/>
  <c r="V125" i="11" s="1"/>
  <c r="R125" i="11"/>
  <c r="R157" i="11"/>
  <c r="S157" i="11" s="1"/>
  <c r="U133" i="11"/>
  <c r="V133" i="11" s="1"/>
  <c r="I64" i="11"/>
  <c r="I65" i="11" s="1"/>
  <c r="I66" i="11" s="1"/>
  <c r="K66" i="11" s="1"/>
  <c r="U149" i="11"/>
  <c r="V149" i="11" s="1"/>
  <c r="W149" i="11" s="1"/>
  <c r="Y149" i="11" s="1"/>
  <c r="R133" i="11"/>
  <c r="U157" i="11"/>
  <c r="V157" i="11" s="1"/>
  <c r="E31" i="11"/>
  <c r="E32" i="11" s="1"/>
  <c r="D33" i="11"/>
  <c r="D34" i="11" s="1"/>
  <c r="K157" i="11"/>
  <c r="M157" i="11" s="1"/>
  <c r="J127" i="11"/>
  <c r="K127" i="11"/>
  <c r="M127" i="11" s="1"/>
  <c r="I67" i="11"/>
  <c r="I68" i="11" s="1"/>
  <c r="I69" i="11" s="1"/>
  <c r="K69" i="11" s="1"/>
  <c r="R159" i="11"/>
  <c r="U127" i="11"/>
  <c r="R127" i="11"/>
  <c r="J126" i="11"/>
  <c r="K126" i="11"/>
  <c r="M126" i="11" s="1"/>
  <c r="F125" i="11"/>
  <c r="H125" i="11"/>
  <c r="L125" i="11" s="1"/>
  <c r="F126" i="11"/>
  <c r="H126" i="11"/>
  <c r="L126" i="11" s="1"/>
  <c r="J125" i="11"/>
  <c r="K125" i="11"/>
  <c r="M125" i="11" s="1"/>
  <c r="H157" i="11"/>
  <c r="L157" i="11" s="1"/>
  <c r="F134" i="11"/>
  <c r="H134" i="11"/>
  <c r="L134" i="11" s="1"/>
  <c r="J133" i="11"/>
  <c r="K133" i="11"/>
  <c r="M133" i="11" s="1"/>
  <c r="F133" i="11"/>
  <c r="H133" i="11"/>
  <c r="L133" i="11" s="1"/>
  <c r="J135" i="11"/>
  <c r="K135" i="11"/>
  <c r="M135" i="11" s="1"/>
  <c r="F143" i="11"/>
  <c r="H143" i="11"/>
  <c r="L143" i="11" s="1"/>
  <c r="J134" i="11"/>
  <c r="K134" i="11"/>
  <c r="M134" i="11" s="1"/>
  <c r="J142" i="11"/>
  <c r="K142" i="11"/>
  <c r="M142" i="11" s="1"/>
  <c r="F142" i="11"/>
  <c r="H142" i="11"/>
  <c r="L142" i="11" s="1"/>
  <c r="J143" i="11"/>
  <c r="K143" i="11"/>
  <c r="M143" i="11" s="1"/>
  <c r="F141" i="11"/>
  <c r="H141" i="11"/>
  <c r="L141" i="11" s="1"/>
  <c r="J141" i="11"/>
  <c r="K141" i="11" s="1"/>
  <c r="M141" i="11" s="1"/>
  <c r="F135" i="11"/>
  <c r="H135" i="11"/>
  <c r="L135" i="11" s="1"/>
  <c r="H159" i="11"/>
  <c r="L159" i="11" s="1"/>
  <c r="F151" i="11"/>
  <c r="H151" i="11"/>
  <c r="L151" i="11" s="1"/>
  <c r="J150" i="11"/>
  <c r="K150" i="11"/>
  <c r="M150" i="11" s="1"/>
  <c r="F149" i="11"/>
  <c r="H149" i="11"/>
  <c r="L149" i="11" s="1"/>
  <c r="J151" i="11"/>
  <c r="K151" i="11"/>
  <c r="M151" i="11" s="1"/>
  <c r="J149" i="11"/>
  <c r="K149" i="11" s="1"/>
  <c r="M149" i="11" s="1"/>
  <c r="F150" i="11"/>
  <c r="H150" i="11"/>
  <c r="L150" i="11" s="1"/>
  <c r="C31" i="11"/>
  <c r="C32" i="11" s="1"/>
  <c r="D31" i="11"/>
  <c r="D32" i="11" s="1"/>
  <c r="F158" i="11"/>
  <c r="H158" i="11"/>
  <c r="L158" i="11" s="1"/>
  <c r="C33" i="11"/>
  <c r="C34" i="11" s="1"/>
  <c r="J159" i="11"/>
  <c r="K159" i="11"/>
  <c r="M159" i="11" s="1"/>
  <c r="CG136" i="7"/>
  <c r="CG137" i="7" s="1"/>
  <c r="CG138" i="7" s="1"/>
  <c r="CG139" i="7" s="1"/>
  <c r="CG140" i="7" s="1"/>
  <c r="CG141" i="7" s="1"/>
  <c r="CG142" i="7" s="1"/>
  <c r="CG143" i="7" s="1"/>
  <c r="CG144" i="7" s="1"/>
  <c r="CG145" i="7" s="1"/>
  <c r="CG146" i="7" s="1"/>
  <c r="CG147" i="7" s="1"/>
  <c r="CG148" i="7" s="1"/>
  <c r="CG149" i="7" s="1"/>
  <c r="CG150" i="7" s="1"/>
  <c r="CG151" i="7" s="1"/>
  <c r="CG152" i="7" s="1"/>
  <c r="CG153" i="7" s="1"/>
  <c r="CG154" i="7" s="1"/>
  <c r="CG155" i="7" s="1"/>
  <c r="CG156" i="7" s="1"/>
  <c r="BN40" i="7"/>
  <c r="CG15" i="7"/>
  <c r="G48" i="10"/>
  <c r="G45" i="10"/>
  <c r="G39" i="10"/>
  <c r="G54" i="10"/>
  <c r="I63" i="10"/>
  <c r="G42" i="10"/>
  <c r="G51" i="10"/>
  <c r="G40" i="10"/>
  <c r="G47" i="10"/>
  <c r="G44" i="10"/>
  <c r="G55" i="10"/>
  <c r="G50" i="10"/>
  <c r="G52" i="10"/>
  <c r="G53" i="10"/>
  <c r="G56" i="10"/>
  <c r="G41" i="10"/>
  <c r="G49" i="10"/>
  <c r="G46" i="10"/>
  <c r="G43" i="10"/>
  <c r="G18" i="10"/>
  <c r="G21" i="10"/>
  <c r="G12" i="10"/>
  <c r="G9" i="10"/>
  <c r="I29" i="10"/>
  <c r="K29" i="10"/>
  <c r="J29" i="10"/>
  <c r="G15" i="10"/>
  <c r="G6" i="10"/>
  <c r="G7" i="10"/>
  <c r="G8" i="10"/>
  <c r="G22" i="10"/>
  <c r="G16" i="10"/>
  <c r="G10" i="10"/>
  <c r="G19" i="10"/>
  <c r="G23" i="10"/>
  <c r="G14" i="10"/>
  <c r="G11" i="10"/>
  <c r="G20" i="10"/>
  <c r="G13" i="10"/>
  <c r="G17" i="10"/>
  <c r="D33" i="10"/>
  <c r="D34" i="10" s="1"/>
  <c r="C33" i="10"/>
  <c r="C34" i="10" s="1"/>
  <c r="C31" i="10"/>
  <c r="C32" i="10" s="1"/>
  <c r="E33" i="10"/>
  <c r="E34" i="10" s="1"/>
  <c r="E31" i="10"/>
  <c r="E32" i="10" s="1"/>
  <c r="D31" i="10"/>
  <c r="D32" i="10" s="1"/>
  <c r="C67" i="10"/>
  <c r="C68" i="10" s="1"/>
  <c r="C69" i="10" s="1"/>
  <c r="C64" i="10"/>
  <c r="C65" i="10" s="1"/>
  <c r="C66" i="10" s="1"/>
  <c r="AG83" i="10"/>
  <c r="W134" i="11" l="1"/>
  <c r="Y134" i="11" s="1"/>
  <c r="A40" i="7"/>
  <c r="H44" i="7"/>
  <c r="K34" i="11"/>
  <c r="J33" i="11"/>
  <c r="J34" i="11" s="1"/>
  <c r="I33" i="11"/>
  <c r="I34" i="11" s="1"/>
  <c r="T149" i="11"/>
  <c r="X149" i="11" s="1"/>
  <c r="T158" i="11"/>
  <c r="X158" i="11" s="1"/>
  <c r="V142" i="11"/>
  <c r="T151" i="11"/>
  <c r="X151" i="11" s="1"/>
  <c r="W143" i="11"/>
  <c r="Y143" i="11" s="1"/>
  <c r="V150" i="11"/>
  <c r="W158" i="11"/>
  <c r="Y158" i="11" s="1"/>
  <c r="S143" i="11"/>
  <c r="V151" i="11"/>
  <c r="S142" i="11"/>
  <c r="S134" i="11"/>
  <c r="S135" i="11"/>
  <c r="S150" i="11"/>
  <c r="W159" i="11"/>
  <c r="Y159" i="11" s="1"/>
  <c r="V135" i="11"/>
  <c r="K31" i="11"/>
  <c r="K32" i="11" s="1"/>
  <c r="T126" i="11"/>
  <c r="X126" i="11" s="1"/>
  <c r="W126" i="11"/>
  <c r="Y126" i="11" s="1"/>
  <c r="A83" i="10"/>
  <c r="AG85" i="10"/>
  <c r="I31" i="11"/>
  <c r="I32" i="11" s="1"/>
  <c r="A85" i="11"/>
  <c r="AG86" i="11"/>
  <c r="J31" i="11"/>
  <c r="J32" i="11" s="1"/>
  <c r="W133" i="11"/>
  <c r="Y133" i="11" s="1"/>
  <c r="W125" i="11"/>
  <c r="Y125" i="11" s="1"/>
  <c r="W141" i="11"/>
  <c r="Y141" i="11" s="1"/>
  <c r="W157" i="11"/>
  <c r="Y157" i="11" s="1"/>
  <c r="T157" i="11"/>
  <c r="X157" i="11" s="1"/>
  <c r="S125" i="11"/>
  <c r="T125" i="11"/>
  <c r="X125" i="11" s="1"/>
  <c r="S133" i="11"/>
  <c r="T133" i="11"/>
  <c r="X133" i="11" s="1"/>
  <c r="T127" i="11"/>
  <c r="X127" i="11" s="1"/>
  <c r="S127" i="11"/>
  <c r="T159" i="11"/>
  <c r="X159" i="11" s="1"/>
  <c r="S159" i="11"/>
  <c r="V127" i="11"/>
  <c r="W127" i="11"/>
  <c r="Y127" i="11" s="1"/>
  <c r="BN41" i="7"/>
  <c r="CG16" i="7"/>
  <c r="J31" i="10"/>
  <c r="J32" i="10" s="1"/>
  <c r="I64" i="10"/>
  <c r="I65" i="10" s="1"/>
  <c r="I66" i="10" s="1"/>
  <c r="I31" i="10"/>
  <c r="I32" i="10" s="1"/>
  <c r="K33" i="10"/>
  <c r="K34" i="10" s="1"/>
  <c r="I33" i="10"/>
  <c r="I34" i="10" s="1"/>
  <c r="J33" i="10"/>
  <c r="J34" i="10" s="1"/>
  <c r="K31" i="10"/>
  <c r="K32" i="10" s="1"/>
  <c r="I67" i="10"/>
  <c r="I68" i="10" s="1"/>
  <c r="I69" i="10" s="1"/>
  <c r="BP18" i="7"/>
  <c r="BW20" i="7"/>
  <c r="BW21" i="7"/>
  <c r="BW19" i="7"/>
  <c r="CB18" i="7"/>
  <c r="A41" i="7" l="1"/>
  <c r="H45" i="7"/>
  <c r="A85" i="10"/>
  <c r="AG86" i="10"/>
  <c r="A86" i="11"/>
  <c r="AG87" i="11"/>
  <c r="BQ21" i="7"/>
  <c r="BQ20" i="7"/>
  <c r="BQ19" i="7"/>
  <c r="BN42" i="7"/>
  <c r="CG17" i="7"/>
  <c r="G43" i="9"/>
  <c r="I42" i="9"/>
  <c r="G42" i="9"/>
  <c r="I41" i="9"/>
  <c r="G41" i="9"/>
  <c r="G40" i="9"/>
  <c r="D40" i="9"/>
  <c r="I40" i="9" s="1"/>
  <c r="G39" i="9"/>
  <c r="I38" i="9"/>
  <c r="I37" i="9"/>
  <c r="G37" i="9"/>
  <c r="C37" i="9"/>
  <c r="I36" i="9"/>
  <c r="I35" i="9"/>
  <c r="G35" i="9"/>
  <c r="U34" i="9"/>
  <c r="G34" i="9"/>
  <c r="I33" i="9"/>
  <c r="G33" i="9"/>
  <c r="G32" i="9"/>
  <c r="I31" i="9"/>
  <c r="A42" i="7" l="1"/>
  <c r="H46" i="7"/>
  <c r="A87" i="11"/>
  <c r="AG88" i="11"/>
  <c r="A86" i="10"/>
  <c r="AG87" i="10"/>
  <c r="BN43" i="7"/>
  <c r="CG18" i="7"/>
  <c r="BU19" i="7"/>
  <c r="BT19" i="7"/>
  <c r="BS19" i="7"/>
  <c r="BR19" i="7"/>
  <c r="BS21" i="7"/>
  <c r="BT21" i="7"/>
  <c r="BR21" i="7"/>
  <c r="BU21" i="7"/>
  <c r="BR20" i="7"/>
  <c r="BS20" i="7"/>
  <c r="BT20" i="7"/>
  <c r="BU20" i="7"/>
  <c r="B26" i="9"/>
  <c r="B49" i="9" s="1"/>
  <c r="A43" i="7" l="1"/>
  <c r="H47" i="7"/>
  <c r="S50" i="9"/>
  <c r="B72" i="9"/>
  <c r="A87" i="10"/>
  <c r="AG88" i="10"/>
  <c r="A88" i="11"/>
  <c r="AG89" i="11"/>
  <c r="BN44" i="7"/>
  <c r="CG19" i="7"/>
  <c r="S27" i="9"/>
  <c r="A44" i="7" l="1"/>
  <c r="H48" i="7"/>
  <c r="A89" i="11"/>
  <c r="AG90" i="11"/>
  <c r="A88" i="10"/>
  <c r="AG89" i="10"/>
  <c r="S73" i="9"/>
  <c r="B95" i="9"/>
  <c r="BN45" i="7"/>
  <c r="A45" i="7" s="1"/>
  <c r="CG20" i="7"/>
  <c r="S96" i="9" l="1"/>
  <c r="B118" i="9"/>
  <c r="A89" i="10"/>
  <c r="AG90" i="10"/>
  <c r="A90" i="11"/>
  <c r="AG91" i="11"/>
  <c r="BN46" i="7"/>
  <c r="A46" i="7" s="1"/>
  <c r="CG21" i="7"/>
  <c r="F2" i="5"/>
  <c r="H2" i="5" s="1"/>
  <c r="A91" i="11" l="1"/>
  <c r="AG93" i="11"/>
  <c r="A90" i="10"/>
  <c r="AG91" i="10"/>
  <c r="B141" i="9"/>
  <c r="S142" i="9" s="1"/>
  <c r="S119" i="9"/>
  <c r="C133" i="39"/>
  <c r="C64" i="35"/>
  <c r="C18" i="35"/>
  <c r="C64" i="34"/>
  <c r="L64" i="34" s="1"/>
  <c r="C41" i="34"/>
  <c r="L41" i="34" s="1"/>
  <c r="C18" i="34"/>
  <c r="L18" i="34" s="1"/>
  <c r="C133" i="30"/>
  <c r="L133" i="30" s="1"/>
  <c r="C156" i="39"/>
  <c r="C41" i="38"/>
  <c r="C87" i="35"/>
  <c r="C110" i="34"/>
  <c r="L110" i="34" s="1"/>
  <c r="C87" i="34"/>
  <c r="L87" i="34" s="1"/>
  <c r="C156" i="30"/>
  <c r="L156" i="30" s="1"/>
  <c r="C64" i="38"/>
  <c r="C18" i="38"/>
  <c r="C41" i="36"/>
  <c r="C110" i="35"/>
  <c r="C156" i="34"/>
  <c r="L156" i="34" s="1"/>
  <c r="C133" i="34"/>
  <c r="L133" i="34" s="1"/>
  <c r="C156" i="33"/>
  <c r="L156" i="33" s="1"/>
  <c r="C133" i="33"/>
  <c r="L133" i="33" s="1"/>
  <c r="C110" i="33"/>
  <c r="L110" i="33" s="1"/>
  <c r="C87" i="33"/>
  <c r="L87" i="33" s="1"/>
  <c r="C64" i="33"/>
  <c r="L64" i="33" s="1"/>
  <c r="C64" i="32"/>
  <c r="L64" i="32" s="1"/>
  <c r="C41" i="32"/>
  <c r="L41" i="32" s="1"/>
  <c r="C87" i="38"/>
  <c r="C64" i="36"/>
  <c r="C18" i="36"/>
  <c r="L18" i="36" s="1"/>
  <c r="C133" i="35"/>
  <c r="C41" i="33"/>
  <c r="L41" i="33" s="1"/>
  <c r="C87" i="32"/>
  <c r="L87" i="32" s="1"/>
  <c r="C18" i="32"/>
  <c r="L18" i="32" s="1"/>
  <c r="C41" i="39"/>
  <c r="C110" i="38"/>
  <c r="C87" i="36"/>
  <c r="C156" i="35"/>
  <c r="C18" i="33"/>
  <c r="L18" i="33" s="1"/>
  <c r="C110" i="32"/>
  <c r="L110" i="32" s="1"/>
  <c r="C41" i="30"/>
  <c r="L41" i="30" s="1"/>
  <c r="C64" i="39"/>
  <c r="C18" i="39"/>
  <c r="C133" i="38"/>
  <c r="C156" i="37"/>
  <c r="C133" i="37"/>
  <c r="C110" i="37"/>
  <c r="C87" i="37"/>
  <c r="C64" i="37"/>
  <c r="C41" i="37"/>
  <c r="C110" i="36"/>
  <c r="C133" i="32"/>
  <c r="L133" i="32" s="1"/>
  <c r="C156" i="31"/>
  <c r="L156" i="31" s="1"/>
  <c r="C133" i="31"/>
  <c r="L133" i="31" s="1"/>
  <c r="C110" i="31"/>
  <c r="L110" i="31" s="1"/>
  <c r="C87" i="31"/>
  <c r="L87" i="31" s="1"/>
  <c r="C64" i="31"/>
  <c r="L64" i="31" s="1"/>
  <c r="C41" i="31"/>
  <c r="L41" i="31" s="1"/>
  <c r="C64" i="30"/>
  <c r="L64" i="30" s="1"/>
  <c r="C18" i="30"/>
  <c r="L18" i="30" s="1"/>
  <c r="C87" i="39"/>
  <c r="C156" i="38"/>
  <c r="C18" i="37"/>
  <c r="C133" i="36"/>
  <c r="C156" i="32"/>
  <c r="L156" i="32" s="1"/>
  <c r="C18" i="31"/>
  <c r="L18" i="31" s="1"/>
  <c r="C87" i="30"/>
  <c r="L87" i="30" s="1"/>
  <c r="C110" i="39"/>
  <c r="C156" i="36"/>
  <c r="L156" i="36" s="1"/>
  <c r="C41" i="35"/>
  <c r="C110" i="30"/>
  <c r="L110" i="30" s="1"/>
  <c r="C156" i="13"/>
  <c r="C64" i="9"/>
  <c r="C133" i="13"/>
  <c r="C110" i="13"/>
  <c r="C87" i="13"/>
  <c r="C64" i="13"/>
  <c r="C18" i="9"/>
  <c r="C156" i="9"/>
  <c r="C41" i="13"/>
  <c r="C133" i="9"/>
  <c r="C110" i="9"/>
  <c r="C87" i="9"/>
  <c r="C18" i="13"/>
  <c r="BN47" i="7"/>
  <c r="A47" i="7" s="1"/>
  <c r="CG22" i="7"/>
  <c r="C41" i="9"/>
  <c r="G2" i="5"/>
  <c r="A91" i="10" l="1"/>
  <c r="AG93" i="10"/>
  <c r="A93" i="11"/>
  <c r="AG94" i="11"/>
  <c r="AU7" i="7"/>
  <c r="U54" i="9" s="1"/>
  <c r="AU7" i="27"/>
  <c r="AU7" i="28"/>
  <c r="AU7" i="23"/>
  <c r="AU7" i="29"/>
  <c r="AU7" i="24"/>
  <c r="AU7" i="20"/>
  <c r="AU7" i="21"/>
  <c r="AU7" i="26"/>
  <c r="AU7" i="22"/>
  <c r="AU7" i="25"/>
  <c r="AU7" i="14"/>
  <c r="U123" i="9"/>
  <c r="U100" i="9"/>
  <c r="U146" i="9"/>
  <c r="BN48" i="7"/>
  <c r="A48" i="7" s="1"/>
  <c r="CG23" i="7"/>
  <c r="U31" i="9" l="1"/>
  <c r="U8" i="9"/>
  <c r="U77" i="9"/>
  <c r="A94" i="11"/>
  <c r="AG95" i="11"/>
  <c r="A93" i="10"/>
  <c r="AG94" i="10"/>
  <c r="U100" i="31"/>
  <c r="H100" i="31" s="1"/>
  <c r="U8" i="31"/>
  <c r="H8" i="31" s="1"/>
  <c r="U77" i="31"/>
  <c r="H77" i="31" s="1"/>
  <c r="U146" i="31"/>
  <c r="H146" i="31" s="1"/>
  <c r="U54" i="31"/>
  <c r="H54" i="31" s="1"/>
  <c r="U123" i="31"/>
  <c r="H123" i="31" s="1"/>
  <c r="U31" i="31"/>
  <c r="H31" i="31" s="1"/>
  <c r="U146" i="34"/>
  <c r="H146" i="34" s="1"/>
  <c r="U54" i="34"/>
  <c r="H54" i="34" s="1"/>
  <c r="U123" i="34"/>
  <c r="H123" i="34" s="1"/>
  <c r="U31" i="34"/>
  <c r="H31" i="34" s="1"/>
  <c r="U100" i="34"/>
  <c r="H100" i="34" s="1"/>
  <c r="U8" i="34"/>
  <c r="H8" i="34" s="1"/>
  <c r="U77" i="34"/>
  <c r="H77" i="34" s="1"/>
  <c r="U100" i="39"/>
  <c r="U8" i="39"/>
  <c r="U77" i="39"/>
  <c r="U146" i="39"/>
  <c r="U54" i="39"/>
  <c r="U123" i="39"/>
  <c r="U31" i="39"/>
  <c r="U77" i="13"/>
  <c r="U146" i="13"/>
  <c r="U100" i="13"/>
  <c r="U54" i="13"/>
  <c r="U123" i="13"/>
  <c r="U31" i="13"/>
  <c r="U8" i="13"/>
  <c r="U77" i="33"/>
  <c r="H77" i="33" s="1"/>
  <c r="U146" i="33"/>
  <c r="H146" i="33" s="1"/>
  <c r="U54" i="33"/>
  <c r="H54" i="33" s="1"/>
  <c r="U123" i="33"/>
  <c r="H123" i="33" s="1"/>
  <c r="U31" i="33"/>
  <c r="H31" i="33" s="1"/>
  <c r="U100" i="33"/>
  <c r="H100" i="33" s="1"/>
  <c r="U8" i="33"/>
  <c r="H8" i="33" s="1"/>
  <c r="U146" i="35"/>
  <c r="U54" i="35"/>
  <c r="U123" i="35"/>
  <c r="U31" i="35"/>
  <c r="H31" i="35" s="1"/>
  <c r="U100" i="35"/>
  <c r="U8" i="35"/>
  <c r="U77" i="35"/>
  <c r="U100" i="38"/>
  <c r="U8" i="38"/>
  <c r="U77" i="38"/>
  <c r="U146" i="38"/>
  <c r="U54" i="38"/>
  <c r="U123" i="38"/>
  <c r="U31" i="38"/>
  <c r="U77" i="32"/>
  <c r="H77" i="32" s="1"/>
  <c r="U146" i="32"/>
  <c r="H146" i="32" s="1"/>
  <c r="U54" i="32"/>
  <c r="H54" i="32" s="1"/>
  <c r="U123" i="32"/>
  <c r="H123" i="32" s="1"/>
  <c r="U31" i="32"/>
  <c r="H31" i="32" s="1"/>
  <c r="U100" i="32"/>
  <c r="H100" i="32" s="1"/>
  <c r="U8" i="32"/>
  <c r="H8" i="32" s="1"/>
  <c r="U123" i="37"/>
  <c r="U31" i="37"/>
  <c r="U100" i="37"/>
  <c r="U8" i="37"/>
  <c r="U77" i="37"/>
  <c r="H77" i="37" s="1"/>
  <c r="U146" i="37"/>
  <c r="U54" i="37"/>
  <c r="U100" i="30"/>
  <c r="H100" i="30" s="1"/>
  <c r="U8" i="30"/>
  <c r="H8" i="30" s="1"/>
  <c r="U77" i="30"/>
  <c r="H77" i="30" s="1"/>
  <c r="U146" i="30"/>
  <c r="H146" i="30" s="1"/>
  <c r="U54" i="30"/>
  <c r="H54" i="30" s="1"/>
  <c r="U123" i="30"/>
  <c r="H123" i="30" s="1"/>
  <c r="U31" i="30"/>
  <c r="H31" i="30" s="1"/>
  <c r="U123" i="36"/>
  <c r="U31" i="36"/>
  <c r="U100" i="36"/>
  <c r="U8" i="36"/>
  <c r="H8" i="36" s="1"/>
  <c r="U77" i="36"/>
  <c r="U146" i="36"/>
  <c r="H146" i="36" s="1"/>
  <c r="U54" i="36"/>
  <c r="BN49" i="7"/>
  <c r="A49" i="7" s="1"/>
  <c r="CG24" i="7"/>
  <c r="A94" i="10" l="1"/>
  <c r="AG95" i="10"/>
  <c r="A95" i="11"/>
  <c r="AG96" i="11"/>
  <c r="H102" i="30"/>
  <c r="L100" i="30"/>
  <c r="H10" i="32"/>
  <c r="L8" i="32"/>
  <c r="H125" i="33"/>
  <c r="L123" i="33"/>
  <c r="H148" i="34"/>
  <c r="L146" i="34"/>
  <c r="H102" i="32"/>
  <c r="L100" i="32"/>
  <c r="H33" i="35"/>
  <c r="H56" i="33"/>
  <c r="L54" i="33"/>
  <c r="L31" i="31"/>
  <c r="H33" i="31"/>
  <c r="H33" i="30"/>
  <c r="L31" i="30"/>
  <c r="H33" i="32"/>
  <c r="L31" i="32"/>
  <c r="H148" i="33"/>
  <c r="L146" i="33"/>
  <c r="H79" i="34"/>
  <c r="L77" i="34"/>
  <c r="H125" i="31"/>
  <c r="L123" i="31"/>
  <c r="H125" i="30"/>
  <c r="L123" i="30"/>
  <c r="L77" i="37"/>
  <c r="H79" i="37"/>
  <c r="L123" i="32"/>
  <c r="H125" i="32"/>
  <c r="H79" i="33"/>
  <c r="L77" i="33"/>
  <c r="H10" i="34"/>
  <c r="L8" i="34"/>
  <c r="H56" i="31"/>
  <c r="L54" i="31"/>
  <c r="H148" i="36"/>
  <c r="H56" i="30"/>
  <c r="L54" i="30"/>
  <c r="H56" i="32"/>
  <c r="L54" i="32"/>
  <c r="H102" i="34"/>
  <c r="L100" i="34"/>
  <c r="H148" i="31"/>
  <c r="L146" i="31"/>
  <c r="H148" i="30"/>
  <c r="L146" i="30"/>
  <c r="L146" i="32"/>
  <c r="H148" i="32"/>
  <c r="L8" i="33"/>
  <c r="H10" i="33"/>
  <c r="H33" i="34"/>
  <c r="L31" i="34"/>
  <c r="L77" i="31"/>
  <c r="H79" i="31"/>
  <c r="L8" i="36"/>
  <c r="H10" i="36"/>
  <c r="H79" i="30"/>
  <c r="L77" i="30"/>
  <c r="L77" i="32"/>
  <c r="H79" i="32"/>
  <c r="H102" i="33"/>
  <c r="L100" i="33"/>
  <c r="H125" i="34"/>
  <c r="L123" i="34"/>
  <c r="L8" i="31"/>
  <c r="H10" i="31"/>
  <c r="H10" i="30"/>
  <c r="L8" i="30"/>
  <c r="H33" i="33"/>
  <c r="L31" i="33"/>
  <c r="H56" i="34"/>
  <c r="L54" i="34"/>
  <c r="H102" i="31"/>
  <c r="L100" i="31"/>
  <c r="BN50" i="7"/>
  <c r="A50" i="7" s="1"/>
  <c r="CG25" i="7"/>
  <c r="A96" i="11" l="1"/>
  <c r="AG97" i="11"/>
  <c r="AG96" i="10"/>
  <c r="A95" i="10"/>
  <c r="H134" i="32"/>
  <c r="L134" i="32" s="1"/>
  <c r="H127" i="32"/>
  <c r="L125" i="32"/>
  <c r="H88" i="32"/>
  <c r="L88" i="32" s="1"/>
  <c r="H81" i="32"/>
  <c r="L79" i="32"/>
  <c r="H81" i="31"/>
  <c r="H88" i="31"/>
  <c r="L88" i="31" s="1"/>
  <c r="L79" i="31"/>
  <c r="H134" i="34"/>
  <c r="L134" i="34" s="1"/>
  <c r="H127" i="34"/>
  <c r="L125" i="34"/>
  <c r="H58" i="30"/>
  <c r="H65" i="30"/>
  <c r="L65" i="30" s="1"/>
  <c r="L56" i="30"/>
  <c r="H81" i="34"/>
  <c r="L79" i="34"/>
  <c r="H88" i="34"/>
  <c r="L88" i="34" s="1"/>
  <c r="H42" i="32"/>
  <c r="L42" i="32" s="1"/>
  <c r="L33" i="32"/>
  <c r="H35" i="32"/>
  <c r="H111" i="32"/>
  <c r="L111" i="32" s="1"/>
  <c r="H104" i="32"/>
  <c r="L102" i="32"/>
  <c r="L10" i="32"/>
  <c r="H12" i="32"/>
  <c r="H19" i="32"/>
  <c r="L19" i="32" s="1"/>
  <c r="H81" i="37"/>
  <c r="H88" i="37"/>
  <c r="H157" i="32"/>
  <c r="L157" i="32" s="1"/>
  <c r="H150" i="32"/>
  <c r="L148" i="32"/>
  <c r="L33" i="33"/>
  <c r="H42" i="33"/>
  <c r="L42" i="33" s="1"/>
  <c r="H35" i="33"/>
  <c r="H12" i="30"/>
  <c r="L10" i="30"/>
  <c r="H19" i="30"/>
  <c r="L19" i="30" s="1"/>
  <c r="H42" i="34"/>
  <c r="L42" i="34" s="1"/>
  <c r="L33" i="34"/>
  <c r="H35" i="34"/>
  <c r="H150" i="31"/>
  <c r="H157" i="31"/>
  <c r="L157" i="31" s="1"/>
  <c r="L148" i="31"/>
  <c r="H157" i="36"/>
  <c r="H150" i="36"/>
  <c r="L148" i="36"/>
  <c r="H88" i="33"/>
  <c r="L88" i="33" s="1"/>
  <c r="H81" i="33"/>
  <c r="L79" i="33"/>
  <c r="H157" i="33"/>
  <c r="L157" i="33" s="1"/>
  <c r="H150" i="33"/>
  <c r="L148" i="33"/>
  <c r="H65" i="33"/>
  <c r="L65" i="33" s="1"/>
  <c r="H58" i="33"/>
  <c r="L56" i="33"/>
  <c r="H134" i="33"/>
  <c r="L134" i="33" s="1"/>
  <c r="H127" i="33"/>
  <c r="L125" i="33"/>
  <c r="H111" i="30"/>
  <c r="L111" i="30" s="1"/>
  <c r="L102" i="30"/>
  <c r="H104" i="30"/>
  <c r="H111" i="31"/>
  <c r="L111" i="31" s="1"/>
  <c r="H104" i="31"/>
  <c r="L102" i="31"/>
  <c r="H111" i="33"/>
  <c r="L111" i="33" s="1"/>
  <c r="H104" i="33"/>
  <c r="L102" i="33"/>
  <c r="H81" i="30"/>
  <c r="H88" i="30"/>
  <c r="L88" i="30" s="1"/>
  <c r="L79" i="30"/>
  <c r="H111" i="34"/>
  <c r="L111" i="34" s="1"/>
  <c r="H104" i="34"/>
  <c r="L102" i="34"/>
  <c r="H58" i="32"/>
  <c r="L56" i="32"/>
  <c r="H65" i="32"/>
  <c r="L65" i="32" s="1"/>
  <c r="H58" i="31"/>
  <c r="H65" i="31"/>
  <c r="L65" i="31" s="1"/>
  <c r="L56" i="31"/>
  <c r="H134" i="30"/>
  <c r="L134" i="30" s="1"/>
  <c r="L125" i="30"/>
  <c r="H127" i="30"/>
  <c r="H42" i="30"/>
  <c r="L42" i="30" s="1"/>
  <c r="H35" i="30"/>
  <c r="L33" i="30"/>
  <c r="H35" i="35"/>
  <c r="H42" i="35"/>
  <c r="L42" i="35" s="1"/>
  <c r="H19" i="31"/>
  <c r="L19" i="31" s="1"/>
  <c r="L10" i="31"/>
  <c r="H12" i="31"/>
  <c r="H19" i="36"/>
  <c r="L19" i="36" s="1"/>
  <c r="L10" i="36"/>
  <c r="H12" i="36"/>
  <c r="H42" i="31"/>
  <c r="L42" i="31" s="1"/>
  <c r="H35" i="31"/>
  <c r="L33" i="31"/>
  <c r="H19" i="33"/>
  <c r="L19" i="33" s="1"/>
  <c r="H12" i="33"/>
  <c r="L10" i="33"/>
  <c r="H65" i="34"/>
  <c r="L65" i="34" s="1"/>
  <c r="H58" i="34"/>
  <c r="L56" i="34"/>
  <c r="H150" i="30"/>
  <c r="H157" i="30"/>
  <c r="L157" i="30" s="1"/>
  <c r="L148" i="30"/>
  <c r="L10" i="34"/>
  <c r="H19" i="34"/>
  <c r="L19" i="34" s="1"/>
  <c r="H12" i="34"/>
  <c r="L125" i="31"/>
  <c r="H127" i="31"/>
  <c r="H134" i="31"/>
  <c r="L134" i="31" s="1"/>
  <c r="H157" i="34"/>
  <c r="L157" i="34" s="1"/>
  <c r="H150" i="34"/>
  <c r="L148" i="34"/>
  <c r="CG26" i="7"/>
  <c r="AG97" i="10" l="1"/>
  <c r="A96" i="10"/>
  <c r="A97" i="11"/>
  <c r="AG98" i="11"/>
  <c r="H109" i="31"/>
  <c r="L109" i="31" s="1"/>
  <c r="L104" i="31"/>
  <c r="H155" i="36"/>
  <c r="L155" i="36" s="1"/>
  <c r="L150" i="36"/>
  <c r="H40" i="34"/>
  <c r="L40" i="34" s="1"/>
  <c r="L35" i="34"/>
  <c r="H155" i="32"/>
  <c r="L155" i="32" s="1"/>
  <c r="L150" i="32"/>
  <c r="H17" i="33"/>
  <c r="L17" i="33" s="1"/>
  <c r="L12" i="33"/>
  <c r="L12" i="31"/>
  <c r="H17" i="31"/>
  <c r="L17" i="31" s="1"/>
  <c r="H40" i="30"/>
  <c r="L40" i="30" s="1"/>
  <c r="L35" i="30"/>
  <c r="H63" i="32"/>
  <c r="L63" i="32" s="1"/>
  <c r="L58" i="32"/>
  <c r="H40" i="32"/>
  <c r="L40" i="32" s="1"/>
  <c r="L35" i="32"/>
  <c r="H86" i="31"/>
  <c r="L86" i="31" s="1"/>
  <c r="L81" i="31"/>
  <c r="H109" i="30"/>
  <c r="L109" i="30" s="1"/>
  <c r="L104" i="30"/>
  <c r="H155" i="33"/>
  <c r="L155" i="33" s="1"/>
  <c r="L150" i="33"/>
  <c r="L12" i="34"/>
  <c r="H17" i="34"/>
  <c r="L17" i="34" s="1"/>
  <c r="H109" i="34"/>
  <c r="L109" i="34" s="1"/>
  <c r="L104" i="34"/>
  <c r="H17" i="30"/>
  <c r="L17" i="30" s="1"/>
  <c r="L12" i="30"/>
  <c r="L81" i="32"/>
  <c r="H86" i="32"/>
  <c r="L86" i="32" s="1"/>
  <c r="H40" i="31"/>
  <c r="L40" i="31" s="1"/>
  <c r="L35" i="31"/>
  <c r="H63" i="33"/>
  <c r="L63" i="33" s="1"/>
  <c r="L58" i="33"/>
  <c r="H40" i="33"/>
  <c r="L40" i="33" s="1"/>
  <c r="L35" i="33"/>
  <c r="H86" i="37"/>
  <c r="H109" i="32"/>
  <c r="L109" i="32" s="1"/>
  <c r="L104" i="32"/>
  <c r="H63" i="30"/>
  <c r="L63" i="30" s="1"/>
  <c r="L58" i="30"/>
  <c r="H86" i="30"/>
  <c r="L86" i="30" s="1"/>
  <c r="L81" i="30"/>
  <c r="H86" i="33"/>
  <c r="L86" i="33" s="1"/>
  <c r="L81" i="33"/>
  <c r="H155" i="34"/>
  <c r="L155" i="34" s="1"/>
  <c r="L150" i="34"/>
  <c r="L127" i="31"/>
  <c r="H132" i="31"/>
  <c r="L132" i="31" s="1"/>
  <c r="H155" i="30"/>
  <c r="L155" i="30" s="1"/>
  <c r="L150" i="30"/>
  <c r="H63" i="34"/>
  <c r="L63" i="34" s="1"/>
  <c r="L58" i="34"/>
  <c r="H17" i="36"/>
  <c r="L17" i="36" s="1"/>
  <c r="L12" i="36"/>
  <c r="L127" i="30"/>
  <c r="H132" i="30"/>
  <c r="L132" i="30" s="1"/>
  <c r="L58" i="31"/>
  <c r="H63" i="31"/>
  <c r="L63" i="31" s="1"/>
  <c r="L127" i="33"/>
  <c r="H132" i="33"/>
  <c r="L132" i="33" s="1"/>
  <c r="L12" i="32"/>
  <c r="H17" i="32"/>
  <c r="L17" i="32" s="1"/>
  <c r="H86" i="34"/>
  <c r="L86" i="34" s="1"/>
  <c r="L81" i="34"/>
  <c r="H132" i="32"/>
  <c r="L132" i="32" s="1"/>
  <c r="L127" i="32"/>
  <c r="H40" i="35"/>
  <c r="L104" i="33"/>
  <c r="H109" i="33"/>
  <c r="L109" i="33" s="1"/>
  <c r="H155" i="31"/>
  <c r="L155" i="31" s="1"/>
  <c r="L150" i="31"/>
  <c r="L127" i="34"/>
  <c r="H132" i="34"/>
  <c r="L132" i="34" s="1"/>
  <c r="CG27" i="7"/>
  <c r="A98" i="11" l="1"/>
  <c r="AG99" i="11"/>
  <c r="AG98" i="10"/>
  <c r="A97" i="10"/>
  <c r="CG28" i="7"/>
  <c r="A99" i="11" l="1"/>
  <c r="AG101" i="11"/>
  <c r="AG99" i="10"/>
  <c r="A98" i="10"/>
  <c r="CG29" i="7"/>
  <c r="AG101" i="10" l="1"/>
  <c r="A99" i="10"/>
  <c r="A101" i="11"/>
  <c r="AG102" i="11"/>
  <c r="CG30" i="7"/>
  <c r="A102" i="11" l="1"/>
  <c r="AG103" i="11"/>
  <c r="A101" i="10"/>
  <c r="AG102" i="10"/>
  <c r="A102" i="10" l="1"/>
  <c r="AG103" i="10"/>
  <c r="A103" i="11"/>
  <c r="AG104" i="11"/>
  <c r="A104" i="11" l="1"/>
  <c r="AG105" i="11"/>
  <c r="A103" i="10"/>
  <c r="AG104" i="10"/>
  <c r="A104" i="10" l="1"/>
  <c r="AG105" i="10"/>
  <c r="A105" i="11"/>
  <c r="AG106" i="11"/>
  <c r="A106" i="11" l="1"/>
  <c r="AG107" i="11"/>
  <c r="A105" i="10"/>
  <c r="AG106" i="10"/>
  <c r="A106" i="10" l="1"/>
  <c r="AG107" i="10"/>
  <c r="A107" i="11"/>
  <c r="AG109" i="11"/>
  <c r="A109" i="11" l="1"/>
  <c r="AG110" i="11"/>
  <c r="A107" i="10"/>
  <c r="AG109" i="10"/>
  <c r="A109" i="10" l="1"/>
  <c r="AG110" i="10"/>
  <c r="A110" i="11"/>
  <c r="AG111" i="11"/>
  <c r="V37" i="1"/>
  <c r="I20" i="8"/>
  <c r="I19" i="8"/>
  <c r="I18" i="8"/>
  <c r="I17" i="8"/>
  <c r="G17" i="8"/>
  <c r="I16" i="8"/>
  <c r="G16" i="8"/>
  <c r="I15" i="8"/>
  <c r="G15" i="8"/>
  <c r="I14" i="8"/>
  <c r="I13" i="8"/>
  <c r="G13" i="8"/>
  <c r="I12" i="8"/>
  <c r="G12" i="8"/>
  <c r="I11" i="8"/>
  <c r="G11" i="8"/>
  <c r="I10" i="8"/>
  <c r="I9" i="8"/>
  <c r="G9" i="8"/>
  <c r="Q8" i="8"/>
  <c r="I8" i="8"/>
  <c r="G8" i="8"/>
  <c r="I7" i="8"/>
  <c r="G7" i="8"/>
  <c r="I6" i="8"/>
  <c r="Q5" i="8"/>
  <c r="Q6" i="8" s="1"/>
  <c r="Q7" i="8" s="1"/>
  <c r="A111" i="11" l="1"/>
  <c r="AG112" i="11"/>
  <c r="A110" i="10"/>
  <c r="AG111" i="10"/>
  <c r="C18" i="8"/>
  <c r="W37" i="1"/>
  <c r="J5" i="4"/>
  <c r="J2" i="4"/>
  <c r="A111" i="10" l="1"/>
  <c r="AG112" i="10"/>
  <c r="A112" i="11"/>
  <c r="AG113" i="11"/>
  <c r="A113" i="11" l="1"/>
  <c r="AG114" i="11"/>
  <c r="A112" i="10"/>
  <c r="AG113" i="10"/>
  <c r="BN2" i="7"/>
  <c r="BN3" i="7"/>
  <c r="BN4" i="7"/>
  <c r="BN1" i="7"/>
  <c r="A113" i="10" l="1"/>
  <c r="AG114" i="10"/>
  <c r="A114" i="11"/>
  <c r="AG115" i="11"/>
  <c r="BX2" i="7"/>
  <c r="BX3" i="7"/>
  <c r="BX4" i="7"/>
  <c r="BX5" i="7"/>
  <c r="BX6" i="7"/>
  <c r="BX1" i="7"/>
  <c r="CQ1" i="7"/>
  <c r="CM1" i="7"/>
  <c r="BN11" i="7"/>
  <c r="A11" i="7" s="1"/>
  <c r="A1" i="7"/>
  <c r="A115" i="11" l="1"/>
  <c r="AG117" i="11"/>
  <c r="A114" i="10"/>
  <c r="AG115" i="10"/>
  <c r="AP17" i="7"/>
  <c r="AP15" i="7" s="1"/>
  <c r="BN12" i="7"/>
  <c r="A12" i="7" s="1"/>
  <c r="D6" i="9" s="1"/>
  <c r="T15" i="1"/>
  <c r="A115" i="10" l="1"/>
  <c r="AG117" i="10"/>
  <c r="A117" i="11"/>
  <c r="AG118" i="11"/>
  <c r="C77" i="11"/>
  <c r="C77" i="10"/>
  <c r="K6" i="9"/>
  <c r="U17" i="9" s="1"/>
  <c r="P109" i="11"/>
  <c r="Q109" i="11" s="1"/>
  <c r="D109" i="11"/>
  <c r="CA19" i="7"/>
  <c r="BN13" i="7"/>
  <c r="A13" i="7" s="1"/>
  <c r="R121" i="6" s="1"/>
  <c r="BN6" i="1"/>
  <c r="BF6" i="1"/>
  <c r="BJ6" i="1"/>
  <c r="G1" i="6"/>
  <c r="CW116" i="6"/>
  <c r="CV116" i="6" s="1"/>
  <c r="CT116" i="6" s="1"/>
  <c r="CW115" i="6"/>
  <c r="CV115" i="6" s="1"/>
  <c r="CT115" i="6" s="1"/>
  <c r="CW114" i="6"/>
  <c r="CV114" i="6" s="1"/>
  <c r="CT114" i="6" s="1"/>
  <c r="CW113" i="6"/>
  <c r="CV113" i="6" s="1"/>
  <c r="CT113" i="6" s="1"/>
  <c r="CW112" i="6"/>
  <c r="CV112" i="6" s="1"/>
  <c r="CT112" i="6" s="1"/>
  <c r="CW111" i="6"/>
  <c r="CV111" i="6" s="1"/>
  <c r="CT111" i="6" s="1"/>
  <c r="CW110" i="6"/>
  <c r="CV110" i="6" s="1"/>
  <c r="CT110" i="6" s="1"/>
  <c r="CW109" i="6"/>
  <c r="CW108" i="6"/>
  <c r="CW97" i="6"/>
  <c r="CW93" i="6"/>
  <c r="CV93" i="6" s="1"/>
  <c r="CT93" i="6" s="1"/>
  <c r="CW92" i="6"/>
  <c r="CV92" i="6" s="1"/>
  <c r="CT92" i="6" s="1"/>
  <c r="CW91" i="6"/>
  <c r="CV91" i="6" s="1"/>
  <c r="CT91" i="6" s="1"/>
  <c r="CW90" i="6"/>
  <c r="CV90" i="6" s="1"/>
  <c r="CT90" i="6" s="1"/>
  <c r="CW89" i="6"/>
  <c r="CW88" i="6"/>
  <c r="CW87" i="6"/>
  <c r="CW86" i="6"/>
  <c r="CW85" i="6"/>
  <c r="CW74" i="6"/>
  <c r="CW70" i="6"/>
  <c r="CV70" i="6" s="1"/>
  <c r="CT70" i="6" s="1"/>
  <c r="CW69" i="6"/>
  <c r="CV69" i="6" s="1"/>
  <c r="CT69" i="6" s="1"/>
  <c r="CW68" i="6"/>
  <c r="CV68" i="6" s="1"/>
  <c r="CT68" i="6" s="1"/>
  <c r="CW67" i="6"/>
  <c r="CV67" i="6" s="1"/>
  <c r="CT67" i="6" s="1"/>
  <c r="CW66" i="6"/>
  <c r="CV66" i="6" s="1"/>
  <c r="CT66" i="6" s="1"/>
  <c r="CW65" i="6"/>
  <c r="CV65" i="6" s="1"/>
  <c r="CT65" i="6" s="1"/>
  <c r="CW64" i="6"/>
  <c r="CV64" i="6" s="1"/>
  <c r="CT64" i="6" s="1"/>
  <c r="CW63" i="6"/>
  <c r="CV63" i="6" s="1"/>
  <c r="CT63" i="6" s="1"/>
  <c r="CW62" i="6"/>
  <c r="CV62" i="6" s="1"/>
  <c r="CT62" i="6" s="1"/>
  <c r="CW51" i="6"/>
  <c r="CW47" i="6"/>
  <c r="CV47" i="6" s="1"/>
  <c r="CT47" i="6" s="1"/>
  <c r="CW46" i="6"/>
  <c r="CV46" i="6" s="1"/>
  <c r="CT46" i="6" s="1"/>
  <c r="CW45" i="6"/>
  <c r="CV45" i="6" s="1"/>
  <c r="CT45" i="6" s="1"/>
  <c r="CW44" i="6"/>
  <c r="CV44" i="6" s="1"/>
  <c r="CT44" i="6" s="1"/>
  <c r="CW43" i="6"/>
  <c r="CV43" i="6" s="1"/>
  <c r="CT43" i="6" s="1"/>
  <c r="CW42" i="6"/>
  <c r="CV42" i="6" s="1"/>
  <c r="CT42" i="6" s="1"/>
  <c r="CW41" i="6"/>
  <c r="CV41" i="6" s="1"/>
  <c r="CT41" i="6" s="1"/>
  <c r="CW40" i="6"/>
  <c r="CV40" i="6" s="1"/>
  <c r="CT40" i="6" s="1"/>
  <c r="CW39" i="6"/>
  <c r="CV39" i="6" s="1"/>
  <c r="CT39" i="6" s="1"/>
  <c r="CW28" i="6"/>
  <c r="CW24" i="6"/>
  <c r="CV24" i="6" s="1"/>
  <c r="CT24" i="6" s="1"/>
  <c r="CW23" i="6"/>
  <c r="CV23" i="6" s="1"/>
  <c r="CT23" i="6" s="1"/>
  <c r="CW22" i="6"/>
  <c r="CV22" i="6" s="1"/>
  <c r="CT22" i="6" s="1"/>
  <c r="CW21" i="6"/>
  <c r="CV21" i="6" s="1"/>
  <c r="CT21" i="6" s="1"/>
  <c r="CW20" i="6"/>
  <c r="CV20" i="6" s="1"/>
  <c r="CT20" i="6" s="1"/>
  <c r="CW19" i="6"/>
  <c r="CV19" i="6" s="1"/>
  <c r="CT19" i="6" s="1"/>
  <c r="CW18" i="6"/>
  <c r="CV18" i="6" s="1"/>
  <c r="CT18" i="6" s="1"/>
  <c r="CW15" i="6"/>
  <c r="CV15" i="6" s="1"/>
  <c r="CT15" i="6" s="1"/>
  <c r="CW14" i="6"/>
  <c r="CW5" i="6"/>
  <c r="N37" i="1"/>
  <c r="C19" i="8"/>
  <c r="V36" i="1"/>
  <c r="N36" i="1"/>
  <c r="F36" i="1"/>
  <c r="CU83" i="6" l="1"/>
  <c r="CV83" i="6" s="1"/>
  <c r="CU84" i="6"/>
  <c r="CV84" i="6" s="1"/>
  <c r="CU82" i="6"/>
  <c r="CV82" i="6" s="1"/>
  <c r="CU81" i="6"/>
  <c r="CV81" i="6" s="1"/>
  <c r="CU6" i="6"/>
  <c r="CV6" i="6" s="1"/>
  <c r="CU7" i="6"/>
  <c r="CV7" i="6" s="1"/>
  <c r="CU13" i="6"/>
  <c r="CV13" i="6" s="1"/>
  <c r="CU10" i="6"/>
  <c r="CV10" i="6" s="1"/>
  <c r="CU11" i="6"/>
  <c r="CV11" i="6" s="1"/>
  <c r="CU9" i="6"/>
  <c r="CV9" i="6" s="1"/>
  <c r="CU12" i="6"/>
  <c r="CV12" i="6" s="1"/>
  <c r="CU8" i="6"/>
  <c r="CV8" i="6" s="1"/>
  <c r="CU55" i="6"/>
  <c r="CV55" i="6" s="1"/>
  <c r="CU54" i="6"/>
  <c r="CV54" i="6" s="1"/>
  <c r="CU52" i="6"/>
  <c r="CV52" i="6" s="1"/>
  <c r="CU53" i="6"/>
  <c r="CV53" i="6" s="1"/>
  <c r="CU107" i="6"/>
  <c r="CV107" i="6" s="1"/>
  <c r="CU31" i="6"/>
  <c r="CV31" i="6" s="1"/>
  <c r="CU29" i="6"/>
  <c r="CV29" i="6" s="1"/>
  <c r="CU30" i="6"/>
  <c r="CV30" i="6" s="1"/>
  <c r="CU37" i="6"/>
  <c r="CV37" i="6" s="1"/>
  <c r="CU36" i="6"/>
  <c r="CV36" i="6" s="1"/>
  <c r="CU32" i="6"/>
  <c r="CV32" i="6" s="1"/>
  <c r="CU34" i="6"/>
  <c r="CV34" i="6" s="1"/>
  <c r="CU35" i="6"/>
  <c r="CV35" i="6" s="1"/>
  <c r="CU33" i="6"/>
  <c r="CV33" i="6" s="1"/>
  <c r="CU105" i="6"/>
  <c r="CV105" i="6" s="1"/>
  <c r="CU106" i="6"/>
  <c r="CV106" i="6" s="1"/>
  <c r="A118" i="11"/>
  <c r="AG119" i="11"/>
  <c r="A117" i="10"/>
  <c r="AG118" i="10"/>
  <c r="AU4" i="14"/>
  <c r="AU4" i="25"/>
  <c r="AU4" i="21"/>
  <c r="AU4" i="28"/>
  <c r="AU4" i="26"/>
  <c r="AU4" i="24"/>
  <c r="AU4" i="27"/>
  <c r="AU4" i="22"/>
  <c r="AU4" i="20"/>
  <c r="AU4" i="23"/>
  <c r="AU4" i="29"/>
  <c r="AU3" i="14"/>
  <c r="AU3" i="22"/>
  <c r="AU3" i="21"/>
  <c r="AU3" i="28"/>
  <c r="AU3" i="25"/>
  <c r="AU3" i="20"/>
  <c r="AU3" i="29"/>
  <c r="AU3" i="23"/>
  <c r="AU3" i="27"/>
  <c r="AU3" i="26"/>
  <c r="AU3" i="24"/>
  <c r="AU2" i="14"/>
  <c r="AU2" i="28"/>
  <c r="AU2" i="26"/>
  <c r="AU2" i="20"/>
  <c r="AU2" i="23"/>
  <c r="AU2" i="21"/>
  <c r="AU2" i="27"/>
  <c r="AU2" i="25"/>
  <c r="AU2" i="24"/>
  <c r="AU2" i="22"/>
  <c r="AU2" i="29"/>
  <c r="S121" i="6"/>
  <c r="CU80" i="6"/>
  <c r="CV80" i="6" s="1"/>
  <c r="CU104" i="6"/>
  <c r="CV104" i="6" s="1"/>
  <c r="C20" i="8"/>
  <c r="O37" i="1"/>
  <c r="CU100" i="6"/>
  <c r="CV100" i="6" s="1"/>
  <c r="CU98" i="6"/>
  <c r="CV98" i="6" s="1"/>
  <c r="CU103" i="6"/>
  <c r="CV103" i="6" s="1"/>
  <c r="CU99" i="6"/>
  <c r="CV99" i="6" s="1"/>
  <c r="CU102" i="6"/>
  <c r="CV102" i="6" s="1"/>
  <c r="CU101" i="6"/>
  <c r="CV101" i="6" s="1"/>
  <c r="CU79" i="6"/>
  <c r="CV79" i="6" s="1"/>
  <c r="CU76" i="6"/>
  <c r="CV76" i="6" s="1"/>
  <c r="CU77" i="6"/>
  <c r="CV77" i="6" s="1"/>
  <c r="CU78" i="6"/>
  <c r="CV78" i="6" s="1"/>
  <c r="CU75" i="6"/>
  <c r="CV75" i="6" s="1"/>
  <c r="CU43" i="6"/>
  <c r="CU64" i="6"/>
  <c r="CU93" i="6"/>
  <c r="CU114" i="6"/>
  <c r="CU23" i="6"/>
  <c r="CU44" i="6"/>
  <c r="CU65" i="6"/>
  <c r="CU115" i="6"/>
  <c r="CU14" i="6"/>
  <c r="CV14" i="6" s="1"/>
  <c r="CU45" i="6"/>
  <c r="CU66" i="6"/>
  <c r="CU116" i="6"/>
  <c r="CU24" i="6"/>
  <c r="CU47" i="6"/>
  <c r="CU15" i="6"/>
  <c r="CU39" i="6"/>
  <c r="CU90" i="6"/>
  <c r="CU22" i="6"/>
  <c r="CU46" i="6"/>
  <c r="CU68" i="6"/>
  <c r="CU40" i="6"/>
  <c r="CU41" i="6"/>
  <c r="CU70" i="6"/>
  <c r="CU91" i="6"/>
  <c r="CU67" i="6"/>
  <c r="CU18" i="6"/>
  <c r="CU19" i="6"/>
  <c r="CU69" i="6"/>
  <c r="CU20" i="6"/>
  <c r="CU62" i="6"/>
  <c r="CU21" i="6"/>
  <c r="CU42" i="6"/>
  <c r="CU63" i="6"/>
  <c r="CU92" i="6"/>
  <c r="CU113" i="6"/>
  <c r="CU111" i="6"/>
  <c r="CU109" i="6"/>
  <c r="CV109" i="6" s="1"/>
  <c r="CU97" i="6"/>
  <c r="CV97" i="6" s="1"/>
  <c r="CU89" i="6"/>
  <c r="CV89" i="6" s="1"/>
  <c r="CU112" i="6"/>
  <c r="CU110" i="6"/>
  <c r="CU108" i="6"/>
  <c r="CV108" i="6" s="1"/>
  <c r="CU74" i="6"/>
  <c r="CV74" i="6" s="1"/>
  <c r="CU87" i="6"/>
  <c r="CV87" i="6" s="1"/>
  <c r="CU85" i="6"/>
  <c r="CV85" i="6" s="1"/>
  <c r="CU88" i="6"/>
  <c r="CV88" i="6" s="1"/>
  <c r="CU86" i="6"/>
  <c r="CV86" i="6" s="1"/>
  <c r="CU5" i="6"/>
  <c r="CV5" i="6" s="1"/>
  <c r="CT5" i="6" s="1"/>
  <c r="CU51" i="6"/>
  <c r="CV51" i="6" s="1"/>
  <c r="CT51" i="6" s="1"/>
  <c r="CU28" i="6"/>
  <c r="CV28" i="6" s="1"/>
  <c r="CT28" i="6" s="1"/>
  <c r="P109" i="10"/>
  <c r="D109" i="10"/>
  <c r="P133" i="10"/>
  <c r="D133" i="10"/>
  <c r="P141" i="10"/>
  <c r="D141" i="10"/>
  <c r="D101" i="11"/>
  <c r="P101" i="11"/>
  <c r="Q101" i="11" s="1"/>
  <c r="D125" i="10"/>
  <c r="P125" i="10"/>
  <c r="P117" i="11"/>
  <c r="Q117" i="11" s="1"/>
  <c r="D117" i="11"/>
  <c r="P93" i="10"/>
  <c r="D93" i="10"/>
  <c r="P157" i="10"/>
  <c r="D157" i="10"/>
  <c r="D85" i="10"/>
  <c r="P85" i="10"/>
  <c r="P85" i="11"/>
  <c r="Q85" i="11" s="1"/>
  <c r="D85" i="11"/>
  <c r="D101" i="10"/>
  <c r="P101" i="10"/>
  <c r="P77" i="11"/>
  <c r="Q77" i="11" s="1"/>
  <c r="D77" i="11"/>
  <c r="P117" i="10"/>
  <c r="D117" i="10"/>
  <c r="D20" i="9"/>
  <c r="I20" i="9" s="1"/>
  <c r="I6" i="9"/>
  <c r="D93" i="11"/>
  <c r="P93" i="11"/>
  <c r="Q93" i="11" s="1"/>
  <c r="D165" i="10"/>
  <c r="P165" i="10"/>
  <c r="D149" i="10"/>
  <c r="P149" i="10"/>
  <c r="E109" i="11"/>
  <c r="F109" i="11" s="1"/>
  <c r="H109" i="11" s="1"/>
  <c r="L109" i="11" s="1"/>
  <c r="BS26" i="27" s="1"/>
  <c r="I109" i="11"/>
  <c r="J109" i="11" s="1"/>
  <c r="K109" i="11" s="1"/>
  <c r="M109" i="11" s="1"/>
  <c r="BS27" i="27" s="1"/>
  <c r="P165" i="11"/>
  <c r="Q165" i="11" s="1"/>
  <c r="D165" i="11"/>
  <c r="D77" i="10"/>
  <c r="P77" i="10"/>
  <c r="R109" i="11"/>
  <c r="S109" i="11" s="1"/>
  <c r="T109" i="11" s="1"/>
  <c r="X109" i="11" s="1"/>
  <c r="BT26" i="27" s="1"/>
  <c r="U109" i="11"/>
  <c r="V109" i="11" s="1"/>
  <c r="W109" i="11" s="1"/>
  <c r="Y109" i="11" s="1"/>
  <c r="BT27" i="27" s="1"/>
  <c r="CB19" i="7"/>
  <c r="CB20" i="7" s="1"/>
  <c r="CA23" i="7"/>
  <c r="AU2" i="7"/>
  <c r="N3" i="8"/>
  <c r="AU3" i="7"/>
  <c r="L3" i="8"/>
  <c r="AU4" i="7"/>
  <c r="I3" i="8"/>
  <c r="BN14" i="7"/>
  <c r="AU5" i="23" l="1"/>
  <c r="AU5" i="24"/>
  <c r="AU5" i="22"/>
  <c r="AU5" i="29"/>
  <c r="CT52" i="6"/>
  <c r="CT53" i="6" s="1"/>
  <c r="CT6" i="6"/>
  <c r="CT7" i="6" s="1"/>
  <c r="CT29" i="6"/>
  <c r="A118" i="10"/>
  <c r="AG119" i="10"/>
  <c r="A119" i="11"/>
  <c r="AG120" i="11"/>
  <c r="A14" i="7"/>
  <c r="H18" i="7"/>
  <c r="AU5" i="28"/>
  <c r="U128" i="38" s="1"/>
  <c r="AU5" i="14"/>
  <c r="U13" i="13" s="1"/>
  <c r="AU5" i="27"/>
  <c r="U13" i="37" s="1"/>
  <c r="AU5" i="20"/>
  <c r="AU5" i="25"/>
  <c r="U128" i="35" s="1"/>
  <c r="AU5" i="21"/>
  <c r="U105" i="31" s="1"/>
  <c r="AU5" i="26"/>
  <c r="U105" i="36" s="1"/>
  <c r="AN60" i="7"/>
  <c r="AN81" i="7"/>
  <c r="AN60" i="14"/>
  <c r="A130" i="6" s="1"/>
  <c r="AN60" i="28"/>
  <c r="A144" i="6" s="1"/>
  <c r="AN81" i="14"/>
  <c r="AN102" i="7"/>
  <c r="AN123" i="7"/>
  <c r="AN60" i="27"/>
  <c r="A151" i="6" s="1"/>
  <c r="AN102" i="14"/>
  <c r="AN81" i="28"/>
  <c r="A145" i="6" s="1"/>
  <c r="AN102" i="28"/>
  <c r="A146" i="6" s="1"/>
  <c r="AN144" i="7"/>
  <c r="AN123" i="14"/>
  <c r="AN60" i="26"/>
  <c r="A158" i="6" s="1"/>
  <c r="AN81" i="27"/>
  <c r="A152" i="6" s="1"/>
  <c r="AN102" i="27"/>
  <c r="A153" i="6" s="1"/>
  <c r="AN81" i="26"/>
  <c r="A159" i="6" s="1"/>
  <c r="AN60" i="25"/>
  <c r="A165" i="6" s="1"/>
  <c r="AN144" i="14"/>
  <c r="AN123" i="28"/>
  <c r="A147" i="6" s="1"/>
  <c r="AN81" i="25"/>
  <c r="A166" i="6" s="1"/>
  <c r="AN144" i="28"/>
  <c r="A148" i="6" s="1"/>
  <c r="AN102" i="26"/>
  <c r="A160" i="6" s="1"/>
  <c r="AN60" i="24"/>
  <c r="A172" i="6" s="1"/>
  <c r="AN123" i="27"/>
  <c r="A154" i="6" s="1"/>
  <c r="AN123" i="26"/>
  <c r="A161" i="6" s="1"/>
  <c r="AN102" i="25"/>
  <c r="A167" i="6" s="1"/>
  <c r="AN144" i="27"/>
  <c r="A155" i="6" s="1"/>
  <c r="AN60" i="23"/>
  <c r="A179" i="6" s="1"/>
  <c r="AN81" i="24"/>
  <c r="A173" i="6" s="1"/>
  <c r="AN102" i="24"/>
  <c r="A174" i="6" s="1"/>
  <c r="AN144" i="26"/>
  <c r="A162" i="6" s="1"/>
  <c r="AN60" i="22"/>
  <c r="A186" i="6" s="1"/>
  <c r="AN123" i="25"/>
  <c r="A168" i="6" s="1"/>
  <c r="AN81" i="23"/>
  <c r="A180" i="6" s="1"/>
  <c r="AN60" i="20"/>
  <c r="A200" i="6" s="1"/>
  <c r="AN144" i="25"/>
  <c r="A169" i="6" s="1"/>
  <c r="AN123" i="24"/>
  <c r="A175" i="6" s="1"/>
  <c r="AN60" i="21"/>
  <c r="A193" i="6" s="1"/>
  <c r="AN102" i="23"/>
  <c r="A181" i="6" s="1"/>
  <c r="AN81" i="22"/>
  <c r="A187" i="6" s="1"/>
  <c r="AN81" i="21"/>
  <c r="A194" i="6" s="1"/>
  <c r="AN102" i="22"/>
  <c r="A188" i="6" s="1"/>
  <c r="AN144" i="24"/>
  <c r="A176" i="6" s="1"/>
  <c r="AN81" i="20"/>
  <c r="A201" i="6" s="1"/>
  <c r="AN123" i="23"/>
  <c r="A182" i="6" s="1"/>
  <c r="AN144" i="23"/>
  <c r="A183" i="6" s="1"/>
  <c r="AN123" i="22"/>
  <c r="A189" i="6" s="1"/>
  <c r="AN102" i="21"/>
  <c r="A195" i="6" s="1"/>
  <c r="AN102" i="20"/>
  <c r="A202" i="6" s="1"/>
  <c r="AN123" i="21"/>
  <c r="A196" i="6" s="1"/>
  <c r="AN123" i="20"/>
  <c r="A203" i="6" s="1"/>
  <c r="AN144" i="22"/>
  <c r="A190" i="6" s="1"/>
  <c r="AN144" i="20"/>
  <c r="A204" i="6" s="1"/>
  <c r="AN144" i="21"/>
  <c r="A197" i="6" s="1"/>
  <c r="U105" i="13"/>
  <c r="U151" i="35"/>
  <c r="U151" i="37"/>
  <c r="U105" i="37"/>
  <c r="U59" i="37"/>
  <c r="U82" i="37"/>
  <c r="U36" i="37"/>
  <c r="U128" i="33"/>
  <c r="U82" i="33"/>
  <c r="U36" i="33"/>
  <c r="U151" i="33"/>
  <c r="U105" i="33"/>
  <c r="U59" i="33"/>
  <c r="U13" i="33"/>
  <c r="U128" i="30"/>
  <c r="U82" i="30"/>
  <c r="U36" i="30"/>
  <c r="U151" i="30"/>
  <c r="U105" i="30"/>
  <c r="U59" i="30"/>
  <c r="U13" i="30"/>
  <c r="U151" i="39"/>
  <c r="U105" i="39"/>
  <c r="U59" i="39"/>
  <c r="U13" i="39"/>
  <c r="U128" i="39"/>
  <c r="U82" i="39"/>
  <c r="U36" i="39"/>
  <c r="U151" i="32"/>
  <c r="U105" i="32"/>
  <c r="U59" i="32"/>
  <c r="U13" i="32"/>
  <c r="U128" i="32"/>
  <c r="U82" i="32"/>
  <c r="U36" i="32"/>
  <c r="U151" i="38"/>
  <c r="U151" i="34"/>
  <c r="U105" i="34"/>
  <c r="U59" i="34"/>
  <c r="U13" i="34"/>
  <c r="U128" i="34"/>
  <c r="U82" i="34"/>
  <c r="U36" i="34"/>
  <c r="AN18" i="27"/>
  <c r="A149" i="6" s="1"/>
  <c r="AN18" i="24"/>
  <c r="A170" i="6" s="1"/>
  <c r="AN18" i="28"/>
  <c r="A142" i="6" s="1"/>
  <c r="AN18" i="21"/>
  <c r="A191" i="6" s="1"/>
  <c r="AN18" i="23"/>
  <c r="A177" i="6" s="1"/>
  <c r="AN18" i="26"/>
  <c r="A156" i="6" s="1"/>
  <c r="AN18" i="22"/>
  <c r="A184" i="6" s="1"/>
  <c r="AN39" i="27"/>
  <c r="A150" i="6" s="1"/>
  <c r="AN39" i="26"/>
  <c r="A157" i="6" s="1"/>
  <c r="AN39" i="20"/>
  <c r="A199" i="6" s="1"/>
  <c r="AN18" i="20"/>
  <c r="A198" i="6" s="1"/>
  <c r="AN39" i="28"/>
  <c r="A143" i="6" s="1"/>
  <c r="AN39" i="24"/>
  <c r="A171" i="6" s="1"/>
  <c r="AN39" i="23"/>
  <c r="A178" i="6" s="1"/>
  <c r="AN18" i="25"/>
  <c r="A163" i="6" s="1"/>
  <c r="AN39" i="21"/>
  <c r="A192" i="6" s="1"/>
  <c r="AN39" i="22"/>
  <c r="A185" i="6" s="1"/>
  <c r="AN39" i="25"/>
  <c r="A164" i="6" s="1"/>
  <c r="BL60" i="14"/>
  <c r="BL39" i="14"/>
  <c r="A214" i="6" s="1"/>
  <c r="J214" i="6" s="1"/>
  <c r="BL60" i="7"/>
  <c r="BL69" i="7" s="1"/>
  <c r="BL18" i="14"/>
  <c r="A213" i="6" s="1"/>
  <c r="J213" i="6" s="1"/>
  <c r="AN18" i="14"/>
  <c r="A128" i="6" s="1"/>
  <c r="BL39" i="7"/>
  <c r="AN39" i="7"/>
  <c r="T121" i="6"/>
  <c r="CT74" i="6"/>
  <c r="CT75" i="6" s="1"/>
  <c r="AN18" i="7"/>
  <c r="CT97" i="6"/>
  <c r="I77" i="10"/>
  <c r="J77" i="10" s="1"/>
  <c r="K77" i="10" s="1"/>
  <c r="M77" i="10" s="1"/>
  <c r="BQ27" i="7" s="1"/>
  <c r="E77" i="10"/>
  <c r="F77" i="10" s="1"/>
  <c r="H77" i="10" s="1"/>
  <c r="L77" i="10" s="1"/>
  <c r="BQ26" i="7" s="1"/>
  <c r="E93" i="11"/>
  <c r="F93" i="11" s="1"/>
  <c r="H93" i="11" s="1"/>
  <c r="L93" i="11" s="1"/>
  <c r="BS26" i="29" s="1"/>
  <c r="I93" i="11"/>
  <c r="J93" i="11" s="1"/>
  <c r="K93" i="11" s="1"/>
  <c r="M93" i="11" s="1"/>
  <c r="BS27" i="29" s="1"/>
  <c r="I77" i="11"/>
  <c r="J77" i="11" s="1"/>
  <c r="K77" i="11" s="1"/>
  <c r="M77" i="11" s="1"/>
  <c r="BS27" i="7" s="1"/>
  <c r="E77" i="11"/>
  <c r="F77" i="11" s="1"/>
  <c r="H77" i="11" s="1"/>
  <c r="L77" i="11" s="1"/>
  <c r="BS26" i="7" s="1"/>
  <c r="I93" i="10"/>
  <c r="J93" i="10" s="1"/>
  <c r="K93" i="10" s="1"/>
  <c r="M93" i="10" s="1"/>
  <c r="BQ27" i="29" s="1"/>
  <c r="E93" i="10"/>
  <c r="F93" i="10" s="1"/>
  <c r="H93" i="10" s="1"/>
  <c r="L93" i="10" s="1"/>
  <c r="BQ26" i="29" s="1"/>
  <c r="Q141" i="10"/>
  <c r="Q133" i="10"/>
  <c r="Q109" i="10"/>
  <c r="E117" i="10"/>
  <c r="F117" i="10" s="1"/>
  <c r="H117" i="10" s="1"/>
  <c r="L117" i="10" s="1"/>
  <c r="BQ26" i="26" s="1"/>
  <c r="I117" i="10"/>
  <c r="J117" i="10" s="1"/>
  <c r="K117" i="10" s="1"/>
  <c r="M117" i="10" s="1"/>
  <c r="BQ27" i="26" s="1"/>
  <c r="U77" i="11"/>
  <c r="V77" i="11" s="1"/>
  <c r="W77" i="11" s="1"/>
  <c r="Y77" i="11" s="1"/>
  <c r="BT27" i="7" s="1"/>
  <c r="R77" i="11"/>
  <c r="S77" i="11" s="1"/>
  <c r="T77" i="11" s="1"/>
  <c r="X77" i="11" s="1"/>
  <c r="BT26" i="7" s="1"/>
  <c r="Q93" i="10"/>
  <c r="Q117" i="10"/>
  <c r="I157" i="10"/>
  <c r="J157" i="10" s="1"/>
  <c r="K157" i="10" s="1"/>
  <c r="M157" i="10" s="1"/>
  <c r="E157" i="10"/>
  <c r="F157" i="10" s="1"/>
  <c r="H157" i="10" s="1"/>
  <c r="L157" i="10" s="1"/>
  <c r="K7" i="9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I21" i="9"/>
  <c r="I22" i="9" s="1"/>
  <c r="I23" i="9" s="1"/>
  <c r="U18" i="9"/>
  <c r="T19" i="9" s="1"/>
  <c r="Q101" i="10"/>
  <c r="Q157" i="10"/>
  <c r="I101" i="10"/>
  <c r="J101" i="10" s="1"/>
  <c r="K101" i="10" s="1"/>
  <c r="M101" i="10" s="1"/>
  <c r="BQ27" i="28" s="1"/>
  <c r="E101" i="10"/>
  <c r="F101" i="10" s="1"/>
  <c r="H101" i="10" s="1"/>
  <c r="L101" i="10" s="1"/>
  <c r="BQ26" i="28" s="1"/>
  <c r="U101" i="11"/>
  <c r="V101" i="11" s="1"/>
  <c r="W101" i="11" s="1"/>
  <c r="Y101" i="11" s="1"/>
  <c r="BT27" i="28" s="1"/>
  <c r="R101" i="11"/>
  <c r="S101" i="11" s="1"/>
  <c r="T101" i="11" s="1"/>
  <c r="X101" i="11" s="1"/>
  <c r="BT26" i="28" s="1"/>
  <c r="I165" i="11"/>
  <c r="J165" i="11" s="1"/>
  <c r="K165" i="11" s="1"/>
  <c r="M165" i="11" s="1"/>
  <c r="E165" i="11"/>
  <c r="F165" i="11" s="1"/>
  <c r="H165" i="11" s="1"/>
  <c r="L165" i="11" s="1"/>
  <c r="E101" i="11"/>
  <c r="F101" i="11" s="1"/>
  <c r="H101" i="11" s="1"/>
  <c r="L101" i="11" s="1"/>
  <c r="BS26" i="28" s="1"/>
  <c r="I101" i="11"/>
  <c r="J101" i="11" s="1"/>
  <c r="K101" i="11" s="1"/>
  <c r="M101" i="11" s="1"/>
  <c r="BS27" i="28" s="1"/>
  <c r="Q149" i="10"/>
  <c r="R165" i="11"/>
  <c r="S165" i="11" s="1"/>
  <c r="T165" i="11" s="1"/>
  <c r="X165" i="11" s="1"/>
  <c r="U165" i="11"/>
  <c r="V165" i="11" s="1"/>
  <c r="W165" i="11" s="1"/>
  <c r="Y165" i="11" s="1"/>
  <c r="E149" i="10"/>
  <c r="F149" i="10" s="1"/>
  <c r="H149" i="10" s="1"/>
  <c r="L149" i="10" s="1"/>
  <c r="I149" i="10"/>
  <c r="J149" i="10" s="1"/>
  <c r="K149" i="10" s="1"/>
  <c r="M149" i="10" s="1"/>
  <c r="I165" i="10"/>
  <c r="J165" i="10" s="1"/>
  <c r="K165" i="10" s="1"/>
  <c r="M165" i="10" s="1"/>
  <c r="E165" i="10"/>
  <c r="F165" i="10" s="1"/>
  <c r="H165" i="10" s="1"/>
  <c r="L165" i="10" s="1"/>
  <c r="I85" i="11"/>
  <c r="J85" i="11" s="1"/>
  <c r="K85" i="11" s="1"/>
  <c r="M85" i="11" s="1"/>
  <c r="BS27" i="14" s="1"/>
  <c r="E85" i="11"/>
  <c r="F85" i="11" s="1"/>
  <c r="H85" i="11" s="1"/>
  <c r="L85" i="11" s="1"/>
  <c r="BS26" i="14" s="1"/>
  <c r="Q85" i="10"/>
  <c r="I117" i="11"/>
  <c r="J117" i="11" s="1"/>
  <c r="K117" i="11" s="1"/>
  <c r="M117" i="11" s="1"/>
  <c r="BS27" i="26" s="1"/>
  <c r="E117" i="11"/>
  <c r="F117" i="11" s="1"/>
  <c r="H117" i="11" s="1"/>
  <c r="L117" i="11" s="1"/>
  <c r="BS26" i="26" s="1"/>
  <c r="Q125" i="10"/>
  <c r="Q165" i="10"/>
  <c r="Q77" i="10"/>
  <c r="U93" i="11"/>
  <c r="V93" i="11" s="1"/>
  <c r="W93" i="11" s="1"/>
  <c r="Y93" i="11" s="1"/>
  <c r="BT27" i="29" s="1"/>
  <c r="R93" i="11"/>
  <c r="S93" i="11" s="1"/>
  <c r="T93" i="11" s="1"/>
  <c r="X93" i="11" s="1"/>
  <c r="BT26" i="29" s="1"/>
  <c r="U85" i="11"/>
  <c r="V85" i="11" s="1"/>
  <c r="W85" i="11" s="1"/>
  <c r="Y85" i="11" s="1"/>
  <c r="BT27" i="14" s="1"/>
  <c r="R85" i="11"/>
  <c r="S85" i="11" s="1"/>
  <c r="T85" i="11" s="1"/>
  <c r="X85" i="11" s="1"/>
  <c r="BT26" i="14" s="1"/>
  <c r="E85" i="10"/>
  <c r="F85" i="10" s="1"/>
  <c r="H85" i="10" s="1"/>
  <c r="L85" i="10" s="1"/>
  <c r="BQ26" i="14" s="1"/>
  <c r="I85" i="10"/>
  <c r="J85" i="10" s="1"/>
  <c r="K85" i="10" s="1"/>
  <c r="M85" i="10" s="1"/>
  <c r="BQ27" i="14" s="1"/>
  <c r="R117" i="11"/>
  <c r="S117" i="11" s="1"/>
  <c r="T117" i="11" s="1"/>
  <c r="X117" i="11" s="1"/>
  <c r="BT26" i="26" s="1"/>
  <c r="U117" i="11"/>
  <c r="V117" i="11" s="1"/>
  <c r="W117" i="11" s="1"/>
  <c r="Y117" i="11" s="1"/>
  <c r="BT27" i="26" s="1"/>
  <c r="I125" i="10"/>
  <c r="J125" i="10" s="1"/>
  <c r="K125" i="10" s="1"/>
  <c r="M125" i="10" s="1"/>
  <c r="E125" i="10"/>
  <c r="F125" i="10" s="1"/>
  <c r="H125" i="10" s="1"/>
  <c r="L125" i="10" s="1"/>
  <c r="I141" i="10"/>
  <c r="J141" i="10" s="1"/>
  <c r="K141" i="10" s="1"/>
  <c r="M141" i="10" s="1"/>
  <c r="E141" i="10"/>
  <c r="F141" i="10" s="1"/>
  <c r="H141" i="10" s="1"/>
  <c r="L141" i="10" s="1"/>
  <c r="E133" i="10"/>
  <c r="F133" i="10" s="1"/>
  <c r="H133" i="10" s="1"/>
  <c r="L133" i="10" s="1"/>
  <c r="I133" i="10"/>
  <c r="J133" i="10" s="1"/>
  <c r="K133" i="10" s="1"/>
  <c r="M133" i="10" s="1"/>
  <c r="E109" i="10"/>
  <c r="F109" i="10" s="1"/>
  <c r="H109" i="10" s="1"/>
  <c r="L109" i="10" s="1"/>
  <c r="BQ26" i="27" s="1"/>
  <c r="I109" i="10"/>
  <c r="J109" i="10" s="1"/>
  <c r="K109" i="10" s="1"/>
  <c r="M109" i="10" s="1"/>
  <c r="BQ27" i="27" s="1"/>
  <c r="AU5" i="7"/>
  <c r="H6" i="8"/>
  <c r="H10" i="8"/>
  <c r="H14" i="8"/>
  <c r="H15" i="8" s="1"/>
  <c r="H16" i="8" s="1"/>
  <c r="H17" i="8" s="1"/>
  <c r="H20" i="8" s="1"/>
  <c r="BN15" i="7"/>
  <c r="U128" i="37" l="1"/>
  <c r="AN68" i="7"/>
  <c r="AN67" i="7"/>
  <c r="AN66" i="7"/>
  <c r="AN69" i="7"/>
  <c r="AN65" i="7"/>
  <c r="BL67" i="7"/>
  <c r="BL68" i="7"/>
  <c r="BL65" i="7"/>
  <c r="BL66" i="7"/>
  <c r="AN64" i="7"/>
  <c r="AN63" i="7"/>
  <c r="AN61" i="7"/>
  <c r="AN62" i="7"/>
  <c r="BL63" i="7"/>
  <c r="BL64" i="7"/>
  <c r="U13" i="38"/>
  <c r="U36" i="38"/>
  <c r="U36" i="35"/>
  <c r="U59" i="38"/>
  <c r="U82" i="38"/>
  <c r="U105" i="38"/>
  <c r="U105" i="35"/>
  <c r="U36" i="13"/>
  <c r="U59" i="13"/>
  <c r="U151" i="13"/>
  <c r="U82" i="13"/>
  <c r="U128" i="13"/>
  <c r="CT54" i="6"/>
  <c r="CT55" i="6" s="1"/>
  <c r="CT50" i="6" s="1"/>
  <c r="BM6" i="1" s="1"/>
  <c r="CT8" i="6"/>
  <c r="CT30" i="6"/>
  <c r="CT31" i="6"/>
  <c r="CT98" i="6"/>
  <c r="CT99" i="6" s="1"/>
  <c r="CT100" i="6" s="1"/>
  <c r="A120" i="11"/>
  <c r="AG121" i="11"/>
  <c r="A119" i="10"/>
  <c r="AG120" i="10"/>
  <c r="A15" i="7"/>
  <c r="H19" i="7"/>
  <c r="CZ102" i="14"/>
  <c r="CY102" i="14" s="1"/>
  <c r="A132" i="6"/>
  <c r="CZ123" i="7"/>
  <c r="CY123" i="7" s="1"/>
  <c r="CZ102" i="7"/>
  <c r="CY102" i="7" s="1"/>
  <c r="CZ123" i="14"/>
  <c r="CY123" i="14" s="1"/>
  <c r="A133" i="6"/>
  <c r="CZ81" i="14"/>
  <c r="CY81" i="14" s="1"/>
  <c r="A131" i="6"/>
  <c r="BL63" i="14"/>
  <c r="A215" i="6"/>
  <c r="J215" i="6" s="1"/>
  <c r="CZ144" i="7"/>
  <c r="CY144" i="7" s="1"/>
  <c r="CZ144" i="14"/>
  <c r="CY144" i="14" s="1"/>
  <c r="A134" i="6"/>
  <c r="CZ81" i="7"/>
  <c r="CY81" i="7" s="1"/>
  <c r="U59" i="35"/>
  <c r="U82" i="35"/>
  <c r="U128" i="31"/>
  <c r="U151" i="31"/>
  <c r="U13" i="35"/>
  <c r="U36" i="36"/>
  <c r="U151" i="36"/>
  <c r="H152" i="36" s="1"/>
  <c r="L152" i="36" s="1"/>
  <c r="U82" i="36"/>
  <c r="U36" i="31"/>
  <c r="U128" i="36"/>
  <c r="U82" i="31"/>
  <c r="H83" i="31" s="1"/>
  <c r="L83" i="31" s="1"/>
  <c r="U13" i="36"/>
  <c r="H15" i="36" s="1"/>
  <c r="L15" i="36" s="1"/>
  <c r="U13" i="31"/>
  <c r="H14" i="31" s="1"/>
  <c r="L14" i="31" s="1"/>
  <c r="U59" i="36"/>
  <c r="U59" i="31"/>
  <c r="H61" i="31" s="1"/>
  <c r="L61" i="31" s="1"/>
  <c r="AE123" i="22"/>
  <c r="AH123" i="22"/>
  <c r="AF123" i="22"/>
  <c r="AD123" i="22"/>
  <c r="AE102" i="23"/>
  <c r="AH102" i="23"/>
  <c r="AF102" i="23"/>
  <c r="AD102" i="23"/>
  <c r="AF144" i="26"/>
  <c r="AD144" i="26"/>
  <c r="AE144" i="26"/>
  <c r="AH144" i="26"/>
  <c r="AH60" i="24"/>
  <c r="AF60" i="24"/>
  <c r="AD60" i="24"/>
  <c r="AE60" i="24"/>
  <c r="AE102" i="27"/>
  <c r="AD102" i="27"/>
  <c r="AF102" i="27"/>
  <c r="AH102" i="27"/>
  <c r="AH60" i="27"/>
  <c r="AE60" i="27"/>
  <c r="AF60" i="27"/>
  <c r="AD60" i="27"/>
  <c r="AH144" i="21"/>
  <c r="AF144" i="21"/>
  <c r="AD144" i="21"/>
  <c r="AE144" i="21"/>
  <c r="AH144" i="23"/>
  <c r="AF144" i="23"/>
  <c r="AD144" i="23"/>
  <c r="AE144" i="23"/>
  <c r="AE60" i="21"/>
  <c r="AF60" i="21"/>
  <c r="AH60" i="21"/>
  <c r="AD60" i="21"/>
  <c r="AE102" i="24"/>
  <c r="AF102" i="24"/>
  <c r="AH102" i="24"/>
  <c r="AD102" i="24"/>
  <c r="AE102" i="26"/>
  <c r="AF102" i="26"/>
  <c r="AH102" i="26"/>
  <c r="AD102" i="26"/>
  <c r="AH81" i="27"/>
  <c r="AE81" i="27"/>
  <c r="AD81" i="27"/>
  <c r="AF81" i="27"/>
  <c r="AF123" i="7"/>
  <c r="AD123" i="7"/>
  <c r="AE123" i="7"/>
  <c r="AH123" i="7"/>
  <c r="AF144" i="20"/>
  <c r="AD144" i="20"/>
  <c r="AH144" i="20"/>
  <c r="AE144" i="20"/>
  <c r="AH123" i="23"/>
  <c r="AD123" i="23"/>
  <c r="AE123" i="23"/>
  <c r="AF123" i="23"/>
  <c r="AE123" i="24"/>
  <c r="AF123" i="24"/>
  <c r="AH123" i="24"/>
  <c r="AD123" i="24"/>
  <c r="AD81" i="24"/>
  <c r="AE81" i="24"/>
  <c r="AH81" i="24"/>
  <c r="AF81" i="24"/>
  <c r="AD144" i="28"/>
  <c r="AH144" i="28"/>
  <c r="AF144" i="28"/>
  <c r="AE144" i="28"/>
  <c r="AE60" i="26"/>
  <c r="AH60" i="26"/>
  <c r="AF60" i="26"/>
  <c r="AD60" i="26"/>
  <c r="AF102" i="7"/>
  <c r="AH102" i="7"/>
  <c r="AD102" i="7"/>
  <c r="AE102" i="7"/>
  <c r="AF144" i="22"/>
  <c r="AE144" i="22"/>
  <c r="AD144" i="22"/>
  <c r="AH144" i="22"/>
  <c r="AE81" i="20"/>
  <c r="AF81" i="20"/>
  <c r="AD81" i="20"/>
  <c r="AH81" i="20"/>
  <c r="AH144" i="25"/>
  <c r="AD144" i="25"/>
  <c r="AF144" i="25"/>
  <c r="AE144" i="25"/>
  <c r="AH60" i="23"/>
  <c r="AD60" i="23"/>
  <c r="AF60" i="23"/>
  <c r="AE60" i="23"/>
  <c r="AE81" i="25"/>
  <c r="AD81" i="25"/>
  <c r="AH81" i="25"/>
  <c r="AF81" i="25"/>
  <c r="AD123" i="14"/>
  <c r="AF123" i="14"/>
  <c r="AH123" i="14"/>
  <c r="AE123" i="14"/>
  <c r="AD81" i="14"/>
  <c r="AH81" i="14"/>
  <c r="AE81" i="14"/>
  <c r="AF81" i="14"/>
  <c r="AE123" i="20"/>
  <c r="AF123" i="20"/>
  <c r="AD123" i="20"/>
  <c r="AH123" i="20"/>
  <c r="AH144" i="24"/>
  <c r="AE144" i="24"/>
  <c r="AD144" i="24"/>
  <c r="AF144" i="24"/>
  <c r="AF60" i="20"/>
  <c r="AD60" i="20"/>
  <c r="AH60" i="20"/>
  <c r="AE60" i="20"/>
  <c r="AD144" i="27"/>
  <c r="AE144" i="27"/>
  <c r="AF144" i="27"/>
  <c r="AH144" i="27"/>
  <c r="AE123" i="28"/>
  <c r="AD123" i="28"/>
  <c r="AH123" i="28"/>
  <c r="AF123" i="28"/>
  <c r="AE144" i="7"/>
  <c r="AF144" i="7"/>
  <c r="AH144" i="7"/>
  <c r="AD144" i="7"/>
  <c r="AH60" i="28"/>
  <c r="AD60" i="28"/>
  <c r="AF60" i="28"/>
  <c r="AE60" i="28"/>
  <c r="AF123" i="21"/>
  <c r="AH123" i="21"/>
  <c r="AE123" i="21"/>
  <c r="AD123" i="21"/>
  <c r="AE102" i="22"/>
  <c r="AF102" i="22"/>
  <c r="AD102" i="22"/>
  <c r="AH102" i="22"/>
  <c r="AD81" i="23"/>
  <c r="AF81" i="23"/>
  <c r="AE81" i="23"/>
  <c r="AH81" i="23"/>
  <c r="AE102" i="25"/>
  <c r="AH102" i="25"/>
  <c r="AF102" i="25"/>
  <c r="AD102" i="25"/>
  <c r="AE144" i="14"/>
  <c r="AH144" i="14"/>
  <c r="AF144" i="14"/>
  <c r="AD144" i="14"/>
  <c r="AE102" i="28"/>
  <c r="AD102" i="28"/>
  <c r="AH102" i="28"/>
  <c r="AF102" i="28"/>
  <c r="AF60" i="14"/>
  <c r="AH60" i="14"/>
  <c r="AE60" i="14"/>
  <c r="AD60" i="14"/>
  <c r="AE102" i="20"/>
  <c r="AD102" i="20"/>
  <c r="AF102" i="20"/>
  <c r="AH102" i="20"/>
  <c r="AE81" i="21"/>
  <c r="AD81" i="21"/>
  <c r="AF81" i="21"/>
  <c r="AH81" i="21"/>
  <c r="AH123" i="25"/>
  <c r="AF123" i="25"/>
  <c r="AE123" i="25"/>
  <c r="AD123" i="25"/>
  <c r="AF123" i="26"/>
  <c r="AE123" i="26"/>
  <c r="AH123" i="26"/>
  <c r="AD123" i="26"/>
  <c r="AD60" i="25"/>
  <c r="AE60" i="25"/>
  <c r="AH60" i="25"/>
  <c r="AF60" i="25"/>
  <c r="AD81" i="28"/>
  <c r="AE81" i="28"/>
  <c r="AF81" i="28"/>
  <c r="AH81" i="28"/>
  <c r="AE81" i="7"/>
  <c r="AH81" i="7"/>
  <c r="AD81" i="7"/>
  <c r="AF81" i="7"/>
  <c r="AE102" i="21"/>
  <c r="AF102" i="21"/>
  <c r="AD102" i="21"/>
  <c r="AH102" i="21"/>
  <c r="AH81" i="22"/>
  <c r="AD81" i="22"/>
  <c r="AE81" i="22"/>
  <c r="AF81" i="22"/>
  <c r="AE60" i="22"/>
  <c r="AF60" i="22"/>
  <c r="AH60" i="22"/>
  <c r="AD60" i="22"/>
  <c r="AF123" i="27"/>
  <c r="AH123" i="27"/>
  <c r="AE123" i="27"/>
  <c r="AD123" i="27"/>
  <c r="AH81" i="26"/>
  <c r="AF81" i="26"/>
  <c r="AE81" i="26"/>
  <c r="AD81" i="26"/>
  <c r="AE102" i="14"/>
  <c r="AH102" i="14"/>
  <c r="AF102" i="14"/>
  <c r="AD102" i="14"/>
  <c r="AH60" i="7"/>
  <c r="AE60" i="7"/>
  <c r="AF60" i="7"/>
  <c r="AD60" i="7"/>
  <c r="CZ18" i="14"/>
  <c r="CY18" i="14" s="1"/>
  <c r="AH18" i="14"/>
  <c r="AH18" i="20"/>
  <c r="AH18" i="28"/>
  <c r="CZ18" i="7"/>
  <c r="CY18" i="7" s="1"/>
  <c r="AH18" i="7"/>
  <c r="AH39" i="25"/>
  <c r="AH39" i="20"/>
  <c r="AH18" i="24"/>
  <c r="CZ39" i="7"/>
  <c r="CY39" i="7" s="1"/>
  <c r="AH39" i="7"/>
  <c r="AH39" i="22"/>
  <c r="AH39" i="26"/>
  <c r="AH18" i="27"/>
  <c r="AH39" i="21"/>
  <c r="AH39" i="27"/>
  <c r="AH18" i="25"/>
  <c r="AH18" i="22"/>
  <c r="AH39" i="23"/>
  <c r="AH18" i="26"/>
  <c r="AH39" i="24"/>
  <c r="AH18" i="23"/>
  <c r="AH39" i="28"/>
  <c r="AH18" i="21"/>
  <c r="CZ144" i="27"/>
  <c r="CY144" i="27" s="1"/>
  <c r="CZ123" i="26"/>
  <c r="CY123" i="26" s="1"/>
  <c r="CZ102" i="24"/>
  <c r="CY102" i="24" s="1"/>
  <c r="CZ81" i="25"/>
  <c r="CY81" i="25" s="1"/>
  <c r="CZ60" i="22"/>
  <c r="CY60" i="22" s="1"/>
  <c r="CZ60" i="21"/>
  <c r="CY60" i="21" s="1"/>
  <c r="CZ18" i="20"/>
  <c r="CY18" i="20" s="1"/>
  <c r="CZ18" i="28"/>
  <c r="CY18" i="28" s="1"/>
  <c r="CZ144" i="23"/>
  <c r="CY144" i="23" s="1"/>
  <c r="CZ123" i="23"/>
  <c r="CY123" i="23" s="1"/>
  <c r="CZ102" i="26"/>
  <c r="CY102" i="26" s="1"/>
  <c r="CZ81" i="23"/>
  <c r="CY81" i="23" s="1"/>
  <c r="CZ60" i="25"/>
  <c r="CY60" i="25" s="1"/>
  <c r="CZ39" i="22"/>
  <c r="CY39" i="22" s="1"/>
  <c r="CZ39" i="20"/>
  <c r="CY39" i="20" s="1"/>
  <c r="CZ18" i="24"/>
  <c r="CY18" i="24" s="1"/>
  <c r="CZ144" i="21"/>
  <c r="CY144" i="21" s="1"/>
  <c r="CZ123" i="28"/>
  <c r="CY123" i="28" s="1"/>
  <c r="CZ102" i="21"/>
  <c r="CY102" i="21" s="1"/>
  <c r="CZ81" i="27"/>
  <c r="CY81" i="27" s="1"/>
  <c r="CZ60" i="20"/>
  <c r="CY60" i="20" s="1"/>
  <c r="CZ60" i="23"/>
  <c r="CY60" i="23" s="1"/>
  <c r="CZ39" i="26"/>
  <c r="CY39" i="26" s="1"/>
  <c r="CZ18" i="27"/>
  <c r="CY18" i="27" s="1"/>
  <c r="CZ144" i="28"/>
  <c r="CY144" i="28" s="1"/>
  <c r="CZ102" i="25"/>
  <c r="CY102" i="25" s="1"/>
  <c r="CZ102" i="28"/>
  <c r="CY102" i="28" s="1"/>
  <c r="CZ81" i="26"/>
  <c r="CY81" i="26" s="1"/>
  <c r="CZ60" i="26"/>
  <c r="CY60" i="26" s="1"/>
  <c r="CZ39" i="21"/>
  <c r="CY39" i="21" s="1"/>
  <c r="CZ39" i="27"/>
  <c r="CY39" i="27" s="1"/>
  <c r="CZ144" i="25"/>
  <c r="CY144" i="25" s="1"/>
  <c r="CZ144" i="20"/>
  <c r="CY144" i="20" s="1"/>
  <c r="CZ123" i="27"/>
  <c r="CY123" i="27" s="1"/>
  <c r="CZ102" i="20"/>
  <c r="CY102" i="20" s="1"/>
  <c r="CZ81" i="21"/>
  <c r="CY81" i="21" s="1"/>
  <c r="CZ60" i="27"/>
  <c r="CY60" i="27" s="1"/>
  <c r="CZ18" i="25"/>
  <c r="CY18" i="25" s="1"/>
  <c r="CZ18" i="22"/>
  <c r="CY18" i="22" s="1"/>
  <c r="CZ144" i="22"/>
  <c r="CY144" i="22" s="1"/>
  <c r="CZ144" i="26"/>
  <c r="CY144" i="26" s="1"/>
  <c r="CZ123" i="24"/>
  <c r="CY123" i="24" s="1"/>
  <c r="CZ102" i="23"/>
  <c r="CY102" i="23" s="1"/>
  <c r="CZ81" i="20"/>
  <c r="CY81" i="20" s="1"/>
  <c r="CZ39" i="25"/>
  <c r="CY39" i="25" s="1"/>
  <c r="CZ39" i="23"/>
  <c r="CY39" i="23" s="1"/>
  <c r="CZ18" i="26"/>
  <c r="CY18" i="26" s="1"/>
  <c r="CZ60" i="14"/>
  <c r="CY60" i="14" s="1"/>
  <c r="CZ144" i="24"/>
  <c r="CY144" i="24" s="1"/>
  <c r="CZ123" i="22"/>
  <c r="CY123" i="22" s="1"/>
  <c r="CZ123" i="20"/>
  <c r="CY123" i="20" s="1"/>
  <c r="CZ81" i="22"/>
  <c r="CY81" i="22" s="1"/>
  <c r="CZ81" i="24"/>
  <c r="CY81" i="24" s="1"/>
  <c r="CZ60" i="28"/>
  <c r="CY60" i="28" s="1"/>
  <c r="CZ39" i="24"/>
  <c r="CY39" i="24" s="1"/>
  <c r="CZ18" i="23"/>
  <c r="CY18" i="23" s="1"/>
  <c r="CZ123" i="25"/>
  <c r="CY123" i="25" s="1"/>
  <c r="CZ123" i="21"/>
  <c r="CY123" i="21" s="1"/>
  <c r="CZ102" i="22"/>
  <c r="CY102" i="22" s="1"/>
  <c r="CZ102" i="27"/>
  <c r="CY102" i="27" s="1"/>
  <c r="CZ81" i="28"/>
  <c r="CY81" i="28" s="1"/>
  <c r="CZ60" i="24"/>
  <c r="CY60" i="24" s="1"/>
  <c r="CZ39" i="28"/>
  <c r="CY39" i="28" s="1"/>
  <c r="CZ18" i="21"/>
  <c r="CY18" i="21" s="1"/>
  <c r="CZ60" i="7"/>
  <c r="CY60" i="7" s="1"/>
  <c r="H61" i="34"/>
  <c r="L61" i="34" s="1"/>
  <c r="H60" i="34"/>
  <c r="L60" i="34" s="1"/>
  <c r="H152" i="32"/>
  <c r="L152" i="32" s="1"/>
  <c r="H153" i="32"/>
  <c r="L153" i="32" s="1"/>
  <c r="H61" i="30"/>
  <c r="L61" i="30" s="1"/>
  <c r="H60" i="30"/>
  <c r="L60" i="30" s="1"/>
  <c r="H61" i="33"/>
  <c r="L61" i="33" s="1"/>
  <c r="H60" i="33"/>
  <c r="L60" i="33" s="1"/>
  <c r="H129" i="31"/>
  <c r="L129" i="31" s="1"/>
  <c r="H130" i="31"/>
  <c r="L130" i="31" s="1"/>
  <c r="H107" i="34"/>
  <c r="L107" i="34" s="1"/>
  <c r="H106" i="34"/>
  <c r="L106" i="34" s="1"/>
  <c r="H107" i="30"/>
  <c r="L107" i="30" s="1"/>
  <c r="H106" i="30"/>
  <c r="L106" i="30" s="1"/>
  <c r="H106" i="33"/>
  <c r="L106" i="33" s="1"/>
  <c r="H107" i="33"/>
  <c r="L107" i="33" s="1"/>
  <c r="H152" i="34"/>
  <c r="L152" i="34" s="1"/>
  <c r="H153" i="34"/>
  <c r="L153" i="34" s="1"/>
  <c r="H38" i="32"/>
  <c r="L38" i="32" s="1"/>
  <c r="H37" i="32"/>
  <c r="L37" i="32" s="1"/>
  <c r="H152" i="30"/>
  <c r="L152" i="30" s="1"/>
  <c r="H153" i="30"/>
  <c r="L153" i="30" s="1"/>
  <c r="H152" i="33"/>
  <c r="L152" i="33" s="1"/>
  <c r="H153" i="33"/>
  <c r="L153" i="33" s="1"/>
  <c r="H83" i="32"/>
  <c r="L83" i="32" s="1"/>
  <c r="H84" i="32"/>
  <c r="L84" i="32" s="1"/>
  <c r="H37" i="30"/>
  <c r="L37" i="30" s="1"/>
  <c r="H38" i="30"/>
  <c r="L38" i="30" s="1"/>
  <c r="H38" i="33"/>
  <c r="L38" i="33" s="1"/>
  <c r="H37" i="33"/>
  <c r="L37" i="33" s="1"/>
  <c r="H106" i="31"/>
  <c r="L106" i="31" s="1"/>
  <c r="H107" i="31"/>
  <c r="L107" i="31" s="1"/>
  <c r="H38" i="34"/>
  <c r="L38" i="34" s="1"/>
  <c r="H37" i="34"/>
  <c r="L37" i="34" s="1"/>
  <c r="H129" i="32"/>
  <c r="L129" i="32" s="1"/>
  <c r="H130" i="32"/>
  <c r="L130" i="32" s="1"/>
  <c r="H83" i="30"/>
  <c r="L83" i="30" s="1"/>
  <c r="H84" i="30"/>
  <c r="L84" i="30" s="1"/>
  <c r="H83" i="33"/>
  <c r="L83" i="33" s="1"/>
  <c r="H84" i="33"/>
  <c r="L84" i="33" s="1"/>
  <c r="H152" i="31"/>
  <c r="L152" i="31" s="1"/>
  <c r="H153" i="31"/>
  <c r="L153" i="31" s="1"/>
  <c r="H84" i="34"/>
  <c r="L84" i="34" s="1"/>
  <c r="H83" i="34"/>
  <c r="L83" i="34" s="1"/>
  <c r="H15" i="32"/>
  <c r="L15" i="32" s="1"/>
  <c r="H14" i="32"/>
  <c r="L14" i="32" s="1"/>
  <c r="H129" i="30"/>
  <c r="L129" i="30" s="1"/>
  <c r="H130" i="30"/>
  <c r="L130" i="30" s="1"/>
  <c r="H130" i="33"/>
  <c r="L130" i="33" s="1"/>
  <c r="H129" i="33"/>
  <c r="L129" i="33" s="1"/>
  <c r="H130" i="34"/>
  <c r="L130" i="34" s="1"/>
  <c r="H129" i="34"/>
  <c r="L129" i="34" s="1"/>
  <c r="H61" i="32"/>
  <c r="L61" i="32" s="1"/>
  <c r="H60" i="32"/>
  <c r="L60" i="32" s="1"/>
  <c r="H38" i="31"/>
  <c r="L38" i="31" s="1"/>
  <c r="H37" i="31"/>
  <c r="L37" i="31" s="1"/>
  <c r="H15" i="34"/>
  <c r="L15" i="34" s="1"/>
  <c r="H14" i="34"/>
  <c r="L14" i="34" s="1"/>
  <c r="H106" i="32"/>
  <c r="L106" i="32" s="1"/>
  <c r="H107" i="32"/>
  <c r="L107" i="32" s="1"/>
  <c r="H15" i="30"/>
  <c r="L15" i="30" s="1"/>
  <c r="H14" i="30"/>
  <c r="L14" i="30" s="1"/>
  <c r="H15" i="33"/>
  <c r="L15" i="33" s="1"/>
  <c r="H14" i="33"/>
  <c r="L14" i="33" s="1"/>
  <c r="AD39" i="21"/>
  <c r="AF39" i="21"/>
  <c r="AE39" i="21"/>
  <c r="AF39" i="27"/>
  <c r="AE39" i="27"/>
  <c r="AD39" i="27"/>
  <c r="AD18" i="25"/>
  <c r="AE18" i="25"/>
  <c r="AF18" i="25"/>
  <c r="AF18" i="22"/>
  <c r="AE18" i="22"/>
  <c r="AD18" i="22"/>
  <c r="AE39" i="25"/>
  <c r="AF39" i="25"/>
  <c r="AD39" i="25"/>
  <c r="AE39" i="23"/>
  <c r="AD39" i="23"/>
  <c r="AF39" i="23"/>
  <c r="AF18" i="26"/>
  <c r="AE18" i="26"/>
  <c r="AD18" i="26"/>
  <c r="AD39" i="24"/>
  <c r="AF39" i="24"/>
  <c r="AE39" i="24"/>
  <c r="AF18" i="23"/>
  <c r="AE18" i="23"/>
  <c r="AD18" i="23"/>
  <c r="AE39" i="28"/>
  <c r="AD39" i="28"/>
  <c r="AF39" i="28"/>
  <c r="AF18" i="21"/>
  <c r="AE18" i="21"/>
  <c r="AD18" i="21"/>
  <c r="AF18" i="20"/>
  <c r="AD18" i="20"/>
  <c r="AE18" i="20"/>
  <c r="AD18" i="28"/>
  <c r="AF18" i="28"/>
  <c r="AE18" i="28"/>
  <c r="AD39" i="22"/>
  <c r="AF39" i="22"/>
  <c r="AE39" i="22"/>
  <c r="AD39" i="20"/>
  <c r="AE39" i="20"/>
  <c r="AF39" i="20"/>
  <c r="AF18" i="24"/>
  <c r="AE18" i="24"/>
  <c r="AD18" i="24"/>
  <c r="AE39" i="26"/>
  <c r="AD39" i="26"/>
  <c r="AF39" i="26"/>
  <c r="AE18" i="27"/>
  <c r="AF18" i="27"/>
  <c r="AD18" i="27"/>
  <c r="BH60" i="7"/>
  <c r="BL62" i="7"/>
  <c r="BL61" i="14"/>
  <c r="AY61" i="14" s="1"/>
  <c r="BL62" i="14"/>
  <c r="BL40" i="14"/>
  <c r="BL41" i="14"/>
  <c r="BB18" i="14"/>
  <c r="BL20" i="14"/>
  <c r="AE18" i="14"/>
  <c r="AN20" i="14"/>
  <c r="U59" i="9"/>
  <c r="U105" i="9"/>
  <c r="U82" i="9"/>
  <c r="U151" i="9"/>
  <c r="U128" i="9"/>
  <c r="AY60" i="14"/>
  <c r="M58" i="13" s="1"/>
  <c r="AW60" i="14"/>
  <c r="C56" i="13" s="1"/>
  <c r="AX60" i="14"/>
  <c r="C58" i="13" s="1"/>
  <c r="BA60" i="14"/>
  <c r="BB60" i="14"/>
  <c r="AS60" i="14"/>
  <c r="BF60" i="14"/>
  <c r="AU60" i="14"/>
  <c r="C63" i="13" s="1"/>
  <c r="BH60" i="14"/>
  <c r="BC60" i="14"/>
  <c r="AZ60" i="14"/>
  <c r="AT60" i="14"/>
  <c r="BI60" i="14"/>
  <c r="BD60" i="14"/>
  <c r="BE60" i="14"/>
  <c r="BG60" i="14"/>
  <c r="BI39" i="14"/>
  <c r="AW39" i="14"/>
  <c r="C33" i="13" s="1"/>
  <c r="AX39" i="14"/>
  <c r="BF39" i="14"/>
  <c r="BB39" i="14"/>
  <c r="BH39" i="14"/>
  <c r="AY39" i="14"/>
  <c r="M35" i="13" s="1"/>
  <c r="BE39" i="14"/>
  <c r="BG39" i="14"/>
  <c r="AT39" i="14"/>
  <c r="AS39" i="14"/>
  <c r="AU39" i="14"/>
  <c r="C40" i="13" s="1"/>
  <c r="AZ39" i="14"/>
  <c r="BC39" i="14"/>
  <c r="BA39" i="14"/>
  <c r="BD39" i="14"/>
  <c r="BB60" i="7"/>
  <c r="BI60" i="7"/>
  <c r="AS60" i="7"/>
  <c r="AZ60" i="7"/>
  <c r="AT60" i="7"/>
  <c r="BE60" i="7"/>
  <c r="BA60" i="7"/>
  <c r="BA69" i="7" s="1"/>
  <c r="BF60" i="7"/>
  <c r="BC60" i="7"/>
  <c r="AW60" i="7"/>
  <c r="BD60" i="7"/>
  <c r="BG60" i="7"/>
  <c r="BL61" i="7"/>
  <c r="AY60" i="7"/>
  <c r="AX60" i="7"/>
  <c r="AX69" i="7" s="1"/>
  <c r="AU60" i="7"/>
  <c r="AW18" i="14"/>
  <c r="C10" i="13" s="1"/>
  <c r="BE18" i="14"/>
  <c r="AX18" i="14"/>
  <c r="C12" i="13" s="1"/>
  <c r="BL19" i="14"/>
  <c r="AS18" i="14"/>
  <c r="BA18" i="14"/>
  <c r="BI18" i="14"/>
  <c r="AY18" i="14"/>
  <c r="M12" i="13" s="1"/>
  <c r="AU18" i="14"/>
  <c r="BG18" i="14"/>
  <c r="BC18" i="14"/>
  <c r="BD18" i="14"/>
  <c r="AZ18" i="14"/>
  <c r="BH18" i="14"/>
  <c r="BF18" i="14"/>
  <c r="AT18" i="14"/>
  <c r="AN19" i="14"/>
  <c r="AF18" i="14"/>
  <c r="AD18" i="14"/>
  <c r="AN46" i="7"/>
  <c r="AN42" i="7"/>
  <c r="AN43" i="7"/>
  <c r="AN47" i="7"/>
  <c r="AN44" i="7"/>
  <c r="AN45" i="7"/>
  <c r="AN48" i="7"/>
  <c r="AN40" i="7"/>
  <c r="AD39" i="7"/>
  <c r="AF39" i="7"/>
  <c r="AN41" i="7"/>
  <c r="AE39" i="7"/>
  <c r="BL46" i="7"/>
  <c r="BL47" i="7"/>
  <c r="BL42" i="7"/>
  <c r="BL43" i="7"/>
  <c r="BH39" i="7"/>
  <c r="BL44" i="7"/>
  <c r="BL48" i="7"/>
  <c r="BL45" i="7"/>
  <c r="BF39" i="7"/>
  <c r="AX39" i="7"/>
  <c r="BI39" i="7"/>
  <c r="AY39" i="7"/>
  <c r="BL41" i="7"/>
  <c r="BE39" i="7"/>
  <c r="AW39" i="7"/>
  <c r="AZ39" i="7"/>
  <c r="BG39" i="7"/>
  <c r="BD39" i="7"/>
  <c r="AT39" i="7"/>
  <c r="BC39" i="7"/>
  <c r="AU39" i="7"/>
  <c r="BB39" i="7"/>
  <c r="BA39" i="7"/>
  <c r="AS39" i="7"/>
  <c r="BL40" i="7"/>
  <c r="AK24" i="16"/>
  <c r="AF18" i="7"/>
  <c r="AD18" i="7"/>
  <c r="AE18" i="7"/>
  <c r="E16" i="7"/>
  <c r="CT76" i="6"/>
  <c r="R165" i="10"/>
  <c r="S165" i="10" s="1"/>
  <c r="T165" i="10" s="1"/>
  <c r="X165" i="10" s="1"/>
  <c r="U165" i="10"/>
  <c r="V165" i="10" s="1"/>
  <c r="W165" i="10" s="1"/>
  <c r="Y165" i="10" s="1"/>
  <c r="R109" i="10"/>
  <c r="S109" i="10" s="1"/>
  <c r="T109" i="10" s="1"/>
  <c r="X109" i="10" s="1"/>
  <c r="BR26" i="27" s="1"/>
  <c r="U109" i="10"/>
  <c r="V109" i="10" s="1"/>
  <c r="W109" i="10" s="1"/>
  <c r="Y109" i="10" s="1"/>
  <c r="BR27" i="27" s="1"/>
  <c r="R85" i="10"/>
  <c r="S85" i="10" s="1"/>
  <c r="T85" i="10" s="1"/>
  <c r="X85" i="10" s="1"/>
  <c r="BR26" i="14" s="1"/>
  <c r="U85" i="10"/>
  <c r="V85" i="10" s="1"/>
  <c r="W85" i="10" s="1"/>
  <c r="Y85" i="10" s="1"/>
  <c r="BR27" i="14" s="1"/>
  <c r="R77" i="10"/>
  <c r="S77" i="10" s="1"/>
  <c r="T77" i="10" s="1"/>
  <c r="X77" i="10" s="1"/>
  <c r="BR26" i="7" s="1"/>
  <c r="U77" i="10"/>
  <c r="V77" i="10" s="1"/>
  <c r="W77" i="10" s="1"/>
  <c r="Y77" i="10" s="1"/>
  <c r="BR27" i="7" s="1"/>
  <c r="R125" i="10"/>
  <c r="S125" i="10" s="1"/>
  <c r="T125" i="10" s="1"/>
  <c r="X125" i="10" s="1"/>
  <c r="U125" i="10"/>
  <c r="V125" i="10" s="1"/>
  <c r="W125" i="10" s="1"/>
  <c r="Y125" i="10" s="1"/>
  <c r="R157" i="10"/>
  <c r="S157" i="10" s="1"/>
  <c r="T157" i="10" s="1"/>
  <c r="X157" i="10" s="1"/>
  <c r="U157" i="10"/>
  <c r="V157" i="10" s="1"/>
  <c r="W157" i="10" s="1"/>
  <c r="Y157" i="10" s="1"/>
  <c r="U117" i="10"/>
  <c r="V117" i="10" s="1"/>
  <c r="W117" i="10" s="1"/>
  <c r="Y117" i="10" s="1"/>
  <c r="BR27" i="26" s="1"/>
  <c r="R117" i="10"/>
  <c r="S117" i="10" s="1"/>
  <c r="T117" i="10" s="1"/>
  <c r="X117" i="10" s="1"/>
  <c r="BR26" i="26" s="1"/>
  <c r="U133" i="10"/>
  <c r="V133" i="10" s="1"/>
  <c r="W133" i="10" s="1"/>
  <c r="Y133" i="10" s="1"/>
  <c r="R133" i="10"/>
  <c r="S133" i="10" s="1"/>
  <c r="T133" i="10" s="1"/>
  <c r="X133" i="10" s="1"/>
  <c r="U93" i="10"/>
  <c r="V93" i="10" s="1"/>
  <c r="W93" i="10" s="1"/>
  <c r="Y93" i="10" s="1"/>
  <c r="BR27" i="29" s="1"/>
  <c r="R93" i="10"/>
  <c r="S93" i="10" s="1"/>
  <c r="T93" i="10" s="1"/>
  <c r="X93" i="10" s="1"/>
  <c r="BR26" i="29" s="1"/>
  <c r="R101" i="10"/>
  <c r="S101" i="10" s="1"/>
  <c r="T101" i="10" s="1"/>
  <c r="X101" i="10" s="1"/>
  <c r="BR26" i="28" s="1"/>
  <c r="U101" i="10"/>
  <c r="V101" i="10" s="1"/>
  <c r="W101" i="10" s="1"/>
  <c r="Y101" i="10" s="1"/>
  <c r="BR27" i="28" s="1"/>
  <c r="R149" i="10"/>
  <c r="S149" i="10" s="1"/>
  <c r="T149" i="10" s="1"/>
  <c r="X149" i="10" s="1"/>
  <c r="U149" i="10"/>
  <c r="V149" i="10" s="1"/>
  <c r="W149" i="10" s="1"/>
  <c r="Y149" i="10" s="1"/>
  <c r="R141" i="10"/>
  <c r="S141" i="10" s="1"/>
  <c r="T141" i="10" s="1"/>
  <c r="X141" i="10" s="1"/>
  <c r="U141" i="10"/>
  <c r="V141" i="10" s="1"/>
  <c r="W141" i="10" s="1"/>
  <c r="Y141" i="10" s="1"/>
  <c r="U13" i="9"/>
  <c r="U36" i="9"/>
  <c r="H11" i="8"/>
  <c r="H12" i="8" s="1"/>
  <c r="H13" i="8" s="1"/>
  <c r="H19" i="8"/>
  <c r="H18" i="8"/>
  <c r="H7" i="8"/>
  <c r="H8" i="8" s="1"/>
  <c r="H9" i="8" s="1"/>
  <c r="BN16" i="7"/>
  <c r="BC63" i="7" l="1"/>
  <c r="AT63" i="7"/>
  <c r="BB63" i="7"/>
  <c r="BD65" i="7"/>
  <c r="AS65" i="7"/>
  <c r="AD69" i="7"/>
  <c r="AH69" i="7"/>
  <c r="AF69" i="7"/>
  <c r="AE69" i="7"/>
  <c r="AH66" i="7"/>
  <c r="AF66" i="7"/>
  <c r="AD66" i="7"/>
  <c r="AE66" i="7"/>
  <c r="AE67" i="7"/>
  <c r="AH67" i="7"/>
  <c r="AF67" i="7"/>
  <c r="AD67" i="7"/>
  <c r="AF65" i="7"/>
  <c r="AH65" i="7"/>
  <c r="AD65" i="7"/>
  <c r="AE65" i="7"/>
  <c r="AF68" i="7"/>
  <c r="AE68" i="7"/>
  <c r="AD68" i="7"/>
  <c r="AH68" i="7"/>
  <c r="AU65" i="7"/>
  <c r="BG65" i="7"/>
  <c r="BF65" i="7"/>
  <c r="AZ65" i="7"/>
  <c r="AY65" i="7"/>
  <c r="AW65" i="7"/>
  <c r="BI65" i="7"/>
  <c r="BH65" i="7"/>
  <c r="BE65" i="7"/>
  <c r="BC69" i="7"/>
  <c r="BE69" i="7"/>
  <c r="BI69" i="7"/>
  <c r="AT69" i="7"/>
  <c r="AS69" i="7"/>
  <c r="AZ69" i="7"/>
  <c r="BB69" i="7"/>
  <c r="AW69" i="7"/>
  <c r="BG69" i="7"/>
  <c r="AY69" i="7"/>
  <c r="BD69" i="7"/>
  <c r="BH69" i="7"/>
  <c r="BF69" i="7"/>
  <c r="AU69" i="7"/>
  <c r="AX68" i="7"/>
  <c r="AY68" i="7"/>
  <c r="BI68" i="7"/>
  <c r="AT68" i="7"/>
  <c r="BC68" i="7"/>
  <c r="BA68" i="7"/>
  <c r="AU68" i="7"/>
  <c r="AW68" i="7"/>
  <c r="BG68" i="7"/>
  <c r="AZ68" i="7"/>
  <c r="BB68" i="7"/>
  <c r="BF68" i="7"/>
  <c r="BD68" i="7"/>
  <c r="BE68" i="7"/>
  <c r="BH68" i="7"/>
  <c r="AS68" i="7"/>
  <c r="BH67" i="7"/>
  <c r="AU67" i="7"/>
  <c r="BI67" i="7"/>
  <c r="BC67" i="7"/>
  <c r="AT67" i="7"/>
  <c r="AY67" i="7"/>
  <c r="AX67" i="7"/>
  <c r="BB67" i="7"/>
  <c r="BE67" i="7"/>
  <c r="BA67" i="7"/>
  <c r="BD67" i="7"/>
  <c r="BG67" i="7"/>
  <c r="BF67" i="7"/>
  <c r="AS67" i="7"/>
  <c r="AW67" i="7"/>
  <c r="AZ67" i="7"/>
  <c r="AY66" i="7"/>
  <c r="BG66" i="7"/>
  <c r="BC66" i="7"/>
  <c r="BF66" i="7"/>
  <c r="BH66" i="7"/>
  <c r="AS66" i="7"/>
  <c r="BE66" i="7"/>
  <c r="BD66" i="7"/>
  <c r="AX66" i="7"/>
  <c r="BA66" i="7"/>
  <c r="BB66" i="7"/>
  <c r="AU66" i="7"/>
  <c r="BI66" i="7"/>
  <c r="AT66" i="7"/>
  <c r="AZ66" i="7"/>
  <c r="AW66" i="7"/>
  <c r="BB65" i="7"/>
  <c r="AX63" i="7"/>
  <c r="BD63" i="7"/>
  <c r="BA63" i="7"/>
  <c r="AS63" i="7"/>
  <c r="AT65" i="7"/>
  <c r="AX65" i="7"/>
  <c r="BA65" i="7"/>
  <c r="BC65" i="7"/>
  <c r="AU63" i="7"/>
  <c r="BG63" i="7"/>
  <c r="BF63" i="7"/>
  <c r="AZ63" i="7"/>
  <c r="AY63" i="7"/>
  <c r="AW63" i="7"/>
  <c r="BE63" i="7"/>
  <c r="BI63" i="7"/>
  <c r="BH63" i="7"/>
  <c r="AE62" i="7"/>
  <c r="AD62" i="7"/>
  <c r="AF62" i="7"/>
  <c r="AH62" i="7"/>
  <c r="AF61" i="7"/>
  <c r="AD61" i="7"/>
  <c r="AE61" i="7"/>
  <c r="AH61" i="7"/>
  <c r="AF63" i="7"/>
  <c r="AD63" i="7"/>
  <c r="AE63" i="7"/>
  <c r="AH63" i="7"/>
  <c r="AF64" i="7"/>
  <c r="AH64" i="7"/>
  <c r="AE64" i="7"/>
  <c r="AD64" i="7"/>
  <c r="BH64" i="7"/>
  <c r="AU64" i="7"/>
  <c r="AT64" i="7"/>
  <c r="BE64" i="7"/>
  <c r="AS64" i="7"/>
  <c r="BC64" i="7"/>
  <c r="BA64" i="7"/>
  <c r="AW64" i="7"/>
  <c r="AX64" i="7"/>
  <c r="AZ64" i="7"/>
  <c r="BF64" i="7"/>
  <c r="BG64" i="7"/>
  <c r="BI64" i="7"/>
  <c r="AY64" i="7"/>
  <c r="BD64" i="7"/>
  <c r="BB64" i="7"/>
  <c r="BN25" i="1"/>
  <c r="BN19" i="1"/>
  <c r="BN12" i="1"/>
  <c r="BN8" i="1"/>
  <c r="BN20" i="1"/>
  <c r="BN18" i="1"/>
  <c r="BN15" i="1"/>
  <c r="BN26" i="1"/>
  <c r="BN11" i="1"/>
  <c r="BN10" i="1"/>
  <c r="BN16" i="1"/>
  <c r="BN7" i="1"/>
  <c r="BN23" i="1"/>
  <c r="BN13" i="1"/>
  <c r="BN24" i="1"/>
  <c r="BN21" i="1"/>
  <c r="BN9" i="1"/>
  <c r="BN14" i="1"/>
  <c r="BN17" i="1"/>
  <c r="BN22" i="1"/>
  <c r="CT9" i="6"/>
  <c r="CT32" i="6"/>
  <c r="CT33" i="6" s="1"/>
  <c r="CT34" i="6" s="1"/>
  <c r="BH61" i="14"/>
  <c r="A121" i="11"/>
  <c r="AG122" i="11"/>
  <c r="A120" i="10"/>
  <c r="AG121" i="10"/>
  <c r="A16" i="7"/>
  <c r="H20" i="7"/>
  <c r="AS40" i="14"/>
  <c r="AI39" i="27"/>
  <c r="C39" i="37"/>
  <c r="DK112" i="27"/>
  <c r="DL112" i="27" s="1"/>
  <c r="DH111" i="27"/>
  <c r="DI111" i="27" s="1"/>
  <c r="DH110" i="27"/>
  <c r="DI110" i="27" s="1"/>
  <c r="DH109" i="27"/>
  <c r="DI109" i="27" s="1"/>
  <c r="DH108" i="27"/>
  <c r="DI108" i="27" s="1"/>
  <c r="DK107" i="27"/>
  <c r="DL107" i="27" s="1"/>
  <c r="DH112" i="27"/>
  <c r="DI112" i="27" s="1"/>
  <c r="DD111" i="27"/>
  <c r="DD110" i="27"/>
  <c r="DD109" i="27"/>
  <c r="DD108" i="27"/>
  <c r="DH107" i="27"/>
  <c r="DI107" i="27" s="1"/>
  <c r="DK106" i="27"/>
  <c r="DL106" i="27" s="1"/>
  <c r="DK105" i="27"/>
  <c r="DL105" i="27" s="1"/>
  <c r="DD112" i="27"/>
  <c r="DC111" i="27"/>
  <c r="DC110" i="27"/>
  <c r="DC109" i="27"/>
  <c r="DC108" i="27"/>
  <c r="DD107" i="27"/>
  <c r="DH106" i="27"/>
  <c r="DI106" i="27" s="1"/>
  <c r="DH105" i="27"/>
  <c r="DI105" i="27" s="1"/>
  <c r="DB112" i="27"/>
  <c r="DE112" i="27" s="1"/>
  <c r="DA111" i="27"/>
  <c r="DA110" i="27"/>
  <c r="DA109" i="27"/>
  <c r="DA108" i="27"/>
  <c r="DB107" i="27"/>
  <c r="DC106" i="27"/>
  <c r="DA112" i="27"/>
  <c r="DA107" i="27"/>
  <c r="DB106" i="27"/>
  <c r="DB105" i="27"/>
  <c r="DC104" i="27"/>
  <c r="DD103" i="27"/>
  <c r="DK110" i="27"/>
  <c r="DL110" i="27" s="1"/>
  <c r="DK108" i="27"/>
  <c r="DL108" i="27" s="1"/>
  <c r="DA105" i="27"/>
  <c r="DB104" i="27"/>
  <c r="DC103" i="27"/>
  <c r="DB110" i="27"/>
  <c r="DE110" i="27" s="1"/>
  <c r="DB108" i="27"/>
  <c r="DD106" i="27"/>
  <c r="DA104" i="27"/>
  <c r="DB103" i="27"/>
  <c r="DC112" i="27"/>
  <c r="DA106" i="27"/>
  <c r="DA103" i="27"/>
  <c r="DK111" i="27"/>
  <c r="DL111" i="27" s="1"/>
  <c r="DK109" i="27"/>
  <c r="DL109" i="27" s="1"/>
  <c r="DK104" i="27"/>
  <c r="DL104" i="27" s="1"/>
  <c r="DB111" i="27"/>
  <c r="DE111" i="27" s="1"/>
  <c r="DB109" i="27"/>
  <c r="DC107" i="27"/>
  <c r="DD105" i="27"/>
  <c r="DH104" i="27"/>
  <c r="DI104" i="27" s="1"/>
  <c r="DK103" i="27"/>
  <c r="DL103" i="27" s="1"/>
  <c r="DD104" i="27"/>
  <c r="DC105" i="27"/>
  <c r="DH103" i="27"/>
  <c r="DI103" i="27" s="1"/>
  <c r="DC91" i="22"/>
  <c r="DB90" i="22"/>
  <c r="DE90" i="22" s="1"/>
  <c r="DB89" i="22"/>
  <c r="DE89" i="22" s="1"/>
  <c r="DB88" i="22"/>
  <c r="DB87" i="22"/>
  <c r="DB91" i="22"/>
  <c r="DE91" i="22" s="1"/>
  <c r="DA90" i="22"/>
  <c r="DA89" i="22"/>
  <c r="DA88" i="22"/>
  <c r="DA87" i="22"/>
  <c r="DB86" i="22"/>
  <c r="DC85" i="22"/>
  <c r="DC84" i="22"/>
  <c r="DD83" i="22"/>
  <c r="DH82" i="22"/>
  <c r="DI82" i="22" s="1"/>
  <c r="DA91" i="22"/>
  <c r="DA86" i="22"/>
  <c r="DB85" i="22"/>
  <c r="DB84" i="22"/>
  <c r="DC83" i="22"/>
  <c r="DD82" i="22"/>
  <c r="DA85" i="22"/>
  <c r="DA84" i="22"/>
  <c r="DB83" i="22"/>
  <c r="DC82" i="22"/>
  <c r="DK90" i="22"/>
  <c r="DL90" i="22" s="1"/>
  <c r="DK89" i="22"/>
  <c r="DL89" i="22" s="1"/>
  <c r="DK88" i="22"/>
  <c r="DL88" i="22" s="1"/>
  <c r="DK87" i="22"/>
  <c r="DL87" i="22" s="1"/>
  <c r="DA83" i="22"/>
  <c r="DB82" i="22"/>
  <c r="DD90" i="22"/>
  <c r="DC87" i="22"/>
  <c r="DK84" i="22"/>
  <c r="DL84" i="22" s="1"/>
  <c r="DC90" i="22"/>
  <c r="DH88" i="22"/>
  <c r="DI88" i="22" s="1"/>
  <c r="DH84" i="22"/>
  <c r="DI84" i="22" s="1"/>
  <c r="DD88" i="22"/>
  <c r="DD84" i="22"/>
  <c r="DK91" i="22"/>
  <c r="DL91" i="22" s="1"/>
  <c r="DC88" i="22"/>
  <c r="DK85" i="22"/>
  <c r="DL85" i="22" s="1"/>
  <c r="DK82" i="22"/>
  <c r="DL82" i="22" s="1"/>
  <c r="DH91" i="22"/>
  <c r="DI91" i="22" s="1"/>
  <c r="DH89" i="22"/>
  <c r="DI89" i="22" s="1"/>
  <c r="DK86" i="22"/>
  <c r="DL86" i="22" s="1"/>
  <c r="DH85" i="22"/>
  <c r="DI85" i="22" s="1"/>
  <c r="DA82" i="22"/>
  <c r="DD91" i="22"/>
  <c r="DD89" i="22"/>
  <c r="DH86" i="22"/>
  <c r="DI86" i="22" s="1"/>
  <c r="DD85" i="22"/>
  <c r="DD86" i="22"/>
  <c r="DC86" i="22"/>
  <c r="DK83" i="22"/>
  <c r="DL83" i="22" s="1"/>
  <c r="DH90" i="22"/>
  <c r="DI90" i="22" s="1"/>
  <c r="DH87" i="22"/>
  <c r="DI87" i="22" s="1"/>
  <c r="DH83" i="22"/>
  <c r="DI83" i="22" s="1"/>
  <c r="DD87" i="22"/>
  <c r="DC89" i="22"/>
  <c r="DK90" i="20"/>
  <c r="DL90" i="20" s="1"/>
  <c r="DK89" i="20"/>
  <c r="DL89" i="20" s="1"/>
  <c r="DK88" i="20"/>
  <c r="DL88" i="20" s="1"/>
  <c r="DK87" i="20"/>
  <c r="DL87" i="20" s="1"/>
  <c r="DA83" i="20"/>
  <c r="DB82" i="20"/>
  <c r="DK91" i="20"/>
  <c r="DL91" i="20" s="1"/>
  <c r="DH90" i="20"/>
  <c r="DI90" i="20" s="1"/>
  <c r="DH89" i="20"/>
  <c r="DI89" i="20" s="1"/>
  <c r="DH88" i="20"/>
  <c r="DI88" i="20" s="1"/>
  <c r="DH87" i="20"/>
  <c r="DI87" i="20" s="1"/>
  <c r="DK86" i="20"/>
  <c r="DL86" i="20" s="1"/>
  <c r="DA82" i="20"/>
  <c r="DH91" i="20"/>
  <c r="DI91" i="20" s="1"/>
  <c r="DD90" i="20"/>
  <c r="DD89" i="20"/>
  <c r="DD88" i="20"/>
  <c r="DD87" i="20"/>
  <c r="DH86" i="20"/>
  <c r="DI86" i="20" s="1"/>
  <c r="DK85" i="20"/>
  <c r="DL85" i="20" s="1"/>
  <c r="DK84" i="20"/>
  <c r="DL84" i="20" s="1"/>
  <c r="DD91" i="20"/>
  <c r="DC90" i="20"/>
  <c r="DC89" i="20"/>
  <c r="DC88" i="20"/>
  <c r="DC87" i="20"/>
  <c r="DD86" i="20"/>
  <c r="DH85" i="20"/>
  <c r="DI85" i="20" s="1"/>
  <c r="DH84" i="20"/>
  <c r="DI84" i="20" s="1"/>
  <c r="DK83" i="20"/>
  <c r="DL83" i="20" s="1"/>
  <c r="DB91" i="20"/>
  <c r="DE91" i="20" s="1"/>
  <c r="DA90" i="20"/>
  <c r="DA89" i="20"/>
  <c r="DA88" i="20"/>
  <c r="DA87" i="20"/>
  <c r="DB86" i="20"/>
  <c r="DC85" i="20"/>
  <c r="DC84" i="20"/>
  <c r="DD83" i="20"/>
  <c r="DH82" i="20"/>
  <c r="DI82" i="20" s="1"/>
  <c r="DA91" i="20"/>
  <c r="DA86" i="20"/>
  <c r="DB85" i="20"/>
  <c r="DB84" i="20"/>
  <c r="DC83" i="20"/>
  <c r="DD82" i="20"/>
  <c r="DA85" i="20"/>
  <c r="DH83" i="20"/>
  <c r="DI83" i="20" s="1"/>
  <c r="DB89" i="20"/>
  <c r="DE89" i="20" s="1"/>
  <c r="DB83" i="20"/>
  <c r="DC86" i="20"/>
  <c r="DD84" i="20"/>
  <c r="DC91" i="20"/>
  <c r="DB88" i="20"/>
  <c r="DA84" i="20"/>
  <c r="DK82" i="20"/>
  <c r="DL82" i="20" s="1"/>
  <c r="DD85" i="20"/>
  <c r="DB87" i="20"/>
  <c r="DC82" i="20"/>
  <c r="DB90" i="20"/>
  <c r="DE90" i="20" s="1"/>
  <c r="DA85" i="21"/>
  <c r="DA84" i="21"/>
  <c r="DB83" i="21"/>
  <c r="DC82" i="21"/>
  <c r="DK90" i="21"/>
  <c r="DL90" i="21" s="1"/>
  <c r="DK89" i="21"/>
  <c r="DL89" i="21" s="1"/>
  <c r="DK88" i="21"/>
  <c r="DL88" i="21" s="1"/>
  <c r="DK87" i="21"/>
  <c r="DL87" i="21" s="1"/>
  <c r="DA83" i="21"/>
  <c r="DB82" i="21"/>
  <c r="DK91" i="21"/>
  <c r="DL91" i="21" s="1"/>
  <c r="DH90" i="21"/>
  <c r="DI90" i="21" s="1"/>
  <c r="DH89" i="21"/>
  <c r="DI89" i="21" s="1"/>
  <c r="DH88" i="21"/>
  <c r="DI88" i="21" s="1"/>
  <c r="DH87" i="21"/>
  <c r="DI87" i="21" s="1"/>
  <c r="DK86" i="21"/>
  <c r="DL86" i="21" s="1"/>
  <c r="DA82" i="21"/>
  <c r="DH91" i="21"/>
  <c r="DI91" i="21" s="1"/>
  <c r="DD90" i="21"/>
  <c r="DD89" i="21"/>
  <c r="DD88" i="21"/>
  <c r="DD87" i="21"/>
  <c r="DH86" i="21"/>
  <c r="DI86" i="21" s="1"/>
  <c r="DK85" i="21"/>
  <c r="DL85" i="21" s="1"/>
  <c r="DK84" i="21"/>
  <c r="DL84" i="21" s="1"/>
  <c r="DD91" i="21"/>
  <c r="DC90" i="21"/>
  <c r="DC89" i="21"/>
  <c r="DC88" i="21"/>
  <c r="DC87" i="21"/>
  <c r="DD86" i="21"/>
  <c r="DH85" i="21"/>
  <c r="DI85" i="21" s="1"/>
  <c r="DH84" i="21"/>
  <c r="DI84" i="21" s="1"/>
  <c r="DK83" i="21"/>
  <c r="DL83" i="21" s="1"/>
  <c r="DC91" i="21"/>
  <c r="DB90" i="21"/>
  <c r="DE90" i="21" s="1"/>
  <c r="DB89" i="21"/>
  <c r="DE89" i="21" s="1"/>
  <c r="DB88" i="21"/>
  <c r="DB87" i="21"/>
  <c r="DC86" i="21"/>
  <c r="DD85" i="21"/>
  <c r="DD84" i="21"/>
  <c r="DH83" i="21"/>
  <c r="DI83" i="21" s="1"/>
  <c r="DK82" i="21"/>
  <c r="DL82" i="21" s="1"/>
  <c r="DB91" i="21"/>
  <c r="DE91" i="21" s="1"/>
  <c r="DB86" i="21"/>
  <c r="DA91" i="21"/>
  <c r="DA88" i="21"/>
  <c r="DA86" i="21"/>
  <c r="DC84" i="21"/>
  <c r="DB84" i="21"/>
  <c r="DA90" i="21"/>
  <c r="DH82" i="21"/>
  <c r="DI82" i="21" s="1"/>
  <c r="DA87" i="21"/>
  <c r="DD82" i="21"/>
  <c r="DC85" i="21"/>
  <c r="DA89" i="21"/>
  <c r="DD83" i="21"/>
  <c r="DC83" i="21"/>
  <c r="DB85" i="21"/>
  <c r="DB91" i="26"/>
  <c r="DE91" i="26" s="1"/>
  <c r="DA90" i="26"/>
  <c r="DA89" i="26"/>
  <c r="DA88" i="26"/>
  <c r="DA87" i="26"/>
  <c r="DB86" i="26"/>
  <c r="DC85" i="26"/>
  <c r="DC84" i="26"/>
  <c r="DD83" i="26"/>
  <c r="DH82" i="26"/>
  <c r="DI82" i="26" s="1"/>
  <c r="DA91" i="26"/>
  <c r="DA86" i="26"/>
  <c r="DB85" i="26"/>
  <c r="DB84" i="26"/>
  <c r="DC83" i="26"/>
  <c r="DD82" i="26"/>
  <c r="DA85" i="26"/>
  <c r="DA84" i="26"/>
  <c r="DB83" i="26"/>
  <c r="DC82" i="26"/>
  <c r="DK90" i="26"/>
  <c r="DL90" i="26" s="1"/>
  <c r="DK89" i="26"/>
  <c r="DL89" i="26" s="1"/>
  <c r="DK88" i="26"/>
  <c r="DL88" i="26" s="1"/>
  <c r="DK87" i="26"/>
  <c r="DL87" i="26" s="1"/>
  <c r="DA83" i="26"/>
  <c r="DB82" i="26"/>
  <c r="DK91" i="26"/>
  <c r="DL91" i="26" s="1"/>
  <c r="DH90" i="26"/>
  <c r="DI90" i="26" s="1"/>
  <c r="DH89" i="26"/>
  <c r="DI89" i="26" s="1"/>
  <c r="DH88" i="26"/>
  <c r="DI88" i="26" s="1"/>
  <c r="DH87" i="26"/>
  <c r="DI87" i="26" s="1"/>
  <c r="DK86" i="26"/>
  <c r="DL86" i="26" s="1"/>
  <c r="DA82" i="26"/>
  <c r="DH91" i="26"/>
  <c r="DI91" i="26" s="1"/>
  <c r="DD90" i="26"/>
  <c r="DD89" i="26"/>
  <c r="DD88" i="26"/>
  <c r="DD87" i="26"/>
  <c r="DH86" i="26"/>
  <c r="DI86" i="26" s="1"/>
  <c r="DK85" i="26"/>
  <c r="DL85" i="26" s="1"/>
  <c r="DK84" i="26"/>
  <c r="DL84" i="26" s="1"/>
  <c r="DD91" i="26"/>
  <c r="DC90" i="26"/>
  <c r="DC89" i="26"/>
  <c r="DC88" i="26"/>
  <c r="DC87" i="26"/>
  <c r="DD86" i="26"/>
  <c r="DH85" i="26"/>
  <c r="DI85" i="26" s="1"/>
  <c r="DH84" i="26"/>
  <c r="DI84" i="26" s="1"/>
  <c r="DK83" i="26"/>
  <c r="DL83" i="26" s="1"/>
  <c r="DB87" i="26"/>
  <c r="DD85" i="26"/>
  <c r="DB89" i="26"/>
  <c r="DE89" i="26" s="1"/>
  <c r="DD84" i="26"/>
  <c r="DK82" i="26"/>
  <c r="DL82" i="26" s="1"/>
  <c r="DC86" i="26"/>
  <c r="DC91" i="26"/>
  <c r="DB88" i="26"/>
  <c r="DB90" i="26"/>
  <c r="DE90" i="26" s="1"/>
  <c r="DH83" i="26"/>
  <c r="DI83" i="26" s="1"/>
  <c r="DA91" i="27"/>
  <c r="DA86" i="27"/>
  <c r="DB85" i="27"/>
  <c r="DB84" i="27"/>
  <c r="DC83" i="27"/>
  <c r="DD82" i="27"/>
  <c r="DA85" i="27"/>
  <c r="DA84" i="27"/>
  <c r="DB83" i="27"/>
  <c r="DC82" i="27"/>
  <c r="DK90" i="27"/>
  <c r="DL90" i="27" s="1"/>
  <c r="DK89" i="27"/>
  <c r="DL89" i="27" s="1"/>
  <c r="DK88" i="27"/>
  <c r="DL88" i="27" s="1"/>
  <c r="DK87" i="27"/>
  <c r="DL87" i="27" s="1"/>
  <c r="DA83" i="27"/>
  <c r="DB82" i="27"/>
  <c r="DK91" i="27"/>
  <c r="DL91" i="27" s="1"/>
  <c r="DH90" i="27"/>
  <c r="DI90" i="27" s="1"/>
  <c r="DH89" i="27"/>
  <c r="DI89" i="27" s="1"/>
  <c r="DH88" i="27"/>
  <c r="DI88" i="27" s="1"/>
  <c r="DH87" i="27"/>
  <c r="DI87" i="27" s="1"/>
  <c r="DK86" i="27"/>
  <c r="DL86" i="27" s="1"/>
  <c r="DA82" i="27"/>
  <c r="DH91" i="27"/>
  <c r="DI91" i="27" s="1"/>
  <c r="DD90" i="27"/>
  <c r="DD89" i="27"/>
  <c r="DD88" i="27"/>
  <c r="DD87" i="27"/>
  <c r="DH86" i="27"/>
  <c r="DI86" i="27" s="1"/>
  <c r="DK85" i="27"/>
  <c r="DL85" i="27" s="1"/>
  <c r="DK84" i="27"/>
  <c r="DL84" i="27" s="1"/>
  <c r="DD91" i="27"/>
  <c r="DC90" i="27"/>
  <c r="DC89" i="27"/>
  <c r="DC88" i="27"/>
  <c r="DC87" i="27"/>
  <c r="DD86" i="27"/>
  <c r="DH85" i="27"/>
  <c r="DI85" i="27" s="1"/>
  <c r="DH84" i="27"/>
  <c r="DI84" i="27" s="1"/>
  <c r="DK83" i="27"/>
  <c r="DL83" i="27" s="1"/>
  <c r="DC91" i="27"/>
  <c r="DB90" i="27"/>
  <c r="DE90" i="27" s="1"/>
  <c r="DB89" i="27"/>
  <c r="DE89" i="27" s="1"/>
  <c r="DB88" i="27"/>
  <c r="DB87" i="27"/>
  <c r="DC86" i="27"/>
  <c r="DD85" i="27"/>
  <c r="DD84" i="27"/>
  <c r="DH83" i="27"/>
  <c r="DI83" i="27" s="1"/>
  <c r="DK82" i="27"/>
  <c r="DL82" i="27" s="1"/>
  <c r="DA87" i="27"/>
  <c r="DC85" i="27"/>
  <c r="DD83" i="27"/>
  <c r="DA89" i="27"/>
  <c r="DC84" i="27"/>
  <c r="DH82" i="27"/>
  <c r="DI82" i="27" s="1"/>
  <c r="DA90" i="27"/>
  <c r="DB86" i="27"/>
  <c r="DB91" i="27"/>
  <c r="DE91" i="27" s="1"/>
  <c r="DA88" i="27"/>
  <c r="DA85" i="23"/>
  <c r="DA84" i="23"/>
  <c r="DB83" i="23"/>
  <c r="DC82" i="23"/>
  <c r="DK90" i="23"/>
  <c r="DL90" i="23" s="1"/>
  <c r="DK89" i="23"/>
  <c r="DL89" i="23" s="1"/>
  <c r="DK88" i="23"/>
  <c r="DL88" i="23" s="1"/>
  <c r="DK87" i="23"/>
  <c r="DL87" i="23" s="1"/>
  <c r="DA83" i="23"/>
  <c r="DB82" i="23"/>
  <c r="DK91" i="23"/>
  <c r="DL91" i="23" s="1"/>
  <c r="DH90" i="23"/>
  <c r="DI90" i="23" s="1"/>
  <c r="DH89" i="23"/>
  <c r="DI89" i="23" s="1"/>
  <c r="DH88" i="23"/>
  <c r="DI88" i="23" s="1"/>
  <c r="DH87" i="23"/>
  <c r="DI87" i="23" s="1"/>
  <c r="DK86" i="23"/>
  <c r="DL86" i="23" s="1"/>
  <c r="DA82" i="23"/>
  <c r="DH91" i="23"/>
  <c r="DI91" i="23" s="1"/>
  <c r="DD90" i="23"/>
  <c r="DD89" i="23"/>
  <c r="DD88" i="23"/>
  <c r="DD87" i="23"/>
  <c r="DH86" i="23"/>
  <c r="DI86" i="23" s="1"/>
  <c r="DK85" i="23"/>
  <c r="DL85" i="23" s="1"/>
  <c r="DK84" i="23"/>
  <c r="DL84" i="23" s="1"/>
  <c r="DD91" i="23"/>
  <c r="DC90" i="23"/>
  <c r="DC89" i="23"/>
  <c r="DC88" i="23"/>
  <c r="DC87" i="23"/>
  <c r="DD86" i="23"/>
  <c r="DH85" i="23"/>
  <c r="DI85" i="23" s="1"/>
  <c r="DH84" i="23"/>
  <c r="DI84" i="23" s="1"/>
  <c r="DK83" i="23"/>
  <c r="DL83" i="23" s="1"/>
  <c r="DC91" i="23"/>
  <c r="DB90" i="23"/>
  <c r="DE90" i="23" s="1"/>
  <c r="DB89" i="23"/>
  <c r="DE89" i="23" s="1"/>
  <c r="DB88" i="23"/>
  <c r="DB87" i="23"/>
  <c r="DC86" i="23"/>
  <c r="DD85" i="23"/>
  <c r="DD84" i="23"/>
  <c r="DH83" i="23"/>
  <c r="DI83" i="23" s="1"/>
  <c r="DK82" i="23"/>
  <c r="DL82" i="23" s="1"/>
  <c r="DA89" i="23"/>
  <c r="DB85" i="23"/>
  <c r="DD83" i="23"/>
  <c r="DC83" i="23"/>
  <c r="DB91" i="23"/>
  <c r="DE91" i="23" s="1"/>
  <c r="DB86" i="23"/>
  <c r="DA91" i="23"/>
  <c r="DA88" i="23"/>
  <c r="DA86" i="23"/>
  <c r="DC84" i="23"/>
  <c r="DB84" i="23"/>
  <c r="DA90" i="23"/>
  <c r="DH82" i="23"/>
  <c r="DI82" i="23" s="1"/>
  <c r="DA87" i="23"/>
  <c r="DD82" i="23"/>
  <c r="DC85" i="23"/>
  <c r="DK91" i="25"/>
  <c r="DL91" i="25" s="1"/>
  <c r="DH90" i="25"/>
  <c r="DI90" i="25" s="1"/>
  <c r="DH89" i="25"/>
  <c r="DI89" i="25" s="1"/>
  <c r="DH88" i="25"/>
  <c r="DI88" i="25" s="1"/>
  <c r="DH87" i="25"/>
  <c r="DI87" i="25" s="1"/>
  <c r="DK86" i="25"/>
  <c r="DL86" i="25" s="1"/>
  <c r="DA82" i="25"/>
  <c r="DH91" i="25"/>
  <c r="DI91" i="25" s="1"/>
  <c r="DD90" i="25"/>
  <c r="DD89" i="25"/>
  <c r="DD88" i="25"/>
  <c r="DD87" i="25"/>
  <c r="DH86" i="25"/>
  <c r="DI86" i="25" s="1"/>
  <c r="DK85" i="25"/>
  <c r="DL85" i="25" s="1"/>
  <c r="DK84" i="25"/>
  <c r="DL84" i="25" s="1"/>
  <c r="DD91" i="25"/>
  <c r="DC90" i="25"/>
  <c r="DC89" i="25"/>
  <c r="DC88" i="25"/>
  <c r="DC87" i="25"/>
  <c r="DD86" i="25"/>
  <c r="DH85" i="25"/>
  <c r="DI85" i="25" s="1"/>
  <c r="DH84" i="25"/>
  <c r="DI84" i="25" s="1"/>
  <c r="DK83" i="25"/>
  <c r="DL83" i="25" s="1"/>
  <c r="DC91" i="25"/>
  <c r="DB90" i="25"/>
  <c r="DE90" i="25" s="1"/>
  <c r="DB89" i="25"/>
  <c r="DE89" i="25" s="1"/>
  <c r="DB88" i="25"/>
  <c r="DB87" i="25"/>
  <c r="DC86" i="25"/>
  <c r="DD85" i="25"/>
  <c r="DD84" i="25"/>
  <c r="DH83" i="25"/>
  <c r="DI83" i="25" s="1"/>
  <c r="DK82" i="25"/>
  <c r="DL82" i="25" s="1"/>
  <c r="DB91" i="25"/>
  <c r="DE91" i="25" s="1"/>
  <c r="DA90" i="25"/>
  <c r="DA89" i="25"/>
  <c r="DA88" i="25"/>
  <c r="DA87" i="25"/>
  <c r="DB86" i="25"/>
  <c r="DC85" i="25"/>
  <c r="DC84" i="25"/>
  <c r="DD83" i="25"/>
  <c r="DH82" i="25"/>
  <c r="DI82" i="25" s="1"/>
  <c r="DA91" i="25"/>
  <c r="DA86" i="25"/>
  <c r="DB85" i="25"/>
  <c r="DB84" i="25"/>
  <c r="DC83" i="25"/>
  <c r="DD82" i="25"/>
  <c r="DA85" i="25"/>
  <c r="DA84" i="25"/>
  <c r="DB83" i="25"/>
  <c r="DC82" i="25"/>
  <c r="DK90" i="25"/>
  <c r="DL90" i="25" s="1"/>
  <c r="DK87" i="25"/>
  <c r="DL87" i="25" s="1"/>
  <c r="DB82" i="25"/>
  <c r="DK89" i="25"/>
  <c r="DL89" i="25" s="1"/>
  <c r="DA83" i="25"/>
  <c r="DK88" i="25"/>
  <c r="DL88" i="25" s="1"/>
  <c r="DD15" i="25"/>
  <c r="D7" i="35"/>
  <c r="D9" i="35" s="1"/>
  <c r="DD15" i="24"/>
  <c r="D7" i="34"/>
  <c r="I7" i="34" s="1"/>
  <c r="DK27" i="14"/>
  <c r="DL27" i="14" s="1"/>
  <c r="DK26" i="14"/>
  <c r="DL26" i="14" s="1"/>
  <c r="DK25" i="14"/>
  <c r="DL25" i="14" s="1"/>
  <c r="DK24" i="14"/>
  <c r="DL24" i="14" s="1"/>
  <c r="DA20" i="14"/>
  <c r="DB19" i="14"/>
  <c r="DK28" i="14"/>
  <c r="DL28" i="14" s="1"/>
  <c r="DH27" i="14"/>
  <c r="DI27" i="14" s="1"/>
  <c r="DH26" i="14"/>
  <c r="DI26" i="14" s="1"/>
  <c r="DH25" i="14"/>
  <c r="DI25" i="14" s="1"/>
  <c r="DH24" i="14"/>
  <c r="DI24" i="14" s="1"/>
  <c r="DK23" i="14"/>
  <c r="DL23" i="14" s="1"/>
  <c r="DA19" i="14"/>
  <c r="DH28" i="14"/>
  <c r="DI28" i="14" s="1"/>
  <c r="DD27" i="14"/>
  <c r="DD26" i="14"/>
  <c r="DD25" i="14"/>
  <c r="DD24" i="14"/>
  <c r="DH23" i="14"/>
  <c r="DI23" i="14" s="1"/>
  <c r="DK22" i="14"/>
  <c r="DL22" i="14" s="1"/>
  <c r="DK21" i="14"/>
  <c r="DL21" i="14" s="1"/>
  <c r="DD28" i="14"/>
  <c r="DC27" i="14"/>
  <c r="DC26" i="14"/>
  <c r="DC25" i="14"/>
  <c r="DC24" i="14"/>
  <c r="DD23" i="14"/>
  <c r="DH22" i="14"/>
  <c r="DI22" i="14" s="1"/>
  <c r="DH21" i="14"/>
  <c r="DI21" i="14" s="1"/>
  <c r="DK20" i="14"/>
  <c r="DL20" i="14" s="1"/>
  <c r="DC28" i="14"/>
  <c r="DB27" i="14"/>
  <c r="DE27" i="14" s="1"/>
  <c r="DB26" i="14"/>
  <c r="DE26" i="14" s="1"/>
  <c r="DB25" i="14"/>
  <c r="DB24" i="14"/>
  <c r="DC23" i="14"/>
  <c r="DD22" i="14"/>
  <c r="DD21" i="14"/>
  <c r="DH20" i="14"/>
  <c r="DI20" i="14" s="1"/>
  <c r="DK19" i="14"/>
  <c r="DL19" i="14" s="1"/>
  <c r="DB28" i="14"/>
  <c r="DE28" i="14" s="1"/>
  <c r="DA27" i="14"/>
  <c r="DA26" i="14"/>
  <c r="DA25" i="14"/>
  <c r="DA24" i="14"/>
  <c r="DB23" i="14"/>
  <c r="DC22" i="14"/>
  <c r="DC21" i="14"/>
  <c r="DD20" i="14"/>
  <c r="DH19" i="14"/>
  <c r="DI19" i="14" s="1"/>
  <c r="DA28" i="14"/>
  <c r="DA23" i="14"/>
  <c r="DB22" i="14"/>
  <c r="DB21" i="14"/>
  <c r="DC20" i="14"/>
  <c r="DD19" i="14"/>
  <c r="DC19" i="14"/>
  <c r="DA21" i="14"/>
  <c r="DB20" i="14"/>
  <c r="DA22" i="14"/>
  <c r="AI102" i="14"/>
  <c r="C108" i="13"/>
  <c r="DD57" i="25"/>
  <c r="D53" i="35"/>
  <c r="U66" i="35" s="1"/>
  <c r="U67" i="35" s="1"/>
  <c r="T68" i="35" s="1"/>
  <c r="H53" i="35" s="1"/>
  <c r="AI102" i="20"/>
  <c r="C108" i="30"/>
  <c r="DD99" i="28"/>
  <c r="D99" i="38"/>
  <c r="D101" i="38" s="1"/>
  <c r="AI102" i="25"/>
  <c r="C108" i="35"/>
  <c r="AI60" i="28"/>
  <c r="C62" i="38"/>
  <c r="DD120" i="28"/>
  <c r="D122" i="38"/>
  <c r="U135" i="38" s="1"/>
  <c r="U136" i="38" s="1"/>
  <c r="T137" i="38" s="1"/>
  <c r="DD57" i="20"/>
  <c r="D53" i="30"/>
  <c r="I53" i="30" s="1"/>
  <c r="DD120" i="14"/>
  <c r="D122" i="13"/>
  <c r="AI60" i="23"/>
  <c r="C62" i="33"/>
  <c r="AI144" i="28"/>
  <c r="C154" i="38"/>
  <c r="DD120" i="24"/>
  <c r="D122" i="34"/>
  <c r="I122" i="34" s="1"/>
  <c r="DD141" i="20"/>
  <c r="D145" i="30"/>
  <c r="U158" i="30" s="1"/>
  <c r="U159" i="30" s="1"/>
  <c r="T160" i="30" s="1"/>
  <c r="H145" i="30" s="1"/>
  <c r="DD99" i="24"/>
  <c r="D99" i="34"/>
  <c r="I99" i="34" s="1"/>
  <c r="AI60" i="27"/>
  <c r="C62" i="37"/>
  <c r="AI102" i="23"/>
  <c r="C108" i="33"/>
  <c r="AI39" i="7"/>
  <c r="AI40" i="7" s="1"/>
  <c r="AI39" i="26"/>
  <c r="C39" i="36"/>
  <c r="AI18" i="26"/>
  <c r="C16" i="36"/>
  <c r="DD112" i="22"/>
  <c r="DC111" i="22"/>
  <c r="DC110" i="22"/>
  <c r="DC112" i="22"/>
  <c r="DB111" i="22"/>
  <c r="DE111" i="22" s="1"/>
  <c r="DB110" i="22"/>
  <c r="DE110" i="22" s="1"/>
  <c r="DB109" i="22"/>
  <c r="DB108" i="22"/>
  <c r="DC107" i="22"/>
  <c r="DD106" i="22"/>
  <c r="DD105" i="22"/>
  <c r="DH104" i="22"/>
  <c r="DI104" i="22" s="1"/>
  <c r="DK103" i="22"/>
  <c r="DL103" i="22" s="1"/>
  <c r="DB112" i="22"/>
  <c r="DE112" i="22" s="1"/>
  <c r="DA111" i="22"/>
  <c r="DA110" i="22"/>
  <c r="DA109" i="22"/>
  <c r="DA108" i="22"/>
  <c r="DB107" i="22"/>
  <c r="DC106" i="22"/>
  <c r="DC105" i="22"/>
  <c r="DD104" i="22"/>
  <c r="DH103" i="22"/>
  <c r="DI103" i="22" s="1"/>
  <c r="DA112" i="22"/>
  <c r="DA107" i="22"/>
  <c r="DB106" i="22"/>
  <c r="DB105" i="22"/>
  <c r="DC104" i="22"/>
  <c r="DD103" i="22"/>
  <c r="DA106" i="22"/>
  <c r="DA105" i="22"/>
  <c r="DB104" i="22"/>
  <c r="DC103" i="22"/>
  <c r="DK111" i="22"/>
  <c r="DL111" i="22" s="1"/>
  <c r="DK110" i="22"/>
  <c r="DL110" i="22" s="1"/>
  <c r="DK109" i="22"/>
  <c r="DL109" i="22" s="1"/>
  <c r="DK108" i="22"/>
  <c r="DL108" i="22" s="1"/>
  <c r="DA104" i="22"/>
  <c r="DB103" i="22"/>
  <c r="DK107" i="22"/>
  <c r="DL107" i="22" s="1"/>
  <c r="DH110" i="22"/>
  <c r="DI110" i="22" s="1"/>
  <c r="DH107" i="22"/>
  <c r="DI107" i="22" s="1"/>
  <c r="DK112" i="22"/>
  <c r="DL112" i="22" s="1"/>
  <c r="DD110" i="22"/>
  <c r="DH108" i="22"/>
  <c r="DI108" i="22" s="1"/>
  <c r="DD107" i="22"/>
  <c r="DK105" i="22"/>
  <c r="DL105" i="22" s="1"/>
  <c r="DH112" i="22"/>
  <c r="DI112" i="22" s="1"/>
  <c r="DD108" i="22"/>
  <c r="DH105" i="22"/>
  <c r="DI105" i="22" s="1"/>
  <c r="DA103" i="22"/>
  <c r="DC108" i="22"/>
  <c r="DH111" i="22"/>
  <c r="DI111" i="22" s="1"/>
  <c r="DH109" i="22"/>
  <c r="DI109" i="22" s="1"/>
  <c r="DK106" i="22"/>
  <c r="DL106" i="22" s="1"/>
  <c r="DD111" i="22"/>
  <c r="DH106" i="22"/>
  <c r="DI106" i="22" s="1"/>
  <c r="DD109" i="22"/>
  <c r="DK104" i="22"/>
  <c r="DL104" i="22" s="1"/>
  <c r="DC109" i="22"/>
  <c r="DK132" i="20"/>
  <c r="DL132" i="20" s="1"/>
  <c r="DK131" i="20"/>
  <c r="DL131" i="20" s="1"/>
  <c r="DK130" i="20"/>
  <c r="DL130" i="20" s="1"/>
  <c r="DK129" i="20"/>
  <c r="DL129" i="20" s="1"/>
  <c r="DA125" i="20"/>
  <c r="DB124" i="20"/>
  <c r="DK133" i="20"/>
  <c r="DL133" i="20" s="1"/>
  <c r="DH132" i="20"/>
  <c r="DI132" i="20" s="1"/>
  <c r="DH131" i="20"/>
  <c r="DI131" i="20" s="1"/>
  <c r="DH130" i="20"/>
  <c r="DI130" i="20" s="1"/>
  <c r="DH129" i="20"/>
  <c r="DI129" i="20" s="1"/>
  <c r="DK128" i="20"/>
  <c r="DL128" i="20" s="1"/>
  <c r="DA124" i="20"/>
  <c r="DH133" i="20"/>
  <c r="DI133" i="20" s="1"/>
  <c r="DD132" i="20"/>
  <c r="DD131" i="20"/>
  <c r="DD130" i="20"/>
  <c r="DD129" i="20"/>
  <c r="DH128" i="20"/>
  <c r="DI128" i="20" s="1"/>
  <c r="DK127" i="20"/>
  <c r="DL127" i="20" s="1"/>
  <c r="DK126" i="20"/>
  <c r="DL126" i="20" s="1"/>
  <c r="DD133" i="20"/>
  <c r="DC132" i="20"/>
  <c r="DC131" i="20"/>
  <c r="DC130" i="20"/>
  <c r="DC129" i="20"/>
  <c r="DD128" i="20"/>
  <c r="DH127" i="20"/>
  <c r="DI127" i="20" s="1"/>
  <c r="DH126" i="20"/>
  <c r="DI126" i="20" s="1"/>
  <c r="DK125" i="20"/>
  <c r="DL125" i="20" s="1"/>
  <c r="DB133" i="20"/>
  <c r="DE133" i="20" s="1"/>
  <c r="DA132" i="20"/>
  <c r="DA131" i="20"/>
  <c r="DA130" i="20"/>
  <c r="DA129" i="20"/>
  <c r="DB128" i="20"/>
  <c r="DC127" i="20"/>
  <c r="DC126" i="20"/>
  <c r="DD125" i="20"/>
  <c r="DH124" i="20"/>
  <c r="DI124" i="20" s="1"/>
  <c r="DA133" i="20"/>
  <c r="DA128" i="20"/>
  <c r="DB127" i="20"/>
  <c r="DB126" i="20"/>
  <c r="DC125" i="20"/>
  <c r="DD124" i="20"/>
  <c r="DC133" i="20"/>
  <c r="DB130" i="20"/>
  <c r="DA126" i="20"/>
  <c r="DK124" i="20"/>
  <c r="DL124" i="20" s="1"/>
  <c r="DB132" i="20"/>
  <c r="DE132" i="20" s="1"/>
  <c r="DC124" i="20"/>
  <c r="DB129" i="20"/>
  <c r="DD127" i="20"/>
  <c r="DA127" i="20"/>
  <c r="DH125" i="20"/>
  <c r="DI125" i="20" s="1"/>
  <c r="DB131" i="20"/>
  <c r="DE131" i="20" s="1"/>
  <c r="DB125" i="20"/>
  <c r="DD126" i="20"/>
  <c r="DC128" i="20"/>
  <c r="DA106" i="23"/>
  <c r="DA105" i="23"/>
  <c r="DB104" i="23"/>
  <c r="DC103" i="23"/>
  <c r="DK111" i="23"/>
  <c r="DL111" i="23" s="1"/>
  <c r="DK110" i="23"/>
  <c r="DL110" i="23" s="1"/>
  <c r="DK109" i="23"/>
  <c r="DL109" i="23" s="1"/>
  <c r="DK108" i="23"/>
  <c r="DL108" i="23" s="1"/>
  <c r="DA104" i="23"/>
  <c r="DB103" i="23"/>
  <c r="DK112" i="23"/>
  <c r="DL112" i="23" s="1"/>
  <c r="DH111" i="23"/>
  <c r="DI111" i="23" s="1"/>
  <c r="DH110" i="23"/>
  <c r="DI110" i="23" s="1"/>
  <c r="DH109" i="23"/>
  <c r="DI109" i="23" s="1"/>
  <c r="DH108" i="23"/>
  <c r="DI108" i="23" s="1"/>
  <c r="DK107" i="23"/>
  <c r="DL107" i="23" s="1"/>
  <c r="DA103" i="23"/>
  <c r="DH112" i="23"/>
  <c r="DI112" i="23" s="1"/>
  <c r="DD111" i="23"/>
  <c r="DD110" i="23"/>
  <c r="DD109" i="23"/>
  <c r="DD108" i="23"/>
  <c r="DH107" i="23"/>
  <c r="DI107" i="23" s="1"/>
  <c r="DK106" i="23"/>
  <c r="DL106" i="23" s="1"/>
  <c r="DK105" i="23"/>
  <c r="DL105" i="23" s="1"/>
  <c r="DD112" i="23"/>
  <c r="DC111" i="23"/>
  <c r="DC110" i="23"/>
  <c r="DC109" i="23"/>
  <c r="DC108" i="23"/>
  <c r="DD107" i="23"/>
  <c r="DH106" i="23"/>
  <c r="DI106" i="23" s="1"/>
  <c r="DH105" i="23"/>
  <c r="DI105" i="23" s="1"/>
  <c r="DK104" i="23"/>
  <c r="DL104" i="23" s="1"/>
  <c r="DC112" i="23"/>
  <c r="DB111" i="23"/>
  <c r="DE111" i="23" s="1"/>
  <c r="DB110" i="23"/>
  <c r="DE110" i="23" s="1"/>
  <c r="DB109" i="23"/>
  <c r="DB108" i="23"/>
  <c r="DC107" i="23"/>
  <c r="DD106" i="23"/>
  <c r="DD105" i="23"/>
  <c r="DH104" i="23"/>
  <c r="DI104" i="23" s="1"/>
  <c r="DK103" i="23"/>
  <c r="DL103" i="23" s="1"/>
  <c r="DB105" i="23"/>
  <c r="DA111" i="23"/>
  <c r="DH103" i="23"/>
  <c r="DI103" i="23" s="1"/>
  <c r="DA108" i="23"/>
  <c r="DD103" i="23"/>
  <c r="DC106" i="23"/>
  <c r="DA110" i="23"/>
  <c r="DB106" i="23"/>
  <c r="DD104" i="23"/>
  <c r="DC104" i="23"/>
  <c r="DB112" i="23"/>
  <c r="DE112" i="23" s="1"/>
  <c r="DB107" i="23"/>
  <c r="DC105" i="23"/>
  <c r="DA107" i="23"/>
  <c r="DA109" i="23"/>
  <c r="DA112" i="23"/>
  <c r="DK111" i="20"/>
  <c r="DL111" i="20" s="1"/>
  <c r="DK110" i="20"/>
  <c r="DL110" i="20" s="1"/>
  <c r="DK109" i="20"/>
  <c r="DL109" i="20" s="1"/>
  <c r="DK108" i="20"/>
  <c r="DL108" i="20" s="1"/>
  <c r="DA104" i="20"/>
  <c r="DB103" i="20"/>
  <c r="DK112" i="20"/>
  <c r="DL112" i="20" s="1"/>
  <c r="DH111" i="20"/>
  <c r="DI111" i="20" s="1"/>
  <c r="DH110" i="20"/>
  <c r="DI110" i="20" s="1"/>
  <c r="DH109" i="20"/>
  <c r="DI109" i="20" s="1"/>
  <c r="DH108" i="20"/>
  <c r="DI108" i="20" s="1"/>
  <c r="DK107" i="20"/>
  <c r="DL107" i="20" s="1"/>
  <c r="DA103" i="20"/>
  <c r="DH112" i="20"/>
  <c r="DI112" i="20" s="1"/>
  <c r="DD111" i="20"/>
  <c r="DD110" i="20"/>
  <c r="DD109" i="20"/>
  <c r="DD108" i="20"/>
  <c r="DH107" i="20"/>
  <c r="DI107" i="20" s="1"/>
  <c r="DK106" i="20"/>
  <c r="DL106" i="20" s="1"/>
  <c r="DK105" i="20"/>
  <c r="DL105" i="20" s="1"/>
  <c r="DD112" i="20"/>
  <c r="DC111" i="20"/>
  <c r="DC110" i="20"/>
  <c r="DC109" i="20"/>
  <c r="DC108" i="20"/>
  <c r="DD107" i="20"/>
  <c r="DH106" i="20"/>
  <c r="DI106" i="20" s="1"/>
  <c r="DH105" i="20"/>
  <c r="DI105" i="20" s="1"/>
  <c r="DK104" i="20"/>
  <c r="DL104" i="20" s="1"/>
  <c r="DB112" i="20"/>
  <c r="DE112" i="20" s="1"/>
  <c r="DA111" i="20"/>
  <c r="DA110" i="20"/>
  <c r="DA109" i="20"/>
  <c r="DA108" i="20"/>
  <c r="DB107" i="20"/>
  <c r="DC106" i="20"/>
  <c r="DC105" i="20"/>
  <c r="DD104" i="20"/>
  <c r="DH103" i="20"/>
  <c r="DI103" i="20" s="1"/>
  <c r="DA112" i="20"/>
  <c r="DA107" i="20"/>
  <c r="DB106" i="20"/>
  <c r="DB105" i="20"/>
  <c r="DC104" i="20"/>
  <c r="DD103" i="20"/>
  <c r="DC107" i="20"/>
  <c r="DD105" i="20"/>
  <c r="DC112" i="20"/>
  <c r="DB109" i="20"/>
  <c r="DA105" i="20"/>
  <c r="DK103" i="20"/>
  <c r="DL103" i="20" s="1"/>
  <c r="DB111" i="20"/>
  <c r="DE111" i="20" s="1"/>
  <c r="DC103" i="20"/>
  <c r="DB108" i="20"/>
  <c r="DD106" i="20"/>
  <c r="DA106" i="20"/>
  <c r="DB110" i="20"/>
  <c r="DE110" i="20" s="1"/>
  <c r="DH104" i="20"/>
  <c r="DI104" i="20" s="1"/>
  <c r="DB104" i="20"/>
  <c r="DH112" i="28"/>
  <c r="DI112" i="28" s="1"/>
  <c r="DD111" i="28"/>
  <c r="DD110" i="28"/>
  <c r="DD109" i="28"/>
  <c r="DD108" i="28"/>
  <c r="DH107" i="28"/>
  <c r="DI107" i="28" s="1"/>
  <c r="DK106" i="28"/>
  <c r="DL106" i="28" s="1"/>
  <c r="DK105" i="28"/>
  <c r="DL105" i="28" s="1"/>
  <c r="DD112" i="28"/>
  <c r="DC111" i="28"/>
  <c r="DC110" i="28"/>
  <c r="DC109" i="28"/>
  <c r="DC108" i="28"/>
  <c r="DD107" i="28"/>
  <c r="DH106" i="28"/>
  <c r="DI106" i="28" s="1"/>
  <c r="DH105" i="28"/>
  <c r="DI105" i="28" s="1"/>
  <c r="DK104" i="28"/>
  <c r="DL104" i="28" s="1"/>
  <c r="DC112" i="28"/>
  <c r="DB111" i="28"/>
  <c r="DE111" i="28" s="1"/>
  <c r="DB110" i="28"/>
  <c r="DE110" i="28" s="1"/>
  <c r="DB109" i="28"/>
  <c r="DB108" i="28"/>
  <c r="DC107" i="28"/>
  <c r="DD106" i="28"/>
  <c r="DD105" i="28"/>
  <c r="DH104" i="28"/>
  <c r="DI104" i="28" s="1"/>
  <c r="DK103" i="28"/>
  <c r="DL103" i="28" s="1"/>
  <c r="DB112" i="28"/>
  <c r="DE112" i="28" s="1"/>
  <c r="DA111" i="28"/>
  <c r="DA110" i="28"/>
  <c r="DA109" i="28"/>
  <c r="DA108" i="28"/>
  <c r="DB107" i="28"/>
  <c r="DC106" i="28"/>
  <c r="DC105" i="28"/>
  <c r="DD104" i="28"/>
  <c r="DH103" i="28"/>
  <c r="DI103" i="28" s="1"/>
  <c r="DA112" i="28"/>
  <c r="DA107" i="28"/>
  <c r="DB106" i="28"/>
  <c r="DB105" i="28"/>
  <c r="DC104" i="28"/>
  <c r="DD103" i="28"/>
  <c r="DA106" i="28"/>
  <c r="DA105" i="28"/>
  <c r="DB104" i="28"/>
  <c r="DC103" i="28"/>
  <c r="DK111" i="28"/>
  <c r="DL111" i="28" s="1"/>
  <c r="DK110" i="28"/>
  <c r="DL110" i="28" s="1"/>
  <c r="DK109" i="28"/>
  <c r="DL109" i="28" s="1"/>
  <c r="DK108" i="28"/>
  <c r="DL108" i="28" s="1"/>
  <c r="DA104" i="28"/>
  <c r="DB103" i="28"/>
  <c r="DH109" i="28"/>
  <c r="DI109" i="28" s="1"/>
  <c r="DH111" i="28"/>
  <c r="DI111" i="28" s="1"/>
  <c r="DH108" i="28"/>
  <c r="DI108" i="28" s="1"/>
  <c r="DA103" i="28"/>
  <c r="DK112" i="28"/>
  <c r="DL112" i="28" s="1"/>
  <c r="DH110" i="28"/>
  <c r="DI110" i="28" s="1"/>
  <c r="DK107" i="28"/>
  <c r="DL107" i="28" s="1"/>
  <c r="DC112" i="21"/>
  <c r="DB111" i="21"/>
  <c r="DE111" i="21" s="1"/>
  <c r="DB110" i="21"/>
  <c r="DE110" i="21" s="1"/>
  <c r="DB109" i="21"/>
  <c r="DB108" i="21"/>
  <c r="DA112" i="21"/>
  <c r="DK112" i="21"/>
  <c r="DL112" i="21" s="1"/>
  <c r="DH111" i="21"/>
  <c r="DI111" i="21" s="1"/>
  <c r="DH110" i="21"/>
  <c r="DI110" i="21" s="1"/>
  <c r="DH109" i="21"/>
  <c r="DI109" i="21" s="1"/>
  <c r="DH108" i="21"/>
  <c r="DI108" i="21" s="1"/>
  <c r="DH112" i="21"/>
  <c r="DI112" i="21" s="1"/>
  <c r="DD111" i="21"/>
  <c r="DD110" i="21"/>
  <c r="DD109" i="21"/>
  <c r="DA109" i="21"/>
  <c r="DA106" i="21"/>
  <c r="DA105" i="21"/>
  <c r="DB104" i="21"/>
  <c r="DC103" i="21"/>
  <c r="DD112" i="21"/>
  <c r="DK110" i="21"/>
  <c r="DL110" i="21" s="1"/>
  <c r="DA104" i="21"/>
  <c r="DB103" i="21"/>
  <c r="DB112" i="21"/>
  <c r="DE112" i="21" s="1"/>
  <c r="DC110" i="21"/>
  <c r="DK107" i="21"/>
  <c r="DL107" i="21" s="1"/>
  <c r="DA103" i="21"/>
  <c r="DA110" i="21"/>
  <c r="DK108" i="21"/>
  <c r="DL108" i="21" s="1"/>
  <c r="DH107" i="21"/>
  <c r="DI107" i="21" s="1"/>
  <c r="DK106" i="21"/>
  <c r="DL106" i="21" s="1"/>
  <c r="DK105" i="21"/>
  <c r="DL105" i="21" s="1"/>
  <c r="DK111" i="21"/>
  <c r="DL111" i="21" s="1"/>
  <c r="DD108" i="21"/>
  <c r="DD107" i="21"/>
  <c r="DH106" i="21"/>
  <c r="DI106" i="21" s="1"/>
  <c r="DH105" i="21"/>
  <c r="DI105" i="21" s="1"/>
  <c r="DK104" i="21"/>
  <c r="DL104" i="21" s="1"/>
  <c r="DC111" i="21"/>
  <c r="DC108" i="21"/>
  <c r="DC107" i="21"/>
  <c r="DD106" i="21"/>
  <c r="DD105" i="21"/>
  <c r="DH104" i="21"/>
  <c r="DI104" i="21" s="1"/>
  <c r="DK103" i="21"/>
  <c r="DL103" i="21" s="1"/>
  <c r="DA108" i="21"/>
  <c r="DD103" i="21"/>
  <c r="DC106" i="21"/>
  <c r="DB106" i="21"/>
  <c r="DD104" i="21"/>
  <c r="DC104" i="21"/>
  <c r="DK109" i="21"/>
  <c r="DL109" i="21" s="1"/>
  <c r="DB107" i="21"/>
  <c r="DC109" i="21"/>
  <c r="DA107" i="21"/>
  <c r="DC105" i="21"/>
  <c r="DA111" i="21"/>
  <c r="DH103" i="21"/>
  <c r="DI103" i="21" s="1"/>
  <c r="DB105" i="21"/>
  <c r="DB112" i="26"/>
  <c r="DE112" i="26" s="1"/>
  <c r="DA111" i="26"/>
  <c r="DA110" i="26"/>
  <c r="DA109" i="26"/>
  <c r="DA108" i="26"/>
  <c r="DB107" i="26"/>
  <c r="DC106" i="26"/>
  <c r="DC105" i="26"/>
  <c r="DD104" i="26"/>
  <c r="DH103" i="26"/>
  <c r="DI103" i="26" s="1"/>
  <c r="DA112" i="26"/>
  <c r="DA107" i="26"/>
  <c r="DB106" i="26"/>
  <c r="DB105" i="26"/>
  <c r="DC104" i="26"/>
  <c r="DD103" i="26"/>
  <c r="DA106" i="26"/>
  <c r="DA105" i="26"/>
  <c r="DB104" i="26"/>
  <c r="DC103" i="26"/>
  <c r="DK111" i="26"/>
  <c r="DL111" i="26" s="1"/>
  <c r="DK110" i="26"/>
  <c r="DL110" i="26" s="1"/>
  <c r="DK109" i="26"/>
  <c r="DL109" i="26" s="1"/>
  <c r="DK108" i="26"/>
  <c r="DL108" i="26" s="1"/>
  <c r="DA104" i="26"/>
  <c r="DB103" i="26"/>
  <c r="DK112" i="26"/>
  <c r="DL112" i="26" s="1"/>
  <c r="DH111" i="26"/>
  <c r="DI111" i="26" s="1"/>
  <c r="DH110" i="26"/>
  <c r="DI110" i="26" s="1"/>
  <c r="DH109" i="26"/>
  <c r="DI109" i="26" s="1"/>
  <c r="DH108" i="26"/>
  <c r="DI108" i="26" s="1"/>
  <c r="DK107" i="26"/>
  <c r="DL107" i="26" s="1"/>
  <c r="DA103" i="26"/>
  <c r="DH112" i="26"/>
  <c r="DI112" i="26" s="1"/>
  <c r="DD111" i="26"/>
  <c r="DD110" i="26"/>
  <c r="DD109" i="26"/>
  <c r="DD108" i="26"/>
  <c r="DH107" i="26"/>
  <c r="DI107" i="26" s="1"/>
  <c r="DK106" i="26"/>
  <c r="DL106" i="26" s="1"/>
  <c r="DK105" i="26"/>
  <c r="DL105" i="26" s="1"/>
  <c r="DD112" i="26"/>
  <c r="DC111" i="26"/>
  <c r="DC110" i="26"/>
  <c r="DC109" i="26"/>
  <c r="DC108" i="26"/>
  <c r="DD107" i="26"/>
  <c r="DH106" i="26"/>
  <c r="DI106" i="26" s="1"/>
  <c r="DH105" i="26"/>
  <c r="DI105" i="26" s="1"/>
  <c r="DK104" i="26"/>
  <c r="DL104" i="26" s="1"/>
  <c r="DB111" i="26"/>
  <c r="DE111" i="26" s="1"/>
  <c r="DH104" i="26"/>
  <c r="DI104" i="26" s="1"/>
  <c r="DB108" i="26"/>
  <c r="DD106" i="26"/>
  <c r="DB110" i="26"/>
  <c r="DE110" i="26" s="1"/>
  <c r="DD105" i="26"/>
  <c r="DK103" i="26"/>
  <c r="DL103" i="26" s="1"/>
  <c r="DC107" i="26"/>
  <c r="DB109" i="26"/>
  <c r="DC112" i="26"/>
  <c r="DD112" i="24"/>
  <c r="DC111" i="24"/>
  <c r="DC110" i="24"/>
  <c r="DC109" i="24"/>
  <c r="DC108" i="24"/>
  <c r="DD107" i="24"/>
  <c r="DH106" i="24"/>
  <c r="DI106" i="24" s="1"/>
  <c r="DH105" i="24"/>
  <c r="DI105" i="24" s="1"/>
  <c r="DK104" i="24"/>
  <c r="DL104" i="24" s="1"/>
  <c r="DC112" i="24"/>
  <c r="DB111" i="24"/>
  <c r="DE111" i="24" s="1"/>
  <c r="DB110" i="24"/>
  <c r="DE110" i="24" s="1"/>
  <c r="DB109" i="24"/>
  <c r="DB108" i="24"/>
  <c r="DC107" i="24"/>
  <c r="DD106" i="24"/>
  <c r="DD105" i="24"/>
  <c r="DH104" i="24"/>
  <c r="DI104" i="24" s="1"/>
  <c r="DK103" i="24"/>
  <c r="DL103" i="24" s="1"/>
  <c r="DB112" i="24"/>
  <c r="DE112" i="24" s="1"/>
  <c r="DA111" i="24"/>
  <c r="DA110" i="24"/>
  <c r="DA109" i="24"/>
  <c r="DA108" i="24"/>
  <c r="DB107" i="24"/>
  <c r="DC106" i="24"/>
  <c r="DC105" i="24"/>
  <c r="DD104" i="24"/>
  <c r="DH103" i="24"/>
  <c r="DI103" i="24" s="1"/>
  <c r="DA112" i="24"/>
  <c r="DA107" i="24"/>
  <c r="DB106" i="24"/>
  <c r="DB105" i="24"/>
  <c r="DC104" i="24"/>
  <c r="DD103" i="24"/>
  <c r="DA106" i="24"/>
  <c r="DA105" i="24"/>
  <c r="DB104" i="24"/>
  <c r="DC103" i="24"/>
  <c r="DK111" i="24"/>
  <c r="DL111" i="24" s="1"/>
  <c r="DK110" i="24"/>
  <c r="DL110" i="24" s="1"/>
  <c r="DK109" i="24"/>
  <c r="DL109" i="24" s="1"/>
  <c r="DK108" i="24"/>
  <c r="DL108" i="24" s="1"/>
  <c r="DA104" i="24"/>
  <c r="DB103" i="24"/>
  <c r="DD111" i="24"/>
  <c r="DD109" i="24"/>
  <c r="DK107" i="24"/>
  <c r="DL107" i="24" s="1"/>
  <c r="DK105" i="24"/>
  <c r="DL105" i="24" s="1"/>
  <c r="DH107" i="24"/>
  <c r="DI107" i="24" s="1"/>
  <c r="DH110" i="24"/>
  <c r="DI110" i="24" s="1"/>
  <c r="DH108" i="24"/>
  <c r="DI108" i="24" s="1"/>
  <c r="DK112" i="24"/>
  <c r="DL112" i="24" s="1"/>
  <c r="DD110" i="24"/>
  <c r="DD108" i="24"/>
  <c r="DH112" i="24"/>
  <c r="DI112" i="24" s="1"/>
  <c r="DK106" i="24"/>
  <c r="DL106" i="24" s="1"/>
  <c r="DH109" i="24"/>
  <c r="DI109" i="24" s="1"/>
  <c r="DA103" i="24"/>
  <c r="DH111" i="24"/>
  <c r="DI111" i="24" s="1"/>
  <c r="DD15" i="21"/>
  <c r="D7" i="31"/>
  <c r="D9" i="31" s="1"/>
  <c r="DD36" i="27"/>
  <c r="D30" i="37"/>
  <c r="D32" i="37" s="1"/>
  <c r="DD36" i="20"/>
  <c r="D30" i="30"/>
  <c r="U43" i="30" s="1"/>
  <c r="U44" i="30" s="1"/>
  <c r="T45" i="30" s="1"/>
  <c r="H30" i="30" s="1"/>
  <c r="DD99" i="14"/>
  <c r="D99" i="13"/>
  <c r="DD120" i="27"/>
  <c r="D122" i="37"/>
  <c r="D124" i="37" s="1"/>
  <c r="DD78" i="7"/>
  <c r="AI123" i="25"/>
  <c r="C131" i="35"/>
  <c r="DD99" i="25"/>
  <c r="D99" i="35"/>
  <c r="I99" i="35" s="1"/>
  <c r="AI102" i="22"/>
  <c r="C108" i="32"/>
  <c r="AI123" i="20"/>
  <c r="C131" i="30"/>
  <c r="AI123" i="14"/>
  <c r="C131" i="13"/>
  <c r="AI81" i="20"/>
  <c r="C85" i="30"/>
  <c r="DD99" i="7"/>
  <c r="DD141" i="28"/>
  <c r="D145" i="38"/>
  <c r="D147" i="38" s="1"/>
  <c r="AI123" i="24"/>
  <c r="C131" i="34"/>
  <c r="AI102" i="24"/>
  <c r="C108" i="34"/>
  <c r="AI144" i="23"/>
  <c r="C154" i="33"/>
  <c r="AI60" i="24"/>
  <c r="C62" i="34"/>
  <c r="DD99" i="23"/>
  <c r="D99" i="33"/>
  <c r="D101" i="33" s="1"/>
  <c r="DK153" i="14"/>
  <c r="DL153" i="14" s="1"/>
  <c r="DK152" i="14"/>
  <c r="DL152" i="14" s="1"/>
  <c r="DK151" i="14"/>
  <c r="DL151" i="14" s="1"/>
  <c r="DK150" i="14"/>
  <c r="DL150" i="14" s="1"/>
  <c r="DA146" i="14"/>
  <c r="DB145" i="14"/>
  <c r="DK154" i="14"/>
  <c r="DL154" i="14" s="1"/>
  <c r="DH153" i="14"/>
  <c r="DI153" i="14" s="1"/>
  <c r="DH152" i="14"/>
  <c r="DI152" i="14" s="1"/>
  <c r="DH151" i="14"/>
  <c r="DI151" i="14" s="1"/>
  <c r="DH150" i="14"/>
  <c r="DI150" i="14" s="1"/>
  <c r="DK149" i="14"/>
  <c r="DL149" i="14" s="1"/>
  <c r="DA145" i="14"/>
  <c r="DA147" i="14"/>
  <c r="DH154" i="14"/>
  <c r="DI154" i="14" s="1"/>
  <c r="DD153" i="14"/>
  <c r="DD152" i="14"/>
  <c r="DD151" i="14"/>
  <c r="DD150" i="14"/>
  <c r="DH149" i="14"/>
  <c r="DI149" i="14" s="1"/>
  <c r="DK148" i="14"/>
  <c r="DL148" i="14" s="1"/>
  <c r="DK147" i="14"/>
  <c r="DL147" i="14" s="1"/>
  <c r="DB146" i="14"/>
  <c r="DD154" i="14"/>
  <c r="DC153" i="14"/>
  <c r="DC152" i="14"/>
  <c r="DC151" i="14"/>
  <c r="DC150" i="14"/>
  <c r="DD149" i="14"/>
  <c r="DH148" i="14"/>
  <c r="DI148" i="14" s="1"/>
  <c r="DH147" i="14"/>
  <c r="DI147" i="14" s="1"/>
  <c r="DK146" i="14"/>
  <c r="DL146" i="14" s="1"/>
  <c r="DC145" i="14"/>
  <c r="DC154" i="14"/>
  <c r="DB153" i="14"/>
  <c r="DE153" i="14" s="1"/>
  <c r="DB152" i="14"/>
  <c r="DE152" i="14" s="1"/>
  <c r="DB151" i="14"/>
  <c r="DB150" i="14"/>
  <c r="DC149" i="14"/>
  <c r="DD148" i="14"/>
  <c r="DD147" i="14"/>
  <c r="DH146" i="14"/>
  <c r="DI146" i="14" s="1"/>
  <c r="DK145" i="14"/>
  <c r="DL145" i="14" s="1"/>
  <c r="DB154" i="14"/>
  <c r="DE154" i="14" s="1"/>
  <c r="DA153" i="14"/>
  <c r="DA152" i="14"/>
  <c r="DA151" i="14"/>
  <c r="DA150" i="14"/>
  <c r="DB149" i="14"/>
  <c r="DC148" i="14"/>
  <c r="DC147" i="14"/>
  <c r="DD146" i="14"/>
  <c r="DH145" i="14"/>
  <c r="DI145" i="14" s="1"/>
  <c r="DA154" i="14"/>
  <c r="DA149" i="14"/>
  <c r="DB148" i="14"/>
  <c r="DB147" i="14"/>
  <c r="DC146" i="14"/>
  <c r="DD145" i="14"/>
  <c r="DA148" i="14"/>
  <c r="DK132" i="14"/>
  <c r="DL132" i="14" s="1"/>
  <c r="DK131" i="14"/>
  <c r="DL131" i="14" s="1"/>
  <c r="DK130" i="14"/>
  <c r="DL130" i="14" s="1"/>
  <c r="DK129" i="14"/>
  <c r="DL129" i="14" s="1"/>
  <c r="DA125" i="14"/>
  <c r="DB124" i="14"/>
  <c r="DC124" i="14"/>
  <c r="DK133" i="14"/>
  <c r="DL133" i="14" s="1"/>
  <c r="DH132" i="14"/>
  <c r="DI132" i="14" s="1"/>
  <c r="DH131" i="14"/>
  <c r="DI131" i="14" s="1"/>
  <c r="DH130" i="14"/>
  <c r="DI130" i="14" s="1"/>
  <c r="DH129" i="14"/>
  <c r="DI129" i="14" s="1"/>
  <c r="DK128" i="14"/>
  <c r="DL128" i="14" s="1"/>
  <c r="DA124" i="14"/>
  <c r="DA127" i="14"/>
  <c r="DH133" i="14"/>
  <c r="DI133" i="14" s="1"/>
  <c r="DD132" i="14"/>
  <c r="DD131" i="14"/>
  <c r="DD130" i="14"/>
  <c r="DD129" i="14"/>
  <c r="DH128" i="14"/>
  <c r="DI128" i="14" s="1"/>
  <c r="DK127" i="14"/>
  <c r="DL127" i="14" s="1"/>
  <c r="DK126" i="14"/>
  <c r="DL126" i="14" s="1"/>
  <c r="DB125" i="14"/>
  <c r="DD133" i="14"/>
  <c r="DC132" i="14"/>
  <c r="DC131" i="14"/>
  <c r="DC130" i="14"/>
  <c r="DC129" i="14"/>
  <c r="DD128" i="14"/>
  <c r="DH127" i="14"/>
  <c r="DI127" i="14" s="1"/>
  <c r="DH126" i="14"/>
  <c r="DI126" i="14" s="1"/>
  <c r="DK125" i="14"/>
  <c r="DL125" i="14" s="1"/>
  <c r="DC133" i="14"/>
  <c r="DB132" i="14"/>
  <c r="DE132" i="14" s="1"/>
  <c r="DB131" i="14"/>
  <c r="DE131" i="14" s="1"/>
  <c r="DB130" i="14"/>
  <c r="DB129" i="14"/>
  <c r="DC128" i="14"/>
  <c r="DD127" i="14"/>
  <c r="DD126" i="14"/>
  <c r="DH125" i="14"/>
  <c r="DI125" i="14" s="1"/>
  <c r="DK124" i="14"/>
  <c r="DL124" i="14" s="1"/>
  <c r="DB133" i="14"/>
  <c r="DE133" i="14" s="1"/>
  <c r="DA132" i="14"/>
  <c r="DA131" i="14"/>
  <c r="DA130" i="14"/>
  <c r="DA129" i="14"/>
  <c r="DB128" i="14"/>
  <c r="DC127" i="14"/>
  <c r="DC126" i="14"/>
  <c r="DD125" i="14"/>
  <c r="DH124" i="14"/>
  <c r="DI124" i="14" s="1"/>
  <c r="DA133" i="14"/>
  <c r="DA128" i="14"/>
  <c r="DB127" i="14"/>
  <c r="DB126" i="14"/>
  <c r="DC125" i="14"/>
  <c r="DD124" i="14"/>
  <c r="DA126" i="14"/>
  <c r="AV39" i="7"/>
  <c r="AV42" i="7" s="1"/>
  <c r="BJ60" i="14"/>
  <c r="C54" i="13"/>
  <c r="AI18" i="20"/>
  <c r="C16" i="30"/>
  <c r="AI39" i="23"/>
  <c r="C39" i="33"/>
  <c r="AI18" i="22"/>
  <c r="C16" i="32"/>
  <c r="AI39" i="21"/>
  <c r="C39" i="31"/>
  <c r="DC70" i="7"/>
  <c r="DB69" i="7"/>
  <c r="DE69" i="7" s="1"/>
  <c r="DB68" i="7"/>
  <c r="DE68" i="7" s="1"/>
  <c r="DB67" i="7"/>
  <c r="DB66" i="7"/>
  <c r="DC65" i="7"/>
  <c r="DD64" i="7"/>
  <c r="DD63" i="7"/>
  <c r="DH62" i="7"/>
  <c r="DI62" i="7" s="1"/>
  <c r="DK61" i="7"/>
  <c r="DL61" i="7" s="1"/>
  <c r="DB70" i="7"/>
  <c r="DE70" i="7" s="1"/>
  <c r="DA69" i="7"/>
  <c r="DA68" i="7"/>
  <c r="DA67" i="7"/>
  <c r="DA66" i="7"/>
  <c r="DB65" i="7"/>
  <c r="DC64" i="7"/>
  <c r="DC63" i="7"/>
  <c r="DD62" i="7"/>
  <c r="DH61" i="7"/>
  <c r="DI61" i="7" s="1"/>
  <c r="DA70" i="7"/>
  <c r="DA65" i="7"/>
  <c r="DB64" i="7"/>
  <c r="DB63" i="7"/>
  <c r="DC62" i="7"/>
  <c r="DD61" i="7"/>
  <c r="DA64" i="7"/>
  <c r="DA63" i="7"/>
  <c r="DB62" i="7"/>
  <c r="DC61" i="7"/>
  <c r="DK69" i="7"/>
  <c r="DL69" i="7" s="1"/>
  <c r="DK68" i="7"/>
  <c r="DL68" i="7" s="1"/>
  <c r="DK67" i="7"/>
  <c r="DL67" i="7" s="1"/>
  <c r="DK66" i="7"/>
  <c r="DL66" i="7" s="1"/>
  <c r="DA62" i="7"/>
  <c r="DB61" i="7"/>
  <c r="DK70" i="7"/>
  <c r="DL70" i="7" s="1"/>
  <c r="DH69" i="7"/>
  <c r="DI69" i="7" s="1"/>
  <c r="DH68" i="7"/>
  <c r="DI68" i="7" s="1"/>
  <c r="DH67" i="7"/>
  <c r="DI67" i="7" s="1"/>
  <c r="DH66" i="7"/>
  <c r="DI66" i="7" s="1"/>
  <c r="DK65" i="7"/>
  <c r="DL65" i="7" s="1"/>
  <c r="DA61" i="7"/>
  <c r="DH70" i="7"/>
  <c r="DI70" i="7" s="1"/>
  <c r="DD69" i="7"/>
  <c r="DD68" i="7"/>
  <c r="DD67" i="7"/>
  <c r="DD66" i="7"/>
  <c r="DH65" i="7"/>
  <c r="DI65" i="7" s="1"/>
  <c r="DK64" i="7"/>
  <c r="DL64" i="7" s="1"/>
  <c r="DK63" i="7"/>
  <c r="DL63" i="7" s="1"/>
  <c r="DD65" i="7"/>
  <c r="DD70" i="7"/>
  <c r="DC67" i="7"/>
  <c r="DC69" i="7"/>
  <c r="DK62" i="7"/>
  <c r="DL62" i="7" s="1"/>
  <c r="DC66" i="7"/>
  <c r="DH64" i="7"/>
  <c r="DI64" i="7" s="1"/>
  <c r="DC68" i="7"/>
  <c r="DH63" i="7"/>
  <c r="DI63" i="7" s="1"/>
  <c r="DC133" i="21"/>
  <c r="DB132" i="21"/>
  <c r="DE132" i="21" s="1"/>
  <c r="DB131" i="21"/>
  <c r="DE131" i="21" s="1"/>
  <c r="DB130" i="21"/>
  <c r="DB129" i="21"/>
  <c r="DC128" i="21"/>
  <c r="DD127" i="21"/>
  <c r="DD126" i="21"/>
  <c r="DH125" i="21"/>
  <c r="DI125" i="21" s="1"/>
  <c r="DK124" i="21"/>
  <c r="DL124" i="21" s="1"/>
  <c r="DA133" i="21"/>
  <c r="DA128" i="21"/>
  <c r="DB127" i="21"/>
  <c r="DB126" i="21"/>
  <c r="DC125" i="21"/>
  <c r="DD124" i="21"/>
  <c r="DA127" i="21"/>
  <c r="DA126" i="21"/>
  <c r="DB125" i="21"/>
  <c r="DC124" i="21"/>
  <c r="DK133" i="21"/>
  <c r="DL133" i="21" s="1"/>
  <c r="DH132" i="21"/>
  <c r="DI132" i="21" s="1"/>
  <c r="DH131" i="21"/>
  <c r="DI131" i="21" s="1"/>
  <c r="DH130" i="21"/>
  <c r="DI130" i="21" s="1"/>
  <c r="DH129" i="21"/>
  <c r="DI129" i="21" s="1"/>
  <c r="DK128" i="21"/>
  <c r="DL128" i="21" s="1"/>
  <c r="DA124" i="21"/>
  <c r="DH133" i="21"/>
  <c r="DI133" i="21" s="1"/>
  <c r="DD132" i="21"/>
  <c r="DD131" i="21"/>
  <c r="DD130" i="21"/>
  <c r="DD129" i="21"/>
  <c r="DH128" i="21"/>
  <c r="DI128" i="21" s="1"/>
  <c r="DK127" i="21"/>
  <c r="DL127" i="21" s="1"/>
  <c r="DK126" i="21"/>
  <c r="DL126" i="21" s="1"/>
  <c r="DC132" i="21"/>
  <c r="DA129" i="21"/>
  <c r="DH124" i="21"/>
  <c r="DI124" i="21" s="1"/>
  <c r="DA132" i="21"/>
  <c r="DK130" i="21"/>
  <c r="DL130" i="21" s="1"/>
  <c r="DH127" i="21"/>
  <c r="DI127" i="21" s="1"/>
  <c r="DB124" i="21"/>
  <c r="DC130" i="21"/>
  <c r="DC127" i="21"/>
  <c r="DK125" i="21"/>
  <c r="DL125" i="21" s="1"/>
  <c r="DA130" i="21"/>
  <c r="DD125" i="21"/>
  <c r="DD133" i="21"/>
  <c r="DK131" i="21"/>
  <c r="DL131" i="21" s="1"/>
  <c r="DD128" i="21"/>
  <c r="DA125" i="21"/>
  <c r="DB133" i="21"/>
  <c r="DE133" i="21" s="1"/>
  <c r="DC131" i="21"/>
  <c r="DB128" i="21"/>
  <c r="DH126" i="21"/>
  <c r="DI126" i="21" s="1"/>
  <c r="DC126" i="21"/>
  <c r="DA131" i="21"/>
  <c r="DK129" i="21"/>
  <c r="DL129" i="21" s="1"/>
  <c r="DK132" i="21"/>
  <c r="DL132" i="21" s="1"/>
  <c r="DC129" i="21"/>
  <c r="DD133" i="22"/>
  <c r="DC132" i="22"/>
  <c r="DC131" i="22"/>
  <c r="DC130" i="22"/>
  <c r="DC129" i="22"/>
  <c r="DD128" i="22"/>
  <c r="DH127" i="22"/>
  <c r="DI127" i="22" s="1"/>
  <c r="DH126" i="22"/>
  <c r="DI126" i="22" s="1"/>
  <c r="DK125" i="22"/>
  <c r="DL125" i="22" s="1"/>
  <c r="DC133" i="22"/>
  <c r="DB132" i="22"/>
  <c r="DE132" i="22" s="1"/>
  <c r="DB131" i="22"/>
  <c r="DE131" i="22" s="1"/>
  <c r="DB130" i="22"/>
  <c r="DB129" i="22"/>
  <c r="DC128" i="22"/>
  <c r="DD127" i="22"/>
  <c r="DD126" i="22"/>
  <c r="DH125" i="22"/>
  <c r="DI125" i="22" s="1"/>
  <c r="DK124" i="22"/>
  <c r="DL124" i="22" s="1"/>
  <c r="DB133" i="22"/>
  <c r="DE133" i="22" s="1"/>
  <c r="DA132" i="22"/>
  <c r="DA131" i="22"/>
  <c r="DA130" i="22"/>
  <c r="DA129" i="22"/>
  <c r="DB128" i="22"/>
  <c r="DC127" i="22"/>
  <c r="DC126" i="22"/>
  <c r="DD125" i="22"/>
  <c r="DH124" i="22"/>
  <c r="DI124" i="22" s="1"/>
  <c r="DA133" i="22"/>
  <c r="DA128" i="22"/>
  <c r="DB127" i="22"/>
  <c r="DB126" i="22"/>
  <c r="DC125" i="22"/>
  <c r="DD124" i="22"/>
  <c r="DA127" i="22"/>
  <c r="DA126" i="22"/>
  <c r="DB125" i="22"/>
  <c r="DC124" i="22"/>
  <c r="DK132" i="22"/>
  <c r="DL132" i="22" s="1"/>
  <c r="DK131" i="22"/>
  <c r="DL131" i="22" s="1"/>
  <c r="DK130" i="22"/>
  <c r="DL130" i="22" s="1"/>
  <c r="DK129" i="22"/>
  <c r="DL129" i="22" s="1"/>
  <c r="DA125" i="22"/>
  <c r="DB124" i="22"/>
  <c r="DH133" i="22"/>
  <c r="DI133" i="22" s="1"/>
  <c r="DK127" i="22"/>
  <c r="DL127" i="22" s="1"/>
  <c r="DH132" i="22"/>
  <c r="DI132" i="22" s="1"/>
  <c r="DH130" i="22"/>
  <c r="DI130" i="22" s="1"/>
  <c r="DA124" i="22"/>
  <c r="DD132" i="22"/>
  <c r="DD130" i="22"/>
  <c r="DK128" i="22"/>
  <c r="DL128" i="22" s="1"/>
  <c r="DK126" i="22"/>
  <c r="DL126" i="22" s="1"/>
  <c r="DH128" i="22"/>
  <c r="DI128" i="22" s="1"/>
  <c r="DH129" i="22"/>
  <c r="DI129" i="22" s="1"/>
  <c r="DD129" i="22"/>
  <c r="DH131" i="22"/>
  <c r="DI131" i="22" s="1"/>
  <c r="DD131" i="22"/>
  <c r="DK133" i="22"/>
  <c r="DL133" i="22" s="1"/>
  <c r="DD133" i="24"/>
  <c r="DC132" i="24"/>
  <c r="DC131" i="24"/>
  <c r="DC130" i="24"/>
  <c r="DC129" i="24"/>
  <c r="DD128" i="24"/>
  <c r="DH127" i="24"/>
  <c r="DI127" i="24" s="1"/>
  <c r="DH126" i="24"/>
  <c r="DI126" i="24" s="1"/>
  <c r="DK125" i="24"/>
  <c r="DL125" i="24" s="1"/>
  <c r="DC133" i="24"/>
  <c r="DB132" i="24"/>
  <c r="DE132" i="24" s="1"/>
  <c r="DB131" i="24"/>
  <c r="DE131" i="24" s="1"/>
  <c r="DB130" i="24"/>
  <c r="DB129" i="24"/>
  <c r="DC128" i="24"/>
  <c r="DD127" i="24"/>
  <c r="DD126" i="24"/>
  <c r="DH125" i="24"/>
  <c r="DI125" i="24" s="1"/>
  <c r="DK124" i="24"/>
  <c r="DL124" i="24" s="1"/>
  <c r="DB133" i="24"/>
  <c r="DE133" i="24" s="1"/>
  <c r="DA132" i="24"/>
  <c r="DA131" i="24"/>
  <c r="DA130" i="24"/>
  <c r="DA129" i="24"/>
  <c r="DB128" i="24"/>
  <c r="DC127" i="24"/>
  <c r="DC126" i="24"/>
  <c r="DD125" i="24"/>
  <c r="DH124" i="24"/>
  <c r="DI124" i="24" s="1"/>
  <c r="DA133" i="24"/>
  <c r="DA128" i="24"/>
  <c r="DB127" i="24"/>
  <c r="DB126" i="24"/>
  <c r="DC125" i="24"/>
  <c r="DD124" i="24"/>
  <c r="DA127" i="24"/>
  <c r="DA126" i="24"/>
  <c r="DB125" i="24"/>
  <c r="DC124" i="24"/>
  <c r="DK132" i="24"/>
  <c r="DL132" i="24" s="1"/>
  <c r="DK131" i="24"/>
  <c r="DL131" i="24" s="1"/>
  <c r="DK130" i="24"/>
  <c r="DL130" i="24" s="1"/>
  <c r="DK129" i="24"/>
  <c r="DL129" i="24" s="1"/>
  <c r="DA125" i="24"/>
  <c r="DB124" i="24"/>
  <c r="DH131" i="24"/>
  <c r="DI131" i="24" s="1"/>
  <c r="DH129" i="24"/>
  <c r="DI129" i="24" s="1"/>
  <c r="DK133" i="24"/>
  <c r="DL133" i="24" s="1"/>
  <c r="DD131" i="24"/>
  <c r="DD129" i="24"/>
  <c r="DH133" i="24"/>
  <c r="DI133" i="24" s="1"/>
  <c r="DK127" i="24"/>
  <c r="DL127" i="24" s="1"/>
  <c r="DH132" i="24"/>
  <c r="DI132" i="24" s="1"/>
  <c r="DH130" i="24"/>
  <c r="DI130" i="24" s="1"/>
  <c r="DA124" i="24"/>
  <c r="DD132" i="24"/>
  <c r="DD130" i="24"/>
  <c r="DK128" i="24"/>
  <c r="DL128" i="24" s="1"/>
  <c r="DK126" i="24"/>
  <c r="DL126" i="24" s="1"/>
  <c r="DH128" i="24"/>
  <c r="DI128" i="24" s="1"/>
  <c r="DK133" i="27"/>
  <c r="DL133" i="27" s="1"/>
  <c r="DH132" i="27"/>
  <c r="DI132" i="27" s="1"/>
  <c r="DH131" i="27"/>
  <c r="DI131" i="27" s="1"/>
  <c r="DH130" i="27"/>
  <c r="DI130" i="27" s="1"/>
  <c r="DH129" i="27"/>
  <c r="DI129" i="27" s="1"/>
  <c r="DK128" i="27"/>
  <c r="DL128" i="27" s="1"/>
  <c r="DA124" i="27"/>
  <c r="DH133" i="27"/>
  <c r="DI133" i="27" s="1"/>
  <c r="DD132" i="27"/>
  <c r="DD131" i="27"/>
  <c r="DD130" i="27"/>
  <c r="DD129" i="27"/>
  <c r="DH128" i="27"/>
  <c r="DI128" i="27" s="1"/>
  <c r="DK127" i="27"/>
  <c r="DL127" i="27" s="1"/>
  <c r="DK126" i="27"/>
  <c r="DL126" i="27" s="1"/>
  <c r="DD133" i="27"/>
  <c r="DC132" i="27"/>
  <c r="DC131" i="27"/>
  <c r="DC130" i="27"/>
  <c r="DC129" i="27"/>
  <c r="DD128" i="27"/>
  <c r="DH127" i="27"/>
  <c r="DI127" i="27" s="1"/>
  <c r="DH126" i="27"/>
  <c r="DI126" i="27" s="1"/>
  <c r="DK125" i="27"/>
  <c r="DL125" i="27" s="1"/>
  <c r="DB133" i="27"/>
  <c r="DE133" i="27" s="1"/>
  <c r="DA132" i="27"/>
  <c r="DA131" i="27"/>
  <c r="DA130" i="27"/>
  <c r="DA129" i="27"/>
  <c r="DB128" i="27"/>
  <c r="DC127" i="27"/>
  <c r="DC126" i="27"/>
  <c r="DD125" i="27"/>
  <c r="DH124" i="27"/>
  <c r="DI124" i="27" s="1"/>
  <c r="DA133" i="27"/>
  <c r="DA128" i="27"/>
  <c r="DB127" i="27"/>
  <c r="DB126" i="27"/>
  <c r="DC125" i="27"/>
  <c r="DD124" i="27"/>
  <c r="DK131" i="27"/>
  <c r="DL131" i="27" s="1"/>
  <c r="DK129" i="27"/>
  <c r="DL129" i="27" s="1"/>
  <c r="DK124" i="27"/>
  <c r="DL124" i="27" s="1"/>
  <c r="DB131" i="27"/>
  <c r="DE131" i="27" s="1"/>
  <c r="DB129" i="27"/>
  <c r="DD127" i="27"/>
  <c r="DC124" i="27"/>
  <c r="DC133" i="27"/>
  <c r="DA127" i="27"/>
  <c r="DH125" i="27"/>
  <c r="DI125" i="27" s="1"/>
  <c r="DB124" i="27"/>
  <c r="DB125" i="27"/>
  <c r="DK132" i="27"/>
  <c r="DL132" i="27" s="1"/>
  <c r="DK130" i="27"/>
  <c r="DL130" i="27" s="1"/>
  <c r="DA125" i="27"/>
  <c r="DB132" i="27"/>
  <c r="DE132" i="27" s="1"/>
  <c r="DB130" i="27"/>
  <c r="DC128" i="27"/>
  <c r="DD126" i="27"/>
  <c r="DA126" i="27"/>
  <c r="DK112" i="25"/>
  <c r="DL112" i="25" s="1"/>
  <c r="DH111" i="25"/>
  <c r="DI111" i="25" s="1"/>
  <c r="DH110" i="25"/>
  <c r="DI110" i="25" s="1"/>
  <c r="DH109" i="25"/>
  <c r="DI109" i="25" s="1"/>
  <c r="DH108" i="25"/>
  <c r="DI108" i="25" s="1"/>
  <c r="DK107" i="25"/>
  <c r="DL107" i="25" s="1"/>
  <c r="DA103" i="25"/>
  <c r="DH112" i="25"/>
  <c r="DI112" i="25" s="1"/>
  <c r="DD111" i="25"/>
  <c r="DD110" i="25"/>
  <c r="DD109" i="25"/>
  <c r="DD108" i="25"/>
  <c r="DH107" i="25"/>
  <c r="DI107" i="25" s="1"/>
  <c r="DK106" i="25"/>
  <c r="DL106" i="25" s="1"/>
  <c r="DK105" i="25"/>
  <c r="DL105" i="25" s="1"/>
  <c r="DD112" i="25"/>
  <c r="DC111" i="25"/>
  <c r="DC110" i="25"/>
  <c r="DC109" i="25"/>
  <c r="DC108" i="25"/>
  <c r="DD107" i="25"/>
  <c r="DH106" i="25"/>
  <c r="DI106" i="25" s="1"/>
  <c r="DH105" i="25"/>
  <c r="DI105" i="25" s="1"/>
  <c r="DK104" i="25"/>
  <c r="DL104" i="25" s="1"/>
  <c r="DC112" i="25"/>
  <c r="DB111" i="25"/>
  <c r="DE111" i="25" s="1"/>
  <c r="DB110" i="25"/>
  <c r="DE110" i="25" s="1"/>
  <c r="DB109" i="25"/>
  <c r="DB108" i="25"/>
  <c r="DC107" i="25"/>
  <c r="DD106" i="25"/>
  <c r="DD105" i="25"/>
  <c r="DH104" i="25"/>
  <c r="DI104" i="25" s="1"/>
  <c r="DK103" i="25"/>
  <c r="DL103" i="25" s="1"/>
  <c r="DB112" i="25"/>
  <c r="DE112" i="25" s="1"/>
  <c r="DA111" i="25"/>
  <c r="DA110" i="25"/>
  <c r="DA109" i="25"/>
  <c r="DA108" i="25"/>
  <c r="DB107" i="25"/>
  <c r="DC106" i="25"/>
  <c r="DC105" i="25"/>
  <c r="DD104" i="25"/>
  <c r="DH103" i="25"/>
  <c r="DI103" i="25" s="1"/>
  <c r="DA112" i="25"/>
  <c r="DA107" i="25"/>
  <c r="DB106" i="25"/>
  <c r="DB105" i="25"/>
  <c r="DC104" i="25"/>
  <c r="DD103" i="25"/>
  <c r="DA106" i="25"/>
  <c r="DA105" i="25"/>
  <c r="DB104" i="25"/>
  <c r="DC103" i="25"/>
  <c r="DK110" i="25"/>
  <c r="DL110" i="25" s="1"/>
  <c r="DA104" i="25"/>
  <c r="DK109" i="25"/>
  <c r="DL109" i="25" s="1"/>
  <c r="DK111" i="25"/>
  <c r="DL111" i="25" s="1"/>
  <c r="DB103" i="25"/>
  <c r="DK108" i="25"/>
  <c r="DL108" i="25" s="1"/>
  <c r="DH133" i="28"/>
  <c r="DI133" i="28" s="1"/>
  <c r="DD132" i="28"/>
  <c r="DD131" i="28"/>
  <c r="DD130" i="28"/>
  <c r="DD129" i="28"/>
  <c r="DH128" i="28"/>
  <c r="DI128" i="28" s="1"/>
  <c r="DK127" i="28"/>
  <c r="DL127" i="28" s="1"/>
  <c r="DK126" i="28"/>
  <c r="DL126" i="28" s="1"/>
  <c r="DD133" i="28"/>
  <c r="DC132" i="28"/>
  <c r="DC131" i="28"/>
  <c r="DC130" i="28"/>
  <c r="DC129" i="28"/>
  <c r="DD128" i="28"/>
  <c r="DH127" i="28"/>
  <c r="DI127" i="28" s="1"/>
  <c r="DH126" i="28"/>
  <c r="DI126" i="28" s="1"/>
  <c r="DK125" i="28"/>
  <c r="DL125" i="28" s="1"/>
  <c r="DC133" i="28"/>
  <c r="DB132" i="28"/>
  <c r="DE132" i="28" s="1"/>
  <c r="DB131" i="28"/>
  <c r="DE131" i="28" s="1"/>
  <c r="DB130" i="28"/>
  <c r="DB129" i="28"/>
  <c r="DC128" i="28"/>
  <c r="DD127" i="28"/>
  <c r="DD126" i="28"/>
  <c r="DH125" i="28"/>
  <c r="DI125" i="28" s="1"/>
  <c r="DK124" i="28"/>
  <c r="DL124" i="28" s="1"/>
  <c r="DB133" i="28"/>
  <c r="DE133" i="28" s="1"/>
  <c r="DA132" i="28"/>
  <c r="DA131" i="28"/>
  <c r="DA130" i="28"/>
  <c r="DA129" i="28"/>
  <c r="DB128" i="28"/>
  <c r="DC127" i="28"/>
  <c r="DC126" i="28"/>
  <c r="DD125" i="28"/>
  <c r="DH124" i="28"/>
  <c r="DI124" i="28" s="1"/>
  <c r="DA133" i="28"/>
  <c r="DA128" i="28"/>
  <c r="DB127" i="28"/>
  <c r="DB126" i="28"/>
  <c r="DC125" i="28"/>
  <c r="DD124" i="28"/>
  <c r="DA127" i="28"/>
  <c r="DA126" i="28"/>
  <c r="DB125" i="28"/>
  <c r="DC124" i="28"/>
  <c r="DK132" i="28"/>
  <c r="DL132" i="28" s="1"/>
  <c r="DK131" i="28"/>
  <c r="DL131" i="28" s="1"/>
  <c r="DK130" i="28"/>
  <c r="DL130" i="28" s="1"/>
  <c r="DK129" i="28"/>
  <c r="DL129" i="28" s="1"/>
  <c r="DA125" i="28"/>
  <c r="DB124" i="28"/>
  <c r="DH129" i="28"/>
  <c r="DI129" i="28" s="1"/>
  <c r="DH131" i="28"/>
  <c r="DI131" i="28" s="1"/>
  <c r="DA124" i="28"/>
  <c r="DK128" i="28"/>
  <c r="DL128" i="28" s="1"/>
  <c r="DK133" i="28"/>
  <c r="DL133" i="28" s="1"/>
  <c r="DH130" i="28"/>
  <c r="DI130" i="28" s="1"/>
  <c r="DH132" i="28"/>
  <c r="DI132" i="28" s="1"/>
  <c r="DA127" i="23"/>
  <c r="DA126" i="23"/>
  <c r="DB125" i="23"/>
  <c r="DC124" i="23"/>
  <c r="DK132" i="23"/>
  <c r="DL132" i="23" s="1"/>
  <c r="DK131" i="23"/>
  <c r="DL131" i="23" s="1"/>
  <c r="DK130" i="23"/>
  <c r="DL130" i="23" s="1"/>
  <c r="DK129" i="23"/>
  <c r="DL129" i="23" s="1"/>
  <c r="DA125" i="23"/>
  <c r="DB124" i="23"/>
  <c r="DK133" i="23"/>
  <c r="DL133" i="23" s="1"/>
  <c r="DH132" i="23"/>
  <c r="DI132" i="23" s="1"/>
  <c r="DH131" i="23"/>
  <c r="DI131" i="23" s="1"/>
  <c r="DH130" i="23"/>
  <c r="DI130" i="23" s="1"/>
  <c r="DH129" i="23"/>
  <c r="DI129" i="23" s="1"/>
  <c r="DK128" i="23"/>
  <c r="DL128" i="23" s="1"/>
  <c r="DA124" i="23"/>
  <c r="DH133" i="23"/>
  <c r="DI133" i="23" s="1"/>
  <c r="DD132" i="23"/>
  <c r="DD131" i="23"/>
  <c r="DD130" i="23"/>
  <c r="DD129" i="23"/>
  <c r="DH128" i="23"/>
  <c r="DI128" i="23" s="1"/>
  <c r="DK127" i="23"/>
  <c r="DL127" i="23" s="1"/>
  <c r="DK126" i="23"/>
  <c r="DL126" i="23" s="1"/>
  <c r="DD133" i="23"/>
  <c r="DC132" i="23"/>
  <c r="DC131" i="23"/>
  <c r="DC130" i="23"/>
  <c r="DC129" i="23"/>
  <c r="DD128" i="23"/>
  <c r="DH127" i="23"/>
  <c r="DI127" i="23" s="1"/>
  <c r="DH126" i="23"/>
  <c r="DI126" i="23" s="1"/>
  <c r="DK125" i="23"/>
  <c r="DL125" i="23" s="1"/>
  <c r="DC133" i="23"/>
  <c r="DB132" i="23"/>
  <c r="DE132" i="23" s="1"/>
  <c r="DB131" i="23"/>
  <c r="DE131" i="23" s="1"/>
  <c r="DB130" i="23"/>
  <c r="DB129" i="23"/>
  <c r="DC128" i="23"/>
  <c r="DD127" i="23"/>
  <c r="DD126" i="23"/>
  <c r="DH125" i="23"/>
  <c r="DI125" i="23" s="1"/>
  <c r="DK124" i="23"/>
  <c r="DL124" i="23" s="1"/>
  <c r="DA131" i="23"/>
  <c r="DB127" i="23"/>
  <c r="DD125" i="23"/>
  <c r="DC125" i="23"/>
  <c r="DB133" i="23"/>
  <c r="DE133" i="23" s="1"/>
  <c r="DB128" i="23"/>
  <c r="DA133" i="23"/>
  <c r="DA130" i="23"/>
  <c r="DA128" i="23"/>
  <c r="DC126" i="23"/>
  <c r="DB126" i="23"/>
  <c r="DA132" i="23"/>
  <c r="DH124" i="23"/>
  <c r="DI124" i="23" s="1"/>
  <c r="DA129" i="23"/>
  <c r="DD124" i="23"/>
  <c r="DC127" i="23"/>
  <c r="DB133" i="26"/>
  <c r="DE133" i="26" s="1"/>
  <c r="DA132" i="26"/>
  <c r="DA131" i="26"/>
  <c r="DA130" i="26"/>
  <c r="DA129" i="26"/>
  <c r="DB128" i="26"/>
  <c r="DC127" i="26"/>
  <c r="DC126" i="26"/>
  <c r="DD125" i="26"/>
  <c r="DH124" i="26"/>
  <c r="DI124" i="26" s="1"/>
  <c r="DA133" i="26"/>
  <c r="DA128" i="26"/>
  <c r="DB127" i="26"/>
  <c r="DB126" i="26"/>
  <c r="DC125" i="26"/>
  <c r="DD124" i="26"/>
  <c r="DA127" i="26"/>
  <c r="DA126" i="26"/>
  <c r="DB125" i="26"/>
  <c r="DC124" i="26"/>
  <c r="DK132" i="26"/>
  <c r="DL132" i="26" s="1"/>
  <c r="DK131" i="26"/>
  <c r="DL131" i="26" s="1"/>
  <c r="DK130" i="26"/>
  <c r="DL130" i="26" s="1"/>
  <c r="DK129" i="26"/>
  <c r="DL129" i="26" s="1"/>
  <c r="DA125" i="26"/>
  <c r="DB124" i="26"/>
  <c r="DK133" i="26"/>
  <c r="DL133" i="26" s="1"/>
  <c r="DH132" i="26"/>
  <c r="DI132" i="26" s="1"/>
  <c r="DH131" i="26"/>
  <c r="DI131" i="26" s="1"/>
  <c r="DH130" i="26"/>
  <c r="DI130" i="26" s="1"/>
  <c r="DH129" i="26"/>
  <c r="DI129" i="26" s="1"/>
  <c r="DK128" i="26"/>
  <c r="DL128" i="26" s="1"/>
  <c r="DA124" i="26"/>
  <c r="DH133" i="26"/>
  <c r="DI133" i="26" s="1"/>
  <c r="DD132" i="26"/>
  <c r="DD131" i="26"/>
  <c r="DD130" i="26"/>
  <c r="DD129" i="26"/>
  <c r="DH128" i="26"/>
  <c r="DI128" i="26" s="1"/>
  <c r="DK127" i="26"/>
  <c r="DL127" i="26" s="1"/>
  <c r="DK126" i="26"/>
  <c r="DL126" i="26" s="1"/>
  <c r="DD133" i="26"/>
  <c r="DC132" i="26"/>
  <c r="DC131" i="26"/>
  <c r="DC130" i="26"/>
  <c r="DC129" i="26"/>
  <c r="DD128" i="26"/>
  <c r="DH127" i="26"/>
  <c r="DI127" i="26" s="1"/>
  <c r="DH126" i="26"/>
  <c r="DI126" i="26" s="1"/>
  <c r="DK125" i="26"/>
  <c r="DL125" i="26" s="1"/>
  <c r="DC128" i="26"/>
  <c r="DC133" i="26"/>
  <c r="DB130" i="26"/>
  <c r="DB132" i="26"/>
  <c r="DE132" i="26" s="1"/>
  <c r="DH125" i="26"/>
  <c r="DI125" i="26" s="1"/>
  <c r="DB129" i="26"/>
  <c r="DD127" i="26"/>
  <c r="DB131" i="26"/>
  <c r="DE131" i="26" s="1"/>
  <c r="DK124" i="26"/>
  <c r="DL124" i="26" s="1"/>
  <c r="DD126" i="26"/>
  <c r="DD36" i="28"/>
  <c r="D30" i="38"/>
  <c r="U43" i="38" s="1"/>
  <c r="U44" i="38" s="1"/>
  <c r="T45" i="38" s="1"/>
  <c r="DD36" i="21"/>
  <c r="D30" i="31"/>
  <c r="U43" i="31" s="1"/>
  <c r="U44" i="31" s="1"/>
  <c r="T45" i="31" s="1"/>
  <c r="H30" i="31" s="1"/>
  <c r="DD36" i="25"/>
  <c r="D30" i="35"/>
  <c r="U43" i="35" s="1"/>
  <c r="U44" i="35" s="1"/>
  <c r="T45" i="35" s="1"/>
  <c r="H30" i="35" s="1"/>
  <c r="AI123" i="27"/>
  <c r="C131" i="37"/>
  <c r="DD78" i="22"/>
  <c r="D76" i="32"/>
  <c r="U89" i="32" s="1"/>
  <c r="U90" i="32" s="1"/>
  <c r="T91" i="32" s="1"/>
  <c r="H76" i="32" s="1"/>
  <c r="DD120" i="25"/>
  <c r="D122" i="35"/>
  <c r="U135" i="35" s="1"/>
  <c r="U136" i="35" s="1"/>
  <c r="T137" i="35" s="1"/>
  <c r="DD57" i="28"/>
  <c r="D53" i="38"/>
  <c r="D55" i="38" s="1"/>
  <c r="AI60" i="20"/>
  <c r="C62" i="30"/>
  <c r="DD57" i="23"/>
  <c r="D53" i="33"/>
  <c r="U66" i="33" s="1"/>
  <c r="U67" i="33" s="1"/>
  <c r="T68" i="33" s="1"/>
  <c r="H53" i="33" s="1"/>
  <c r="AI102" i="7"/>
  <c r="AI144" i="20"/>
  <c r="C154" i="30"/>
  <c r="DD78" i="27"/>
  <c r="D76" i="37"/>
  <c r="U89" i="37" s="1"/>
  <c r="U90" i="37" s="1"/>
  <c r="T91" i="37" s="1"/>
  <c r="H76" i="37" s="1"/>
  <c r="DD141" i="23"/>
  <c r="D145" i="33"/>
  <c r="D147" i="33" s="1"/>
  <c r="DD57" i="27"/>
  <c r="D53" i="37"/>
  <c r="D55" i="37" s="1"/>
  <c r="DD57" i="24"/>
  <c r="D53" i="34"/>
  <c r="U66" i="34" s="1"/>
  <c r="U67" i="34" s="1"/>
  <c r="T68" i="34" s="1"/>
  <c r="H53" i="34" s="1"/>
  <c r="AX40" i="14"/>
  <c r="C35" i="13"/>
  <c r="AI39" i="22"/>
  <c r="C39" i="32"/>
  <c r="AI18" i="23"/>
  <c r="C16" i="33"/>
  <c r="AI18" i="25"/>
  <c r="C16" i="35"/>
  <c r="DK132" i="25"/>
  <c r="DL132" i="25" s="1"/>
  <c r="DK131" i="25"/>
  <c r="DL131" i="25" s="1"/>
  <c r="DK133" i="25"/>
  <c r="DL133" i="25" s="1"/>
  <c r="DH132" i="25"/>
  <c r="DI132" i="25" s="1"/>
  <c r="DH133" i="25"/>
  <c r="DI133" i="25" s="1"/>
  <c r="DD132" i="25"/>
  <c r="DD131" i="25"/>
  <c r="DD133" i="25"/>
  <c r="DC132" i="25"/>
  <c r="DC133" i="25"/>
  <c r="DB132" i="25"/>
  <c r="DE132" i="25" s="1"/>
  <c r="DH130" i="25"/>
  <c r="DI130" i="25" s="1"/>
  <c r="DH129" i="25"/>
  <c r="DI129" i="25" s="1"/>
  <c r="DK128" i="25"/>
  <c r="DL128" i="25" s="1"/>
  <c r="DA124" i="25"/>
  <c r="DH131" i="25"/>
  <c r="DI131" i="25" s="1"/>
  <c r="DD130" i="25"/>
  <c r="DD129" i="25"/>
  <c r="DH128" i="25"/>
  <c r="DI128" i="25" s="1"/>
  <c r="DK127" i="25"/>
  <c r="DL127" i="25" s="1"/>
  <c r="DK126" i="25"/>
  <c r="DL126" i="25" s="1"/>
  <c r="DC131" i="25"/>
  <c r="DC130" i="25"/>
  <c r="DC129" i="25"/>
  <c r="DD128" i="25"/>
  <c r="DH127" i="25"/>
  <c r="DI127" i="25" s="1"/>
  <c r="DH126" i="25"/>
  <c r="DI126" i="25" s="1"/>
  <c r="DK125" i="25"/>
  <c r="DL125" i="25" s="1"/>
  <c r="DB133" i="25"/>
  <c r="DE133" i="25" s="1"/>
  <c r="DB131" i="25"/>
  <c r="DE131" i="25" s="1"/>
  <c r="DB130" i="25"/>
  <c r="DB129" i="25"/>
  <c r="DC128" i="25"/>
  <c r="DD127" i="25"/>
  <c r="DD126" i="25"/>
  <c r="DH125" i="25"/>
  <c r="DI125" i="25" s="1"/>
  <c r="DK124" i="25"/>
  <c r="DL124" i="25" s="1"/>
  <c r="DA133" i="25"/>
  <c r="DA131" i="25"/>
  <c r="DA130" i="25"/>
  <c r="DA129" i="25"/>
  <c r="DB128" i="25"/>
  <c r="DC127" i="25"/>
  <c r="DC126" i="25"/>
  <c r="DD125" i="25"/>
  <c r="DH124" i="25"/>
  <c r="DI124" i="25" s="1"/>
  <c r="DA128" i="25"/>
  <c r="DB127" i="25"/>
  <c r="DB126" i="25"/>
  <c r="DC125" i="25"/>
  <c r="DD124" i="25"/>
  <c r="DA132" i="25"/>
  <c r="DA127" i="25"/>
  <c r="DA126" i="25"/>
  <c r="DB125" i="25"/>
  <c r="DC124" i="25"/>
  <c r="DA125" i="25"/>
  <c r="DK130" i="25"/>
  <c r="DL130" i="25" s="1"/>
  <c r="DK129" i="25"/>
  <c r="DL129" i="25" s="1"/>
  <c r="DB124" i="25"/>
  <c r="DD154" i="24"/>
  <c r="DC153" i="24"/>
  <c r="DC152" i="24"/>
  <c r="DC151" i="24"/>
  <c r="DC150" i="24"/>
  <c r="DD149" i="24"/>
  <c r="DH148" i="24"/>
  <c r="DI148" i="24" s="1"/>
  <c r="DH147" i="24"/>
  <c r="DI147" i="24" s="1"/>
  <c r="DK146" i="24"/>
  <c r="DL146" i="24" s="1"/>
  <c r="DC154" i="24"/>
  <c r="DB153" i="24"/>
  <c r="DE153" i="24" s="1"/>
  <c r="DB152" i="24"/>
  <c r="DE152" i="24" s="1"/>
  <c r="DB151" i="24"/>
  <c r="DB150" i="24"/>
  <c r="DC149" i="24"/>
  <c r="DD148" i="24"/>
  <c r="DD147" i="24"/>
  <c r="DH146" i="24"/>
  <c r="DI146" i="24" s="1"/>
  <c r="DK145" i="24"/>
  <c r="DL145" i="24" s="1"/>
  <c r="DB154" i="24"/>
  <c r="DE154" i="24" s="1"/>
  <c r="DA153" i="24"/>
  <c r="DA152" i="24"/>
  <c r="DA151" i="24"/>
  <c r="DA150" i="24"/>
  <c r="DB149" i="24"/>
  <c r="DC148" i="24"/>
  <c r="DC147" i="24"/>
  <c r="DD146" i="24"/>
  <c r="DH145" i="24"/>
  <c r="DI145" i="24" s="1"/>
  <c r="DA154" i="24"/>
  <c r="DA149" i="24"/>
  <c r="DB148" i="24"/>
  <c r="DB147" i="24"/>
  <c r="DC146" i="24"/>
  <c r="DD145" i="24"/>
  <c r="DA148" i="24"/>
  <c r="DA147" i="24"/>
  <c r="DB146" i="24"/>
  <c r="DC145" i="24"/>
  <c r="DK153" i="24"/>
  <c r="DL153" i="24" s="1"/>
  <c r="DK152" i="24"/>
  <c r="DL152" i="24" s="1"/>
  <c r="DK151" i="24"/>
  <c r="DL151" i="24" s="1"/>
  <c r="DK150" i="24"/>
  <c r="DL150" i="24" s="1"/>
  <c r="DA146" i="24"/>
  <c r="DB145" i="24"/>
  <c r="DH153" i="24"/>
  <c r="DI153" i="24" s="1"/>
  <c r="DH151" i="24"/>
  <c r="DI151" i="24" s="1"/>
  <c r="DA145" i="24"/>
  <c r="DD153" i="24"/>
  <c r="DD151" i="24"/>
  <c r="DK149" i="24"/>
  <c r="DL149" i="24" s="1"/>
  <c r="DK147" i="24"/>
  <c r="DL147" i="24" s="1"/>
  <c r="DH149" i="24"/>
  <c r="DI149" i="24" s="1"/>
  <c r="DH152" i="24"/>
  <c r="DI152" i="24" s="1"/>
  <c r="DH150" i="24"/>
  <c r="DI150" i="24" s="1"/>
  <c r="DK154" i="24"/>
  <c r="DL154" i="24" s="1"/>
  <c r="DD152" i="24"/>
  <c r="DD150" i="24"/>
  <c r="DK148" i="24"/>
  <c r="DL148" i="24" s="1"/>
  <c r="DH154" i="24"/>
  <c r="DI154" i="24" s="1"/>
  <c r="DB154" i="26"/>
  <c r="DE154" i="26" s="1"/>
  <c r="DA153" i="26"/>
  <c r="DA152" i="26"/>
  <c r="DA151" i="26"/>
  <c r="DA150" i="26"/>
  <c r="DB149" i="26"/>
  <c r="DC148" i="26"/>
  <c r="DC147" i="26"/>
  <c r="DD146" i="26"/>
  <c r="DH145" i="26"/>
  <c r="DI145" i="26" s="1"/>
  <c r="DA154" i="26"/>
  <c r="DA149" i="26"/>
  <c r="DB148" i="26"/>
  <c r="DB147" i="26"/>
  <c r="DC146" i="26"/>
  <c r="DD145" i="26"/>
  <c r="DA148" i="26"/>
  <c r="DA147" i="26"/>
  <c r="DB146" i="26"/>
  <c r="DC145" i="26"/>
  <c r="DK153" i="26"/>
  <c r="DL153" i="26" s="1"/>
  <c r="DK152" i="26"/>
  <c r="DL152" i="26" s="1"/>
  <c r="DK151" i="26"/>
  <c r="DL151" i="26" s="1"/>
  <c r="DK150" i="26"/>
  <c r="DL150" i="26" s="1"/>
  <c r="DA146" i="26"/>
  <c r="DB145" i="26"/>
  <c r="DK154" i="26"/>
  <c r="DL154" i="26" s="1"/>
  <c r="DH153" i="26"/>
  <c r="DI153" i="26" s="1"/>
  <c r="DH152" i="26"/>
  <c r="DI152" i="26" s="1"/>
  <c r="DH151" i="26"/>
  <c r="DI151" i="26" s="1"/>
  <c r="DH150" i="26"/>
  <c r="DI150" i="26" s="1"/>
  <c r="DK149" i="26"/>
  <c r="DL149" i="26" s="1"/>
  <c r="DA145" i="26"/>
  <c r="DH154" i="26"/>
  <c r="DI154" i="26" s="1"/>
  <c r="DD153" i="26"/>
  <c r="DD152" i="26"/>
  <c r="DD151" i="26"/>
  <c r="DD150" i="26"/>
  <c r="DH149" i="26"/>
  <c r="DI149" i="26" s="1"/>
  <c r="DK148" i="26"/>
  <c r="DL148" i="26" s="1"/>
  <c r="DK147" i="26"/>
  <c r="DL147" i="26" s="1"/>
  <c r="DD154" i="26"/>
  <c r="DC153" i="26"/>
  <c r="DC152" i="26"/>
  <c r="DC151" i="26"/>
  <c r="DC150" i="26"/>
  <c r="DD149" i="26"/>
  <c r="DH148" i="26"/>
  <c r="DI148" i="26" s="1"/>
  <c r="DH147" i="26"/>
  <c r="DI147" i="26" s="1"/>
  <c r="DK146" i="26"/>
  <c r="DL146" i="26" s="1"/>
  <c r="DB152" i="26"/>
  <c r="DE152" i="26" s="1"/>
  <c r="DD147" i="26"/>
  <c r="DK145" i="26"/>
  <c r="DL145" i="26" s="1"/>
  <c r="DC149" i="26"/>
  <c r="DC154" i="26"/>
  <c r="DB151" i="26"/>
  <c r="DB153" i="26"/>
  <c r="DE153" i="26" s="1"/>
  <c r="DH146" i="26"/>
  <c r="DI146" i="26" s="1"/>
  <c r="DB150" i="26"/>
  <c r="DD148" i="26"/>
  <c r="DD154" i="20"/>
  <c r="DC153" i="20"/>
  <c r="DC152" i="20"/>
  <c r="DC151" i="20"/>
  <c r="DK153" i="20"/>
  <c r="DL153" i="20" s="1"/>
  <c r="DK152" i="20"/>
  <c r="DL152" i="20" s="1"/>
  <c r="DK151" i="20"/>
  <c r="DL151" i="20" s="1"/>
  <c r="DK150" i="20"/>
  <c r="DL150" i="20" s="1"/>
  <c r="DD153" i="20"/>
  <c r="DA152" i="20"/>
  <c r="DA146" i="20"/>
  <c r="DB145" i="20"/>
  <c r="DK154" i="20"/>
  <c r="DL154" i="20" s="1"/>
  <c r="DB153" i="20"/>
  <c r="DE153" i="20" s="1"/>
  <c r="DH150" i="20"/>
  <c r="DI150" i="20" s="1"/>
  <c r="DK149" i="20"/>
  <c r="DL149" i="20" s="1"/>
  <c r="DA145" i="20"/>
  <c r="DH154" i="20"/>
  <c r="DI154" i="20" s="1"/>
  <c r="DA153" i="20"/>
  <c r="DD150" i="20"/>
  <c r="DH149" i="20"/>
  <c r="DI149" i="20" s="1"/>
  <c r="DK148" i="20"/>
  <c r="DL148" i="20" s="1"/>
  <c r="DK147" i="20"/>
  <c r="DL147" i="20" s="1"/>
  <c r="DC154" i="20"/>
  <c r="DH151" i="20"/>
  <c r="DI151" i="20" s="1"/>
  <c r="DC150" i="20"/>
  <c r="DD149" i="20"/>
  <c r="DH148" i="20"/>
  <c r="DI148" i="20" s="1"/>
  <c r="DH147" i="20"/>
  <c r="DI147" i="20" s="1"/>
  <c r="DK146" i="20"/>
  <c r="DL146" i="20" s="1"/>
  <c r="DA154" i="20"/>
  <c r="DH152" i="20"/>
  <c r="DI152" i="20" s="1"/>
  <c r="DB151" i="20"/>
  <c r="DA150" i="20"/>
  <c r="DB149" i="20"/>
  <c r="DC148" i="20"/>
  <c r="DC147" i="20"/>
  <c r="DD146" i="20"/>
  <c r="DH145" i="20"/>
  <c r="DI145" i="20" s="1"/>
  <c r="DD152" i="20"/>
  <c r="DA151" i="20"/>
  <c r="DA149" i="20"/>
  <c r="DB148" i="20"/>
  <c r="DB147" i="20"/>
  <c r="DC146" i="20"/>
  <c r="DD145" i="20"/>
  <c r="DH153" i="20"/>
  <c r="DI153" i="20" s="1"/>
  <c r="DC145" i="20"/>
  <c r="DB150" i="20"/>
  <c r="DD148" i="20"/>
  <c r="DA148" i="20"/>
  <c r="DH146" i="20"/>
  <c r="DI146" i="20" s="1"/>
  <c r="DB152" i="20"/>
  <c r="DE152" i="20" s="1"/>
  <c r="DB146" i="20"/>
  <c r="DC149" i="20"/>
  <c r="DD147" i="20"/>
  <c r="DD151" i="20"/>
  <c r="DB154" i="20"/>
  <c r="DE154" i="20" s="1"/>
  <c r="DK145" i="20"/>
  <c r="DL145" i="20" s="1"/>
  <c r="DA147" i="20"/>
  <c r="DH154" i="28"/>
  <c r="DI154" i="28" s="1"/>
  <c r="DD153" i="28"/>
  <c r="DD152" i="28"/>
  <c r="DD151" i="28"/>
  <c r="DD150" i="28"/>
  <c r="DH149" i="28"/>
  <c r="DI149" i="28" s="1"/>
  <c r="DK148" i="28"/>
  <c r="DL148" i="28" s="1"/>
  <c r="DK147" i="28"/>
  <c r="DL147" i="28" s="1"/>
  <c r="DD154" i="28"/>
  <c r="DC153" i="28"/>
  <c r="DC152" i="28"/>
  <c r="DC151" i="28"/>
  <c r="DC150" i="28"/>
  <c r="DD149" i="28"/>
  <c r="DH148" i="28"/>
  <c r="DI148" i="28" s="1"/>
  <c r="DH147" i="28"/>
  <c r="DI147" i="28" s="1"/>
  <c r="DK146" i="28"/>
  <c r="DL146" i="28" s="1"/>
  <c r="DC154" i="28"/>
  <c r="DB153" i="28"/>
  <c r="DE153" i="28" s="1"/>
  <c r="DB152" i="28"/>
  <c r="DE152" i="28" s="1"/>
  <c r="DB151" i="28"/>
  <c r="DB150" i="28"/>
  <c r="DC149" i="28"/>
  <c r="DD148" i="28"/>
  <c r="DD147" i="28"/>
  <c r="DH146" i="28"/>
  <c r="DI146" i="28" s="1"/>
  <c r="DK145" i="28"/>
  <c r="DL145" i="28" s="1"/>
  <c r="DB154" i="28"/>
  <c r="DE154" i="28" s="1"/>
  <c r="DA153" i="28"/>
  <c r="DA152" i="28"/>
  <c r="DA151" i="28"/>
  <c r="DA150" i="28"/>
  <c r="DB149" i="28"/>
  <c r="DC148" i="28"/>
  <c r="DC147" i="28"/>
  <c r="DD146" i="28"/>
  <c r="DH145" i="28"/>
  <c r="DI145" i="28" s="1"/>
  <c r="DA154" i="28"/>
  <c r="DA149" i="28"/>
  <c r="DB148" i="28"/>
  <c r="DB147" i="28"/>
  <c r="DC146" i="28"/>
  <c r="DD145" i="28"/>
  <c r="DA148" i="28"/>
  <c r="DA147" i="28"/>
  <c r="DB146" i="28"/>
  <c r="DC145" i="28"/>
  <c r="DK153" i="28"/>
  <c r="DL153" i="28" s="1"/>
  <c r="DK152" i="28"/>
  <c r="DL152" i="28" s="1"/>
  <c r="DK151" i="28"/>
  <c r="DL151" i="28" s="1"/>
  <c r="DK150" i="28"/>
  <c r="DL150" i="28" s="1"/>
  <c r="DA146" i="28"/>
  <c r="DB145" i="28"/>
  <c r="DK149" i="28"/>
  <c r="DL149" i="28" s="1"/>
  <c r="DK154" i="28"/>
  <c r="DL154" i="28" s="1"/>
  <c r="DH151" i="28"/>
  <c r="DI151" i="28" s="1"/>
  <c r="DH153" i="28"/>
  <c r="DI153" i="28" s="1"/>
  <c r="DH150" i="28"/>
  <c r="DI150" i="28" s="1"/>
  <c r="DA145" i="28"/>
  <c r="DH152" i="28"/>
  <c r="DI152" i="28" s="1"/>
  <c r="DC154" i="21"/>
  <c r="DB153" i="21"/>
  <c r="DE153" i="21" s="1"/>
  <c r="DB152" i="21"/>
  <c r="DE152" i="21" s="1"/>
  <c r="DB151" i="21"/>
  <c r="DB150" i="21"/>
  <c r="DC149" i="21"/>
  <c r="DD148" i="21"/>
  <c r="DD147" i="21"/>
  <c r="DH146" i="21"/>
  <c r="DI146" i="21" s="1"/>
  <c r="DK145" i="21"/>
  <c r="DL145" i="21" s="1"/>
  <c r="DB154" i="21"/>
  <c r="DE154" i="21" s="1"/>
  <c r="DA154" i="21"/>
  <c r="DA149" i="21"/>
  <c r="DB148" i="21"/>
  <c r="DB147" i="21"/>
  <c r="DC146" i="21"/>
  <c r="DD145" i="21"/>
  <c r="DA148" i="21"/>
  <c r="DA147" i="21"/>
  <c r="DB146" i="21"/>
  <c r="DC145" i="21"/>
  <c r="DK154" i="21"/>
  <c r="DL154" i="21" s="1"/>
  <c r="DH153" i="21"/>
  <c r="DI153" i="21" s="1"/>
  <c r="DH152" i="21"/>
  <c r="DI152" i="21" s="1"/>
  <c r="DH151" i="21"/>
  <c r="DI151" i="21" s="1"/>
  <c r="DH150" i="21"/>
  <c r="DI150" i="21" s="1"/>
  <c r="DK149" i="21"/>
  <c r="DL149" i="21" s="1"/>
  <c r="DA145" i="21"/>
  <c r="DH154" i="21"/>
  <c r="DI154" i="21" s="1"/>
  <c r="DD153" i="21"/>
  <c r="DD152" i="21"/>
  <c r="DD151" i="21"/>
  <c r="DD150" i="21"/>
  <c r="DH149" i="21"/>
  <c r="DI149" i="21" s="1"/>
  <c r="DK148" i="21"/>
  <c r="DL148" i="21" s="1"/>
  <c r="DK147" i="21"/>
  <c r="DL147" i="21" s="1"/>
  <c r="DD154" i="21"/>
  <c r="DC152" i="21"/>
  <c r="DB149" i="21"/>
  <c r="DH147" i="21"/>
  <c r="DI147" i="21" s="1"/>
  <c r="DA152" i="21"/>
  <c r="DK150" i="21"/>
  <c r="DL150" i="21" s="1"/>
  <c r="DC147" i="21"/>
  <c r="DK153" i="21"/>
  <c r="DL153" i="21" s="1"/>
  <c r="DC150" i="21"/>
  <c r="DC153" i="21"/>
  <c r="DA150" i="21"/>
  <c r="DH145" i="21"/>
  <c r="DI145" i="21" s="1"/>
  <c r="DA153" i="21"/>
  <c r="DK151" i="21"/>
  <c r="DL151" i="21" s="1"/>
  <c r="DH148" i="21"/>
  <c r="DI148" i="21" s="1"/>
  <c r="DB145" i="21"/>
  <c r="DC151" i="21"/>
  <c r="DC148" i="21"/>
  <c r="DK146" i="21"/>
  <c r="DL146" i="21" s="1"/>
  <c r="DD149" i="21"/>
  <c r="DD146" i="21"/>
  <c r="DA151" i="21"/>
  <c r="DA146" i="21"/>
  <c r="DK152" i="21"/>
  <c r="DL152" i="21" s="1"/>
  <c r="DA148" i="23"/>
  <c r="DA147" i="23"/>
  <c r="DB146" i="23"/>
  <c r="DC145" i="23"/>
  <c r="DK153" i="23"/>
  <c r="DL153" i="23" s="1"/>
  <c r="DK152" i="23"/>
  <c r="DL152" i="23" s="1"/>
  <c r="DK151" i="23"/>
  <c r="DL151" i="23" s="1"/>
  <c r="DK150" i="23"/>
  <c r="DL150" i="23" s="1"/>
  <c r="DA146" i="23"/>
  <c r="DB145" i="23"/>
  <c r="DK154" i="23"/>
  <c r="DL154" i="23" s="1"/>
  <c r="DH153" i="23"/>
  <c r="DI153" i="23" s="1"/>
  <c r="DH152" i="23"/>
  <c r="DI152" i="23" s="1"/>
  <c r="DH151" i="23"/>
  <c r="DI151" i="23" s="1"/>
  <c r="DH150" i="23"/>
  <c r="DI150" i="23" s="1"/>
  <c r="DK149" i="23"/>
  <c r="DL149" i="23" s="1"/>
  <c r="DA145" i="23"/>
  <c r="DH154" i="23"/>
  <c r="DI154" i="23" s="1"/>
  <c r="DD153" i="23"/>
  <c r="DD152" i="23"/>
  <c r="DD151" i="23"/>
  <c r="DD150" i="23"/>
  <c r="DH149" i="23"/>
  <c r="DI149" i="23" s="1"/>
  <c r="DK148" i="23"/>
  <c r="DL148" i="23" s="1"/>
  <c r="DK147" i="23"/>
  <c r="DL147" i="23" s="1"/>
  <c r="DD154" i="23"/>
  <c r="DC153" i="23"/>
  <c r="DC152" i="23"/>
  <c r="DC151" i="23"/>
  <c r="DC150" i="23"/>
  <c r="DD149" i="23"/>
  <c r="DH148" i="23"/>
  <c r="DI148" i="23" s="1"/>
  <c r="DH147" i="23"/>
  <c r="DI147" i="23" s="1"/>
  <c r="DK146" i="23"/>
  <c r="DL146" i="23" s="1"/>
  <c r="DC154" i="23"/>
  <c r="DB153" i="23"/>
  <c r="DE153" i="23" s="1"/>
  <c r="DB152" i="23"/>
  <c r="DE152" i="23" s="1"/>
  <c r="DB151" i="23"/>
  <c r="DB150" i="23"/>
  <c r="DC149" i="23"/>
  <c r="DD148" i="23"/>
  <c r="DD147" i="23"/>
  <c r="DH146" i="23"/>
  <c r="DI146" i="23" s="1"/>
  <c r="DK145" i="23"/>
  <c r="DL145" i="23" s="1"/>
  <c r="DB147" i="23"/>
  <c r="DA153" i="23"/>
  <c r="DH145" i="23"/>
  <c r="DI145" i="23" s="1"/>
  <c r="DA150" i="23"/>
  <c r="DD145" i="23"/>
  <c r="DC148" i="23"/>
  <c r="DA152" i="23"/>
  <c r="DB148" i="23"/>
  <c r="DD146" i="23"/>
  <c r="DC146" i="23"/>
  <c r="DB154" i="23"/>
  <c r="DE154" i="23" s="1"/>
  <c r="DB149" i="23"/>
  <c r="DA154" i="23"/>
  <c r="DC147" i="23"/>
  <c r="DA149" i="23"/>
  <c r="DA151" i="23"/>
  <c r="DK154" i="27"/>
  <c r="DL154" i="27" s="1"/>
  <c r="DH153" i="27"/>
  <c r="DI153" i="27" s="1"/>
  <c r="DH152" i="27"/>
  <c r="DI152" i="27" s="1"/>
  <c r="DH151" i="27"/>
  <c r="DI151" i="27" s="1"/>
  <c r="DH150" i="27"/>
  <c r="DI150" i="27" s="1"/>
  <c r="DK149" i="27"/>
  <c r="DL149" i="27" s="1"/>
  <c r="DA145" i="27"/>
  <c r="DH154" i="27"/>
  <c r="DI154" i="27" s="1"/>
  <c r="DD153" i="27"/>
  <c r="DD152" i="27"/>
  <c r="DD151" i="27"/>
  <c r="DD150" i="27"/>
  <c r="DH149" i="27"/>
  <c r="DI149" i="27" s="1"/>
  <c r="DK148" i="27"/>
  <c r="DL148" i="27" s="1"/>
  <c r="DK147" i="27"/>
  <c r="DL147" i="27" s="1"/>
  <c r="DD154" i="27"/>
  <c r="DC153" i="27"/>
  <c r="DC152" i="27"/>
  <c r="DC151" i="27"/>
  <c r="DC150" i="27"/>
  <c r="DD149" i="27"/>
  <c r="DH148" i="27"/>
  <c r="DI148" i="27" s="1"/>
  <c r="DH147" i="27"/>
  <c r="DI147" i="27" s="1"/>
  <c r="DK146" i="27"/>
  <c r="DL146" i="27" s="1"/>
  <c r="DB154" i="27"/>
  <c r="DE154" i="27" s="1"/>
  <c r="DA153" i="27"/>
  <c r="DA152" i="27"/>
  <c r="DA151" i="27"/>
  <c r="DA150" i="27"/>
  <c r="DB149" i="27"/>
  <c r="DC148" i="27"/>
  <c r="DC147" i="27"/>
  <c r="DD146" i="27"/>
  <c r="DH145" i="27"/>
  <c r="DI145" i="27" s="1"/>
  <c r="DA154" i="27"/>
  <c r="DA149" i="27"/>
  <c r="DB148" i="27"/>
  <c r="DB147" i="27"/>
  <c r="DC146" i="27"/>
  <c r="DD145" i="27"/>
  <c r="DK152" i="27"/>
  <c r="DL152" i="27" s="1"/>
  <c r="DK150" i="27"/>
  <c r="DL150" i="27" s="1"/>
  <c r="DK145" i="27"/>
  <c r="DL145" i="27" s="1"/>
  <c r="DB152" i="27"/>
  <c r="DE152" i="27" s="1"/>
  <c r="DB150" i="27"/>
  <c r="DD148" i="27"/>
  <c r="DC145" i="27"/>
  <c r="DC154" i="27"/>
  <c r="DA148" i="27"/>
  <c r="DH146" i="27"/>
  <c r="DI146" i="27" s="1"/>
  <c r="DB145" i="27"/>
  <c r="DB146" i="27"/>
  <c r="DK153" i="27"/>
  <c r="DL153" i="27" s="1"/>
  <c r="DK151" i="27"/>
  <c r="DL151" i="27" s="1"/>
  <c r="DA146" i="27"/>
  <c r="DB153" i="27"/>
  <c r="DE153" i="27" s="1"/>
  <c r="DB151" i="27"/>
  <c r="DC149" i="27"/>
  <c r="DD147" i="27"/>
  <c r="DA147" i="27"/>
  <c r="DD15" i="23"/>
  <c r="D7" i="33"/>
  <c r="U20" i="33" s="1"/>
  <c r="U21" i="33" s="1"/>
  <c r="T22" i="33" s="1"/>
  <c r="H7" i="33" s="1"/>
  <c r="DD15" i="27"/>
  <c r="D7" i="37"/>
  <c r="D9" i="37" s="1"/>
  <c r="DD99" i="21"/>
  <c r="D99" i="31"/>
  <c r="U112" i="31" s="1"/>
  <c r="U113" i="31" s="1"/>
  <c r="T114" i="31" s="1"/>
  <c r="H99" i="31" s="1"/>
  <c r="DD78" i="28"/>
  <c r="D76" i="38"/>
  <c r="I76" i="38" s="1"/>
  <c r="DD78" i="21"/>
  <c r="D76" i="31"/>
  <c r="U89" i="31" s="1"/>
  <c r="U90" i="31" s="1"/>
  <c r="T91" i="31" s="1"/>
  <c r="H76" i="31" s="1"/>
  <c r="DD78" i="23"/>
  <c r="D76" i="33"/>
  <c r="I76" i="33" s="1"/>
  <c r="DD141" i="27"/>
  <c r="D145" i="37"/>
  <c r="U158" i="37" s="1"/>
  <c r="U159" i="37" s="1"/>
  <c r="T160" i="37" s="1"/>
  <c r="H145" i="37" s="1"/>
  <c r="AI144" i="24"/>
  <c r="C154" i="34"/>
  <c r="AI81" i="14"/>
  <c r="C85" i="13"/>
  <c r="AI81" i="25"/>
  <c r="C85" i="35"/>
  <c r="DD141" i="22"/>
  <c r="D145" i="32"/>
  <c r="D147" i="32" s="1"/>
  <c r="AI81" i="24"/>
  <c r="C85" i="34"/>
  <c r="AI123" i="23"/>
  <c r="C131" i="33"/>
  <c r="DD120" i="7"/>
  <c r="DD99" i="27"/>
  <c r="D99" i="37"/>
  <c r="U112" i="37" s="1"/>
  <c r="U113" i="37" s="1"/>
  <c r="T114" i="37" s="1"/>
  <c r="H99" i="37" s="1"/>
  <c r="DD141" i="26"/>
  <c r="D145" i="36"/>
  <c r="D147" i="36" s="1"/>
  <c r="DC154" i="7"/>
  <c r="DB153" i="7"/>
  <c r="DE153" i="7" s="1"/>
  <c r="DB152" i="7"/>
  <c r="DE152" i="7" s="1"/>
  <c r="DB151" i="7"/>
  <c r="DB150" i="7"/>
  <c r="DC149" i="7"/>
  <c r="DD148" i="7"/>
  <c r="DD147" i="7"/>
  <c r="DH146" i="7"/>
  <c r="DI146" i="7" s="1"/>
  <c r="DK145" i="7"/>
  <c r="DL145" i="7" s="1"/>
  <c r="DB154" i="7"/>
  <c r="DE154" i="7" s="1"/>
  <c r="DA153" i="7"/>
  <c r="DA152" i="7"/>
  <c r="DA151" i="7"/>
  <c r="DA150" i="7"/>
  <c r="DB149" i="7"/>
  <c r="DC148" i="7"/>
  <c r="DC147" i="7"/>
  <c r="DD146" i="7"/>
  <c r="DH145" i="7"/>
  <c r="DI145" i="7" s="1"/>
  <c r="DA154" i="7"/>
  <c r="DA149" i="7"/>
  <c r="DB148" i="7"/>
  <c r="DB147" i="7"/>
  <c r="DC146" i="7"/>
  <c r="DD145" i="7"/>
  <c r="DA148" i="7"/>
  <c r="DA147" i="7"/>
  <c r="DB146" i="7"/>
  <c r="DC145" i="7"/>
  <c r="DK153" i="7"/>
  <c r="DL153" i="7" s="1"/>
  <c r="DK152" i="7"/>
  <c r="DL152" i="7" s="1"/>
  <c r="DK151" i="7"/>
  <c r="DL151" i="7" s="1"/>
  <c r="DK150" i="7"/>
  <c r="DL150" i="7" s="1"/>
  <c r="DA146" i="7"/>
  <c r="DB145" i="7"/>
  <c r="DK154" i="7"/>
  <c r="DL154" i="7" s="1"/>
  <c r="DH153" i="7"/>
  <c r="DI153" i="7" s="1"/>
  <c r="DH152" i="7"/>
  <c r="DI152" i="7" s="1"/>
  <c r="DH151" i="7"/>
  <c r="DI151" i="7" s="1"/>
  <c r="DH150" i="7"/>
  <c r="DI150" i="7" s="1"/>
  <c r="DK149" i="7"/>
  <c r="DL149" i="7" s="1"/>
  <c r="DA145" i="7"/>
  <c r="DH154" i="7"/>
  <c r="DI154" i="7" s="1"/>
  <c r="DD153" i="7"/>
  <c r="DD152" i="7"/>
  <c r="DD151" i="7"/>
  <c r="DD150" i="7"/>
  <c r="DH149" i="7"/>
  <c r="DI149" i="7" s="1"/>
  <c r="DK148" i="7"/>
  <c r="DL148" i="7" s="1"/>
  <c r="DK147" i="7"/>
  <c r="DL147" i="7" s="1"/>
  <c r="DC150" i="7"/>
  <c r="DH148" i="7"/>
  <c r="DI148" i="7" s="1"/>
  <c r="DC152" i="7"/>
  <c r="DH147" i="7"/>
  <c r="DI147" i="7" s="1"/>
  <c r="DC153" i="7"/>
  <c r="DD149" i="7"/>
  <c r="DD154" i="7"/>
  <c r="DC151" i="7"/>
  <c r="DK146" i="7"/>
  <c r="DL146" i="7" s="1"/>
  <c r="DC112" i="7"/>
  <c r="DB111" i="7"/>
  <c r="DE111" i="7" s="1"/>
  <c r="DB110" i="7"/>
  <c r="DE110" i="7" s="1"/>
  <c r="DB109" i="7"/>
  <c r="DB108" i="7"/>
  <c r="DC107" i="7"/>
  <c r="DD106" i="7"/>
  <c r="DD105" i="7"/>
  <c r="DH104" i="7"/>
  <c r="DI104" i="7" s="1"/>
  <c r="DK103" i="7"/>
  <c r="DL103" i="7" s="1"/>
  <c r="DB112" i="7"/>
  <c r="DE112" i="7" s="1"/>
  <c r="DA111" i="7"/>
  <c r="DA110" i="7"/>
  <c r="DA109" i="7"/>
  <c r="DA108" i="7"/>
  <c r="DB107" i="7"/>
  <c r="DC106" i="7"/>
  <c r="DC105" i="7"/>
  <c r="DD104" i="7"/>
  <c r="DH103" i="7"/>
  <c r="DI103" i="7" s="1"/>
  <c r="DA112" i="7"/>
  <c r="DA107" i="7"/>
  <c r="DB106" i="7"/>
  <c r="DB105" i="7"/>
  <c r="DC104" i="7"/>
  <c r="DD103" i="7"/>
  <c r="DA106" i="7"/>
  <c r="DA105" i="7"/>
  <c r="DB104" i="7"/>
  <c r="DC103" i="7"/>
  <c r="DK111" i="7"/>
  <c r="DL111" i="7" s="1"/>
  <c r="DK110" i="7"/>
  <c r="DL110" i="7" s="1"/>
  <c r="DK109" i="7"/>
  <c r="DL109" i="7" s="1"/>
  <c r="DK108" i="7"/>
  <c r="DL108" i="7" s="1"/>
  <c r="DA104" i="7"/>
  <c r="DB103" i="7"/>
  <c r="DK112" i="7"/>
  <c r="DL112" i="7" s="1"/>
  <c r="DH111" i="7"/>
  <c r="DI111" i="7" s="1"/>
  <c r="DH110" i="7"/>
  <c r="DI110" i="7" s="1"/>
  <c r="DH109" i="7"/>
  <c r="DI109" i="7" s="1"/>
  <c r="DH108" i="7"/>
  <c r="DI108" i="7" s="1"/>
  <c r="DK107" i="7"/>
  <c r="DL107" i="7" s="1"/>
  <c r="DA103" i="7"/>
  <c r="DH112" i="7"/>
  <c r="DI112" i="7" s="1"/>
  <c r="DD111" i="7"/>
  <c r="DD110" i="7"/>
  <c r="DD109" i="7"/>
  <c r="DD108" i="7"/>
  <c r="DH107" i="7"/>
  <c r="DI107" i="7" s="1"/>
  <c r="DK106" i="7"/>
  <c r="DL106" i="7" s="1"/>
  <c r="DK105" i="7"/>
  <c r="DL105" i="7" s="1"/>
  <c r="DC111" i="7"/>
  <c r="DK104" i="7"/>
  <c r="DL104" i="7" s="1"/>
  <c r="DC108" i="7"/>
  <c r="DH106" i="7"/>
  <c r="DI106" i="7" s="1"/>
  <c r="DC109" i="7"/>
  <c r="DC110" i="7"/>
  <c r="DH105" i="7"/>
  <c r="DI105" i="7" s="1"/>
  <c r="DD107" i="7"/>
  <c r="DD112" i="7"/>
  <c r="AI18" i="7"/>
  <c r="BJ39" i="7"/>
  <c r="BJ42" i="7" s="1"/>
  <c r="AI18" i="14"/>
  <c r="C16" i="13"/>
  <c r="BJ60" i="7"/>
  <c r="DA22" i="21"/>
  <c r="DA21" i="21"/>
  <c r="DB20" i="21"/>
  <c r="DC19" i="21"/>
  <c r="DK27" i="21"/>
  <c r="DL27" i="21" s="1"/>
  <c r="DK26" i="21"/>
  <c r="DL26" i="21" s="1"/>
  <c r="DK25" i="21"/>
  <c r="DL25" i="21" s="1"/>
  <c r="DK24" i="21"/>
  <c r="DL24" i="21" s="1"/>
  <c r="DA20" i="21"/>
  <c r="DB19" i="21"/>
  <c r="DK28" i="21"/>
  <c r="DL28" i="21" s="1"/>
  <c r="DH27" i="21"/>
  <c r="DI27" i="21" s="1"/>
  <c r="DH26" i="21"/>
  <c r="DI26" i="21" s="1"/>
  <c r="DH25" i="21"/>
  <c r="DI25" i="21" s="1"/>
  <c r="DH24" i="21"/>
  <c r="DI24" i="21" s="1"/>
  <c r="DK23" i="21"/>
  <c r="DL23" i="21" s="1"/>
  <c r="DA19" i="21"/>
  <c r="DH28" i="21"/>
  <c r="DI28" i="21" s="1"/>
  <c r="DD27" i="21"/>
  <c r="DD26" i="21"/>
  <c r="DD25" i="21"/>
  <c r="DD24" i="21"/>
  <c r="DH23" i="21"/>
  <c r="DI23" i="21" s="1"/>
  <c r="DK22" i="21"/>
  <c r="DL22" i="21" s="1"/>
  <c r="DK21" i="21"/>
  <c r="DL21" i="21" s="1"/>
  <c r="DD28" i="21"/>
  <c r="DC27" i="21"/>
  <c r="DC26" i="21"/>
  <c r="DC25" i="21"/>
  <c r="DC24" i="21"/>
  <c r="DD23" i="21"/>
  <c r="DH22" i="21"/>
  <c r="DI22" i="21" s="1"/>
  <c r="DH21" i="21"/>
  <c r="DI21" i="21" s="1"/>
  <c r="DK20" i="21"/>
  <c r="DL20" i="21" s="1"/>
  <c r="DC28" i="21"/>
  <c r="DB27" i="21"/>
  <c r="DE27" i="21" s="1"/>
  <c r="DB26" i="21"/>
  <c r="DE26" i="21" s="1"/>
  <c r="DB25" i="21"/>
  <c r="DB24" i="21"/>
  <c r="DC23" i="21"/>
  <c r="DD22" i="21"/>
  <c r="DD21" i="21"/>
  <c r="DH20" i="21"/>
  <c r="DI20" i="21" s="1"/>
  <c r="DK19" i="21"/>
  <c r="DL19" i="21" s="1"/>
  <c r="DA24" i="21"/>
  <c r="DD19" i="21"/>
  <c r="DC22" i="21"/>
  <c r="DA26" i="21"/>
  <c r="DB22" i="21"/>
  <c r="DD20" i="21"/>
  <c r="DC20" i="21"/>
  <c r="DB28" i="21"/>
  <c r="DE28" i="21" s="1"/>
  <c r="DB23" i="21"/>
  <c r="DA28" i="21"/>
  <c r="DA25" i="21"/>
  <c r="DA23" i="21"/>
  <c r="DC21" i="21"/>
  <c r="DH19" i="21"/>
  <c r="DI19" i="21" s="1"/>
  <c r="DB21" i="21"/>
  <c r="DA27" i="21"/>
  <c r="DA22" i="23"/>
  <c r="DA21" i="23"/>
  <c r="DB20" i="23"/>
  <c r="DC19" i="23"/>
  <c r="DK27" i="23"/>
  <c r="DL27" i="23" s="1"/>
  <c r="DK26" i="23"/>
  <c r="DL26" i="23" s="1"/>
  <c r="DK25" i="23"/>
  <c r="DL25" i="23" s="1"/>
  <c r="DK24" i="23"/>
  <c r="DL24" i="23" s="1"/>
  <c r="DA20" i="23"/>
  <c r="DB19" i="23"/>
  <c r="DK28" i="23"/>
  <c r="DL28" i="23" s="1"/>
  <c r="DH27" i="23"/>
  <c r="DI27" i="23" s="1"/>
  <c r="DH26" i="23"/>
  <c r="DI26" i="23" s="1"/>
  <c r="DH25" i="23"/>
  <c r="DI25" i="23" s="1"/>
  <c r="DH24" i="23"/>
  <c r="DI24" i="23" s="1"/>
  <c r="DK23" i="23"/>
  <c r="DL23" i="23" s="1"/>
  <c r="DA19" i="23"/>
  <c r="DH28" i="23"/>
  <c r="DI28" i="23" s="1"/>
  <c r="DD27" i="23"/>
  <c r="DD26" i="23"/>
  <c r="DD25" i="23"/>
  <c r="DD24" i="23"/>
  <c r="DH23" i="23"/>
  <c r="DI23" i="23" s="1"/>
  <c r="DK22" i="23"/>
  <c r="DL22" i="23" s="1"/>
  <c r="DK21" i="23"/>
  <c r="DL21" i="23" s="1"/>
  <c r="DD28" i="23"/>
  <c r="DC27" i="23"/>
  <c r="DC26" i="23"/>
  <c r="DC25" i="23"/>
  <c r="DC24" i="23"/>
  <c r="DD23" i="23"/>
  <c r="DH22" i="23"/>
  <c r="DI22" i="23" s="1"/>
  <c r="DH21" i="23"/>
  <c r="DI21" i="23" s="1"/>
  <c r="DK20" i="23"/>
  <c r="DL20" i="23" s="1"/>
  <c r="DC28" i="23"/>
  <c r="DB27" i="23"/>
  <c r="DE27" i="23" s="1"/>
  <c r="DB26" i="23"/>
  <c r="DE26" i="23" s="1"/>
  <c r="DB25" i="23"/>
  <c r="DB24" i="23"/>
  <c r="DC23" i="23"/>
  <c r="DD22" i="23"/>
  <c r="DD21" i="23"/>
  <c r="DH20" i="23"/>
  <c r="DI20" i="23" s="1"/>
  <c r="DK19" i="23"/>
  <c r="DL19" i="23" s="1"/>
  <c r="DB21" i="23"/>
  <c r="DA27" i="23"/>
  <c r="DH19" i="23"/>
  <c r="DI19" i="23" s="1"/>
  <c r="DA24" i="23"/>
  <c r="DD19" i="23"/>
  <c r="DC22" i="23"/>
  <c r="DA26" i="23"/>
  <c r="DB22" i="23"/>
  <c r="DD20" i="23"/>
  <c r="DC20" i="23"/>
  <c r="DB28" i="23"/>
  <c r="DE28" i="23" s="1"/>
  <c r="DB23" i="23"/>
  <c r="DA28" i="23"/>
  <c r="DC21" i="23"/>
  <c r="DA23" i="23"/>
  <c r="DA25" i="23"/>
  <c r="DK69" i="14"/>
  <c r="DL69" i="14" s="1"/>
  <c r="DK68" i="14"/>
  <c r="DL68" i="14" s="1"/>
  <c r="DK67" i="14"/>
  <c r="DL67" i="14" s="1"/>
  <c r="DK66" i="14"/>
  <c r="DL66" i="14" s="1"/>
  <c r="DA62" i="14"/>
  <c r="DB61" i="14"/>
  <c r="DK70" i="14"/>
  <c r="DL70" i="14" s="1"/>
  <c r="DH69" i="14"/>
  <c r="DI69" i="14" s="1"/>
  <c r="DH68" i="14"/>
  <c r="DI68" i="14" s="1"/>
  <c r="DH67" i="14"/>
  <c r="DI67" i="14" s="1"/>
  <c r="DH66" i="14"/>
  <c r="DI66" i="14" s="1"/>
  <c r="DK65" i="14"/>
  <c r="DL65" i="14" s="1"/>
  <c r="DA61" i="14"/>
  <c r="DH70" i="14"/>
  <c r="DI70" i="14" s="1"/>
  <c r="DD69" i="14"/>
  <c r="DD68" i="14"/>
  <c r="DD67" i="14"/>
  <c r="DD66" i="14"/>
  <c r="DH65" i="14"/>
  <c r="DI65" i="14" s="1"/>
  <c r="DK64" i="14"/>
  <c r="DL64" i="14" s="1"/>
  <c r="DK63" i="14"/>
  <c r="DL63" i="14" s="1"/>
  <c r="DD70" i="14"/>
  <c r="DC69" i="14"/>
  <c r="DC68" i="14"/>
  <c r="DC67" i="14"/>
  <c r="DC66" i="14"/>
  <c r="DD65" i="14"/>
  <c r="DH64" i="14"/>
  <c r="DI64" i="14" s="1"/>
  <c r="DH63" i="14"/>
  <c r="DI63" i="14" s="1"/>
  <c r="DK62" i="14"/>
  <c r="DL62" i="14" s="1"/>
  <c r="DC70" i="14"/>
  <c r="DB69" i="14"/>
  <c r="DE69" i="14" s="1"/>
  <c r="DB68" i="14"/>
  <c r="DE68" i="14" s="1"/>
  <c r="DB67" i="14"/>
  <c r="DB66" i="14"/>
  <c r="DC65" i="14"/>
  <c r="DD64" i="14"/>
  <c r="DD63" i="14"/>
  <c r="DH62" i="14"/>
  <c r="DI62" i="14" s="1"/>
  <c r="DK61" i="14"/>
  <c r="DL61" i="14" s="1"/>
  <c r="DB70" i="14"/>
  <c r="DE70" i="14" s="1"/>
  <c r="DA69" i="14"/>
  <c r="DA68" i="14"/>
  <c r="DA67" i="14"/>
  <c r="DA66" i="14"/>
  <c r="DB65" i="14"/>
  <c r="DC64" i="14"/>
  <c r="DC63" i="14"/>
  <c r="DD62" i="14"/>
  <c r="DH61" i="14"/>
  <c r="DI61" i="14" s="1"/>
  <c r="DA70" i="14"/>
  <c r="DA65" i="14"/>
  <c r="DB64" i="14"/>
  <c r="DB63" i="14"/>
  <c r="DC62" i="14"/>
  <c r="DD61" i="14"/>
  <c r="DA63" i="14"/>
  <c r="DC61" i="14"/>
  <c r="DB62" i="14"/>
  <c r="DA64" i="14"/>
  <c r="DD154" i="22"/>
  <c r="DC153" i="22"/>
  <c r="DC152" i="22"/>
  <c r="DC151" i="22"/>
  <c r="DC150" i="22"/>
  <c r="DD149" i="22"/>
  <c r="DH148" i="22"/>
  <c r="DI148" i="22" s="1"/>
  <c r="DH147" i="22"/>
  <c r="DI147" i="22" s="1"/>
  <c r="DK146" i="22"/>
  <c r="DL146" i="22" s="1"/>
  <c r="DC154" i="22"/>
  <c r="DB153" i="22"/>
  <c r="DE153" i="22" s="1"/>
  <c r="DB152" i="22"/>
  <c r="DE152" i="22" s="1"/>
  <c r="DB151" i="22"/>
  <c r="DB150" i="22"/>
  <c r="DC149" i="22"/>
  <c r="DD148" i="22"/>
  <c r="DD147" i="22"/>
  <c r="DH146" i="22"/>
  <c r="DI146" i="22" s="1"/>
  <c r="DK145" i="22"/>
  <c r="DL145" i="22" s="1"/>
  <c r="DB154" i="22"/>
  <c r="DE154" i="22" s="1"/>
  <c r="DA153" i="22"/>
  <c r="DA152" i="22"/>
  <c r="DA151" i="22"/>
  <c r="DA150" i="22"/>
  <c r="DB149" i="22"/>
  <c r="DC148" i="22"/>
  <c r="DC147" i="22"/>
  <c r="DD146" i="22"/>
  <c r="DH145" i="22"/>
  <c r="DI145" i="22" s="1"/>
  <c r="DA154" i="22"/>
  <c r="DA149" i="22"/>
  <c r="DB148" i="22"/>
  <c r="DB147" i="22"/>
  <c r="DC146" i="22"/>
  <c r="DD145" i="22"/>
  <c r="DA148" i="22"/>
  <c r="DA147" i="22"/>
  <c r="DB146" i="22"/>
  <c r="DC145" i="22"/>
  <c r="DK153" i="22"/>
  <c r="DL153" i="22" s="1"/>
  <c r="DK152" i="22"/>
  <c r="DL152" i="22" s="1"/>
  <c r="DK151" i="22"/>
  <c r="DL151" i="22" s="1"/>
  <c r="DK150" i="22"/>
  <c r="DL150" i="22" s="1"/>
  <c r="DA146" i="22"/>
  <c r="DB145" i="22"/>
  <c r="DD153" i="22"/>
  <c r="DD151" i="22"/>
  <c r="DK149" i="22"/>
  <c r="DL149" i="22" s="1"/>
  <c r="DK147" i="22"/>
  <c r="DL147" i="22" s="1"/>
  <c r="DH149" i="22"/>
  <c r="DI149" i="22" s="1"/>
  <c r="DH152" i="22"/>
  <c r="DI152" i="22" s="1"/>
  <c r="DH150" i="22"/>
  <c r="DI150" i="22" s="1"/>
  <c r="DK154" i="22"/>
  <c r="DL154" i="22" s="1"/>
  <c r="DD152" i="22"/>
  <c r="DD150" i="22"/>
  <c r="DH154" i="22"/>
  <c r="DI154" i="22" s="1"/>
  <c r="DK148" i="22"/>
  <c r="DL148" i="22" s="1"/>
  <c r="DH153" i="22"/>
  <c r="DI153" i="22" s="1"/>
  <c r="DH151" i="22"/>
  <c r="DI151" i="22" s="1"/>
  <c r="DA145" i="22"/>
  <c r="DA148" i="25"/>
  <c r="DA147" i="25"/>
  <c r="DB146" i="25"/>
  <c r="DC145" i="25"/>
  <c r="DK153" i="25"/>
  <c r="DL153" i="25" s="1"/>
  <c r="DK152" i="25"/>
  <c r="DL152" i="25" s="1"/>
  <c r="DK151" i="25"/>
  <c r="DL151" i="25" s="1"/>
  <c r="DK150" i="25"/>
  <c r="DL150" i="25" s="1"/>
  <c r="DA146" i="25"/>
  <c r="DB145" i="25"/>
  <c r="DK154" i="25"/>
  <c r="DL154" i="25" s="1"/>
  <c r="DH153" i="25"/>
  <c r="DI153" i="25" s="1"/>
  <c r="DH152" i="25"/>
  <c r="DI152" i="25" s="1"/>
  <c r="DH151" i="25"/>
  <c r="DI151" i="25" s="1"/>
  <c r="DH150" i="25"/>
  <c r="DI150" i="25" s="1"/>
  <c r="DK149" i="25"/>
  <c r="DL149" i="25" s="1"/>
  <c r="DA145" i="25"/>
  <c r="DH154" i="25"/>
  <c r="DI154" i="25" s="1"/>
  <c r="DD153" i="25"/>
  <c r="DD152" i="25"/>
  <c r="DD151" i="25"/>
  <c r="DD150" i="25"/>
  <c r="DH149" i="25"/>
  <c r="DI149" i="25" s="1"/>
  <c r="DK148" i="25"/>
  <c r="DL148" i="25" s="1"/>
  <c r="DK147" i="25"/>
  <c r="DL147" i="25" s="1"/>
  <c r="DD154" i="25"/>
  <c r="DC153" i="25"/>
  <c r="DC152" i="25"/>
  <c r="DC151" i="25"/>
  <c r="DC150" i="25"/>
  <c r="DD149" i="25"/>
  <c r="DH148" i="25"/>
  <c r="DI148" i="25" s="1"/>
  <c r="DH147" i="25"/>
  <c r="DI147" i="25" s="1"/>
  <c r="DK146" i="25"/>
  <c r="DL146" i="25" s="1"/>
  <c r="DC154" i="25"/>
  <c r="DB153" i="25"/>
  <c r="DE153" i="25" s="1"/>
  <c r="DB152" i="25"/>
  <c r="DE152" i="25" s="1"/>
  <c r="DB151" i="25"/>
  <c r="DB150" i="25"/>
  <c r="DC149" i="25"/>
  <c r="DD148" i="25"/>
  <c r="DD147" i="25"/>
  <c r="DH146" i="25"/>
  <c r="DI146" i="25" s="1"/>
  <c r="DK145" i="25"/>
  <c r="DL145" i="25" s="1"/>
  <c r="DA154" i="25"/>
  <c r="DA151" i="25"/>
  <c r="DA149" i="25"/>
  <c r="DC147" i="25"/>
  <c r="DB147" i="25"/>
  <c r="DA153" i="25"/>
  <c r="DH145" i="25"/>
  <c r="DI145" i="25" s="1"/>
  <c r="DA150" i="25"/>
  <c r="DD145" i="25"/>
  <c r="DC148" i="25"/>
  <c r="DA152" i="25"/>
  <c r="DB148" i="25"/>
  <c r="DD146" i="25"/>
  <c r="DC146" i="25"/>
  <c r="DB149" i="25"/>
  <c r="DB154" i="25"/>
  <c r="DE154" i="25" s="1"/>
  <c r="DA28" i="27"/>
  <c r="DA23" i="27"/>
  <c r="DB22" i="27"/>
  <c r="DB21" i="27"/>
  <c r="DC20" i="27"/>
  <c r="DD19" i="27"/>
  <c r="DA22" i="27"/>
  <c r="DA21" i="27"/>
  <c r="DB20" i="27"/>
  <c r="DC19" i="27"/>
  <c r="DK27" i="27"/>
  <c r="DL27" i="27" s="1"/>
  <c r="DK26" i="27"/>
  <c r="DL26" i="27" s="1"/>
  <c r="DK25" i="27"/>
  <c r="DL25" i="27" s="1"/>
  <c r="DK24" i="27"/>
  <c r="DL24" i="27" s="1"/>
  <c r="DA20" i="27"/>
  <c r="DB19" i="27"/>
  <c r="DK28" i="27"/>
  <c r="DL28" i="27" s="1"/>
  <c r="DH27" i="27"/>
  <c r="DI27" i="27" s="1"/>
  <c r="DH26" i="27"/>
  <c r="DI26" i="27" s="1"/>
  <c r="DH25" i="27"/>
  <c r="DI25" i="27" s="1"/>
  <c r="DH24" i="27"/>
  <c r="DI24" i="27" s="1"/>
  <c r="DK23" i="27"/>
  <c r="DL23" i="27" s="1"/>
  <c r="DA19" i="27"/>
  <c r="DH28" i="27"/>
  <c r="DI28" i="27" s="1"/>
  <c r="DD27" i="27"/>
  <c r="DD26" i="27"/>
  <c r="DD25" i="27"/>
  <c r="DD24" i="27"/>
  <c r="DH23" i="27"/>
  <c r="DI23" i="27" s="1"/>
  <c r="DK22" i="27"/>
  <c r="DL22" i="27" s="1"/>
  <c r="DK21" i="27"/>
  <c r="DL21" i="27" s="1"/>
  <c r="DD28" i="27"/>
  <c r="DC27" i="27"/>
  <c r="DC26" i="27"/>
  <c r="DC25" i="27"/>
  <c r="DC24" i="27"/>
  <c r="DD23" i="27"/>
  <c r="DH22" i="27"/>
  <c r="DI22" i="27" s="1"/>
  <c r="DH21" i="27"/>
  <c r="DI21" i="27" s="1"/>
  <c r="DK20" i="27"/>
  <c r="DL20" i="27" s="1"/>
  <c r="DC28" i="27"/>
  <c r="DB27" i="27"/>
  <c r="DE27" i="27" s="1"/>
  <c r="DB26" i="27"/>
  <c r="DE26" i="27" s="1"/>
  <c r="DB25" i="27"/>
  <c r="DB24" i="27"/>
  <c r="DC23" i="27"/>
  <c r="DD22" i="27"/>
  <c r="DD21" i="27"/>
  <c r="DH20" i="27"/>
  <c r="DI20" i="27" s="1"/>
  <c r="DK19" i="27"/>
  <c r="DL19" i="27" s="1"/>
  <c r="DB28" i="27"/>
  <c r="DE28" i="27" s="1"/>
  <c r="DA27" i="27"/>
  <c r="DD20" i="27"/>
  <c r="DA24" i="27"/>
  <c r="DC22" i="27"/>
  <c r="DA25" i="27"/>
  <c r="DA26" i="27"/>
  <c r="DC21" i="27"/>
  <c r="DH19" i="27"/>
  <c r="DI19" i="27" s="1"/>
  <c r="DB23" i="27"/>
  <c r="DD28" i="24"/>
  <c r="DC27" i="24"/>
  <c r="DC26" i="24"/>
  <c r="DC25" i="24"/>
  <c r="DC24" i="24"/>
  <c r="DD23" i="24"/>
  <c r="DH22" i="24"/>
  <c r="DI22" i="24" s="1"/>
  <c r="DH21" i="24"/>
  <c r="DI21" i="24" s="1"/>
  <c r="DK20" i="24"/>
  <c r="DL20" i="24" s="1"/>
  <c r="DC28" i="24"/>
  <c r="DB27" i="24"/>
  <c r="DE27" i="24" s="1"/>
  <c r="DB26" i="24"/>
  <c r="DE26" i="24" s="1"/>
  <c r="DB25" i="24"/>
  <c r="DB24" i="24"/>
  <c r="DC23" i="24"/>
  <c r="DD22" i="24"/>
  <c r="DD21" i="24"/>
  <c r="DH20" i="24"/>
  <c r="DI20" i="24" s="1"/>
  <c r="DK19" i="24"/>
  <c r="DL19" i="24" s="1"/>
  <c r="DB28" i="24"/>
  <c r="DE28" i="24" s="1"/>
  <c r="DA27" i="24"/>
  <c r="DA26" i="24"/>
  <c r="DA25" i="24"/>
  <c r="DA24" i="24"/>
  <c r="DB23" i="24"/>
  <c r="DC22" i="24"/>
  <c r="DC21" i="24"/>
  <c r="DD20" i="24"/>
  <c r="DH19" i="24"/>
  <c r="DI19" i="24" s="1"/>
  <c r="DA28" i="24"/>
  <c r="DA23" i="24"/>
  <c r="DB22" i="24"/>
  <c r="DB21" i="24"/>
  <c r="DC20" i="24"/>
  <c r="DD19" i="24"/>
  <c r="DA22" i="24"/>
  <c r="DA21" i="24"/>
  <c r="DB20" i="24"/>
  <c r="DC19" i="24"/>
  <c r="DK27" i="24"/>
  <c r="DL27" i="24" s="1"/>
  <c r="DK26" i="24"/>
  <c r="DL26" i="24" s="1"/>
  <c r="DK25" i="24"/>
  <c r="DL25" i="24" s="1"/>
  <c r="DK24" i="24"/>
  <c r="DL24" i="24" s="1"/>
  <c r="DA20" i="24"/>
  <c r="DB19" i="24"/>
  <c r="DK28" i="24"/>
  <c r="DL28" i="24" s="1"/>
  <c r="DD26" i="24"/>
  <c r="DD24" i="24"/>
  <c r="DH28" i="24"/>
  <c r="DI28" i="24" s="1"/>
  <c r="DK22" i="24"/>
  <c r="DL22" i="24" s="1"/>
  <c r="DH27" i="24"/>
  <c r="DI27" i="24" s="1"/>
  <c r="DH25" i="24"/>
  <c r="DI25" i="24" s="1"/>
  <c r="DA19" i="24"/>
  <c r="DD27" i="24"/>
  <c r="DD25" i="24"/>
  <c r="DK23" i="24"/>
  <c r="DL23" i="24" s="1"/>
  <c r="DK21" i="24"/>
  <c r="DL21" i="24" s="1"/>
  <c r="DH23" i="24"/>
  <c r="DI23" i="24" s="1"/>
  <c r="DH26" i="24"/>
  <c r="DI26" i="24" s="1"/>
  <c r="DH24" i="24"/>
  <c r="DI24" i="24" s="1"/>
  <c r="DH28" i="28"/>
  <c r="DI28" i="28" s="1"/>
  <c r="DD27" i="28"/>
  <c r="DD26" i="28"/>
  <c r="DD25" i="28"/>
  <c r="DD24" i="28"/>
  <c r="DH23" i="28"/>
  <c r="DI23" i="28" s="1"/>
  <c r="DK22" i="28"/>
  <c r="DL22" i="28" s="1"/>
  <c r="DK21" i="28"/>
  <c r="DL21" i="28" s="1"/>
  <c r="DD28" i="28"/>
  <c r="DC27" i="28"/>
  <c r="DC26" i="28"/>
  <c r="DC25" i="28"/>
  <c r="DC24" i="28"/>
  <c r="DD23" i="28"/>
  <c r="DH22" i="28"/>
  <c r="DI22" i="28" s="1"/>
  <c r="DH21" i="28"/>
  <c r="DI21" i="28" s="1"/>
  <c r="DK20" i="28"/>
  <c r="DL20" i="28" s="1"/>
  <c r="DC28" i="28"/>
  <c r="DB27" i="28"/>
  <c r="DE27" i="28" s="1"/>
  <c r="DB26" i="28"/>
  <c r="DE26" i="28" s="1"/>
  <c r="DB25" i="28"/>
  <c r="DB24" i="28"/>
  <c r="DC23" i="28"/>
  <c r="DD22" i="28"/>
  <c r="DD21" i="28"/>
  <c r="DH20" i="28"/>
  <c r="DI20" i="28" s="1"/>
  <c r="DK19" i="28"/>
  <c r="DL19" i="28" s="1"/>
  <c r="DB28" i="28"/>
  <c r="DE28" i="28" s="1"/>
  <c r="DA27" i="28"/>
  <c r="DA26" i="28"/>
  <c r="DA25" i="28"/>
  <c r="DA24" i="28"/>
  <c r="DB23" i="28"/>
  <c r="DC22" i="28"/>
  <c r="DC21" i="28"/>
  <c r="DD20" i="28"/>
  <c r="DH19" i="28"/>
  <c r="DI19" i="28" s="1"/>
  <c r="DA28" i="28"/>
  <c r="DA23" i="28"/>
  <c r="DB22" i="28"/>
  <c r="DB21" i="28"/>
  <c r="DC20" i="28"/>
  <c r="DD19" i="28"/>
  <c r="DA22" i="28"/>
  <c r="DA21" i="28"/>
  <c r="DB20" i="28"/>
  <c r="DC19" i="28"/>
  <c r="DK27" i="28"/>
  <c r="DL27" i="28" s="1"/>
  <c r="DK26" i="28"/>
  <c r="DL26" i="28" s="1"/>
  <c r="DK25" i="28"/>
  <c r="DL25" i="28" s="1"/>
  <c r="DK24" i="28"/>
  <c r="DL24" i="28" s="1"/>
  <c r="DA20" i="28"/>
  <c r="DB19" i="28"/>
  <c r="DH26" i="28"/>
  <c r="DI26" i="28" s="1"/>
  <c r="DK23" i="28"/>
  <c r="DL23" i="28" s="1"/>
  <c r="DK28" i="28"/>
  <c r="DL28" i="28" s="1"/>
  <c r="DH25" i="28"/>
  <c r="DI25" i="28" s="1"/>
  <c r="DH27" i="28"/>
  <c r="DI27" i="28" s="1"/>
  <c r="DH24" i="28"/>
  <c r="DI24" i="28" s="1"/>
  <c r="DA19" i="28"/>
  <c r="DD36" i="24"/>
  <c r="D30" i="34"/>
  <c r="I30" i="34" s="1"/>
  <c r="DD36" i="26"/>
  <c r="D30" i="36"/>
  <c r="I30" i="36" s="1"/>
  <c r="DC28" i="7"/>
  <c r="DB27" i="7"/>
  <c r="DE27" i="7" s="1"/>
  <c r="DB26" i="7"/>
  <c r="DE26" i="7" s="1"/>
  <c r="DB25" i="7"/>
  <c r="DB24" i="7"/>
  <c r="DC23" i="7"/>
  <c r="DD22" i="7"/>
  <c r="DD21" i="7"/>
  <c r="DH20" i="7"/>
  <c r="DI20" i="7" s="1"/>
  <c r="DK19" i="7"/>
  <c r="DL19" i="7" s="1"/>
  <c r="DB28" i="7"/>
  <c r="DE28" i="7" s="1"/>
  <c r="DA27" i="7"/>
  <c r="DA26" i="7"/>
  <c r="DA25" i="7"/>
  <c r="DA24" i="7"/>
  <c r="DB23" i="7"/>
  <c r="DC22" i="7"/>
  <c r="DC21" i="7"/>
  <c r="DD20" i="7"/>
  <c r="DH19" i="7"/>
  <c r="DI19" i="7" s="1"/>
  <c r="DA28" i="7"/>
  <c r="DA23" i="7"/>
  <c r="DB22" i="7"/>
  <c r="DB21" i="7"/>
  <c r="DC20" i="7"/>
  <c r="DD19" i="7"/>
  <c r="DA22" i="7"/>
  <c r="DA21" i="7"/>
  <c r="DB20" i="7"/>
  <c r="DC19" i="7"/>
  <c r="DK27" i="7"/>
  <c r="DL27" i="7" s="1"/>
  <c r="DK26" i="7"/>
  <c r="DL26" i="7" s="1"/>
  <c r="DK25" i="7"/>
  <c r="DL25" i="7" s="1"/>
  <c r="DK24" i="7"/>
  <c r="DL24" i="7" s="1"/>
  <c r="DA20" i="7"/>
  <c r="DB19" i="7"/>
  <c r="DK28" i="7"/>
  <c r="DL28" i="7" s="1"/>
  <c r="DH27" i="7"/>
  <c r="DI27" i="7" s="1"/>
  <c r="DH26" i="7"/>
  <c r="DI26" i="7" s="1"/>
  <c r="DH25" i="7"/>
  <c r="DI25" i="7" s="1"/>
  <c r="DH24" i="7"/>
  <c r="DI24" i="7" s="1"/>
  <c r="DK23" i="7"/>
  <c r="DL23" i="7" s="1"/>
  <c r="DA19" i="7"/>
  <c r="DH28" i="7"/>
  <c r="DI28" i="7" s="1"/>
  <c r="DD27" i="7"/>
  <c r="DD26" i="7"/>
  <c r="DD25" i="7"/>
  <c r="DD24" i="7"/>
  <c r="DH23" i="7"/>
  <c r="DI23" i="7" s="1"/>
  <c r="DK22" i="7"/>
  <c r="DL22" i="7" s="1"/>
  <c r="DK21" i="7"/>
  <c r="DL21" i="7" s="1"/>
  <c r="DC26" i="7"/>
  <c r="DH21" i="7"/>
  <c r="DI21" i="7" s="1"/>
  <c r="DD23" i="7"/>
  <c r="DD28" i="7"/>
  <c r="DC25" i="7"/>
  <c r="DC27" i="7"/>
  <c r="DK20" i="7"/>
  <c r="DL20" i="7" s="1"/>
  <c r="DC24" i="7"/>
  <c r="DH22" i="7"/>
  <c r="DI22" i="7" s="1"/>
  <c r="AI60" i="7"/>
  <c r="AI61" i="7" s="1"/>
  <c r="DD57" i="22"/>
  <c r="D53" i="32"/>
  <c r="U66" i="32" s="1"/>
  <c r="U67" i="32" s="1"/>
  <c r="T68" i="32" s="1"/>
  <c r="H53" i="32" s="1"/>
  <c r="AI81" i="28"/>
  <c r="C85" i="38"/>
  <c r="DD120" i="26"/>
  <c r="D122" i="36"/>
  <c r="U135" i="36" s="1"/>
  <c r="U136" i="36" s="1"/>
  <c r="T137" i="36" s="1"/>
  <c r="AI81" i="21"/>
  <c r="C85" i="31"/>
  <c r="AI144" i="14"/>
  <c r="C154" i="13"/>
  <c r="DD141" i="7"/>
  <c r="AI144" i="27"/>
  <c r="C154" i="37"/>
  <c r="DD78" i="25"/>
  <c r="D76" i="35"/>
  <c r="U89" i="35" s="1"/>
  <c r="U90" i="35" s="1"/>
  <c r="T91" i="35" s="1"/>
  <c r="AI144" i="25"/>
  <c r="C154" i="35"/>
  <c r="AI60" i="26"/>
  <c r="C62" i="36"/>
  <c r="DD78" i="24"/>
  <c r="D76" i="34"/>
  <c r="I76" i="34" s="1"/>
  <c r="DD99" i="26"/>
  <c r="D99" i="36"/>
  <c r="D101" i="36" s="1"/>
  <c r="DD57" i="21"/>
  <c r="D53" i="31"/>
  <c r="I53" i="31" s="1"/>
  <c r="AI102" i="27"/>
  <c r="C108" i="37"/>
  <c r="AI123" i="22"/>
  <c r="C131" i="32"/>
  <c r="AV18" i="14"/>
  <c r="AF128" i="6" s="1"/>
  <c r="C17" i="13"/>
  <c r="BJ39" i="14"/>
  <c r="C31" i="13"/>
  <c r="AI18" i="21"/>
  <c r="C16" i="31"/>
  <c r="AI39" i="24"/>
  <c r="C39" i="34"/>
  <c r="DH49" i="28"/>
  <c r="DI49" i="28" s="1"/>
  <c r="DD48" i="28"/>
  <c r="DD47" i="28"/>
  <c r="DD46" i="28"/>
  <c r="DD45" i="28"/>
  <c r="DH44" i="28"/>
  <c r="DI44" i="28" s="1"/>
  <c r="DK43" i="28"/>
  <c r="DL43" i="28" s="1"/>
  <c r="DK42" i="28"/>
  <c r="DL42" i="28" s="1"/>
  <c r="DD49" i="28"/>
  <c r="DC48" i="28"/>
  <c r="DC47" i="28"/>
  <c r="DC46" i="28"/>
  <c r="DC45" i="28"/>
  <c r="DD44" i="28"/>
  <c r="DH43" i="28"/>
  <c r="DI43" i="28" s="1"/>
  <c r="DH42" i="28"/>
  <c r="DI42" i="28" s="1"/>
  <c r="DK41" i="28"/>
  <c r="DL41" i="28" s="1"/>
  <c r="DC49" i="28"/>
  <c r="DB48" i="28"/>
  <c r="DE48" i="28" s="1"/>
  <c r="DB47" i="28"/>
  <c r="DE47" i="28" s="1"/>
  <c r="DB46" i="28"/>
  <c r="DB45" i="28"/>
  <c r="DC44" i="28"/>
  <c r="DD43" i="28"/>
  <c r="DD42" i="28"/>
  <c r="DH41" i="28"/>
  <c r="DI41" i="28" s="1"/>
  <c r="DK40" i="28"/>
  <c r="DL40" i="28" s="1"/>
  <c r="DB49" i="28"/>
  <c r="DE49" i="28" s="1"/>
  <c r="DA48" i="28"/>
  <c r="DA47" i="28"/>
  <c r="DA46" i="28"/>
  <c r="DA45" i="28"/>
  <c r="DB44" i="28"/>
  <c r="DC43" i="28"/>
  <c r="DC42" i="28"/>
  <c r="DD41" i="28"/>
  <c r="DH40" i="28"/>
  <c r="DI40" i="28" s="1"/>
  <c r="DA49" i="28"/>
  <c r="DA44" i="28"/>
  <c r="DB43" i="28"/>
  <c r="DB42" i="28"/>
  <c r="DC41" i="28"/>
  <c r="DD40" i="28"/>
  <c r="DA43" i="28"/>
  <c r="DA42" i="28"/>
  <c r="DB41" i="28"/>
  <c r="DC40" i="28"/>
  <c r="DK48" i="28"/>
  <c r="DL48" i="28" s="1"/>
  <c r="DK47" i="28"/>
  <c r="DL47" i="28" s="1"/>
  <c r="DK46" i="28"/>
  <c r="DL46" i="28" s="1"/>
  <c r="DK45" i="28"/>
  <c r="DL45" i="28" s="1"/>
  <c r="DA41" i="28"/>
  <c r="DB40" i="28"/>
  <c r="DK49" i="28"/>
  <c r="DL49" i="28" s="1"/>
  <c r="DH46" i="28"/>
  <c r="DI46" i="28" s="1"/>
  <c r="DH48" i="28"/>
  <c r="DI48" i="28" s="1"/>
  <c r="DK44" i="28"/>
  <c r="DL44" i="28" s="1"/>
  <c r="DH45" i="28"/>
  <c r="DI45" i="28" s="1"/>
  <c r="DA40" i="28"/>
  <c r="DH47" i="28"/>
  <c r="DI47" i="28" s="1"/>
  <c r="DD49" i="24"/>
  <c r="DC48" i="24"/>
  <c r="DC47" i="24"/>
  <c r="DC46" i="24"/>
  <c r="DC45" i="24"/>
  <c r="DD44" i="24"/>
  <c r="DH43" i="24"/>
  <c r="DI43" i="24" s="1"/>
  <c r="DH42" i="24"/>
  <c r="DI42" i="24" s="1"/>
  <c r="DK41" i="24"/>
  <c r="DL41" i="24" s="1"/>
  <c r="DC49" i="24"/>
  <c r="DB48" i="24"/>
  <c r="DE48" i="24" s="1"/>
  <c r="DB47" i="24"/>
  <c r="DE47" i="24" s="1"/>
  <c r="DB46" i="24"/>
  <c r="DB45" i="24"/>
  <c r="DC44" i="24"/>
  <c r="DD43" i="24"/>
  <c r="DD42" i="24"/>
  <c r="DH41" i="24"/>
  <c r="DI41" i="24" s="1"/>
  <c r="DK40" i="24"/>
  <c r="DL40" i="24" s="1"/>
  <c r="DB49" i="24"/>
  <c r="DE49" i="24" s="1"/>
  <c r="DA48" i="24"/>
  <c r="DA47" i="24"/>
  <c r="DA46" i="24"/>
  <c r="DA45" i="24"/>
  <c r="DB44" i="24"/>
  <c r="DC43" i="24"/>
  <c r="DC42" i="24"/>
  <c r="DD41" i="24"/>
  <c r="DH40" i="24"/>
  <c r="DI40" i="24" s="1"/>
  <c r="DA49" i="24"/>
  <c r="DA44" i="24"/>
  <c r="DB43" i="24"/>
  <c r="DB42" i="24"/>
  <c r="DC41" i="24"/>
  <c r="DD40" i="24"/>
  <c r="DA43" i="24"/>
  <c r="DA42" i="24"/>
  <c r="DB41" i="24"/>
  <c r="DC40" i="24"/>
  <c r="DK48" i="24"/>
  <c r="DL48" i="24" s="1"/>
  <c r="DK47" i="24"/>
  <c r="DL47" i="24" s="1"/>
  <c r="DK46" i="24"/>
  <c r="DL46" i="24" s="1"/>
  <c r="DK45" i="24"/>
  <c r="DL45" i="24" s="1"/>
  <c r="DA41" i="24"/>
  <c r="DB40" i="24"/>
  <c r="DH48" i="24"/>
  <c r="DI48" i="24" s="1"/>
  <c r="DH46" i="24"/>
  <c r="DI46" i="24" s="1"/>
  <c r="DA40" i="24"/>
  <c r="DD48" i="24"/>
  <c r="DD46" i="24"/>
  <c r="DK44" i="24"/>
  <c r="DL44" i="24" s="1"/>
  <c r="DK42" i="24"/>
  <c r="DL42" i="24" s="1"/>
  <c r="DH44" i="24"/>
  <c r="DI44" i="24" s="1"/>
  <c r="DH47" i="24"/>
  <c r="DI47" i="24" s="1"/>
  <c r="DH45" i="24"/>
  <c r="DI45" i="24" s="1"/>
  <c r="DK49" i="24"/>
  <c r="DL49" i="24" s="1"/>
  <c r="DD47" i="24"/>
  <c r="DD45" i="24"/>
  <c r="DH49" i="24"/>
  <c r="DI49" i="24" s="1"/>
  <c r="DK43" i="24"/>
  <c r="DL43" i="24" s="1"/>
  <c r="DB28" i="26"/>
  <c r="DE28" i="26" s="1"/>
  <c r="DA27" i="26"/>
  <c r="DA26" i="26"/>
  <c r="DA25" i="26"/>
  <c r="DA24" i="26"/>
  <c r="DB23" i="26"/>
  <c r="DC22" i="26"/>
  <c r="DC21" i="26"/>
  <c r="DD20" i="26"/>
  <c r="DH19" i="26"/>
  <c r="DI19" i="26" s="1"/>
  <c r="DA28" i="26"/>
  <c r="DA23" i="26"/>
  <c r="DB22" i="26"/>
  <c r="DB21" i="26"/>
  <c r="DC20" i="26"/>
  <c r="DD19" i="26"/>
  <c r="DA22" i="26"/>
  <c r="DA21" i="26"/>
  <c r="DB20" i="26"/>
  <c r="DC19" i="26"/>
  <c r="DK27" i="26"/>
  <c r="DL27" i="26" s="1"/>
  <c r="DK26" i="26"/>
  <c r="DL26" i="26" s="1"/>
  <c r="DK25" i="26"/>
  <c r="DL25" i="26" s="1"/>
  <c r="DK24" i="26"/>
  <c r="DL24" i="26" s="1"/>
  <c r="DK28" i="26"/>
  <c r="DL28" i="26" s="1"/>
  <c r="DH27" i="26"/>
  <c r="DI27" i="26" s="1"/>
  <c r="DH26" i="26"/>
  <c r="DI26" i="26" s="1"/>
  <c r="DH25" i="26"/>
  <c r="DI25" i="26" s="1"/>
  <c r="DH24" i="26"/>
  <c r="DI24" i="26" s="1"/>
  <c r="DK23" i="26"/>
  <c r="DL23" i="26" s="1"/>
  <c r="DA19" i="26"/>
  <c r="DH28" i="26"/>
  <c r="DI28" i="26" s="1"/>
  <c r="DD27" i="26"/>
  <c r="DD26" i="26"/>
  <c r="DD25" i="26"/>
  <c r="DD24" i="26"/>
  <c r="DH23" i="26"/>
  <c r="DI23" i="26" s="1"/>
  <c r="DK22" i="26"/>
  <c r="DL22" i="26" s="1"/>
  <c r="DK21" i="26"/>
  <c r="DL21" i="26" s="1"/>
  <c r="DD28" i="26"/>
  <c r="DC27" i="26"/>
  <c r="DC26" i="26"/>
  <c r="DC25" i="26"/>
  <c r="DC24" i="26"/>
  <c r="DD23" i="26"/>
  <c r="DH22" i="26"/>
  <c r="DI22" i="26" s="1"/>
  <c r="DH21" i="26"/>
  <c r="DI21" i="26" s="1"/>
  <c r="DK20" i="26"/>
  <c r="DL20" i="26" s="1"/>
  <c r="DB27" i="26"/>
  <c r="DE27" i="26" s="1"/>
  <c r="DH20" i="26"/>
  <c r="DI20" i="26" s="1"/>
  <c r="DB24" i="26"/>
  <c r="DD22" i="26"/>
  <c r="DA20" i="26"/>
  <c r="DB26" i="26"/>
  <c r="DE26" i="26" s="1"/>
  <c r="DD21" i="26"/>
  <c r="DC23" i="26"/>
  <c r="DK19" i="26"/>
  <c r="DL19" i="26" s="1"/>
  <c r="DB19" i="26"/>
  <c r="DB25" i="26"/>
  <c r="DC28" i="26"/>
  <c r="DB28" i="22"/>
  <c r="DE28" i="22" s="1"/>
  <c r="DA27" i="22"/>
  <c r="DA26" i="22"/>
  <c r="DA25" i="22"/>
  <c r="DA24" i="22"/>
  <c r="DB23" i="22"/>
  <c r="DC22" i="22"/>
  <c r="DC21" i="22"/>
  <c r="DD20" i="22"/>
  <c r="DH19" i="22"/>
  <c r="DI19" i="22" s="1"/>
  <c r="DA28" i="22"/>
  <c r="DA23" i="22"/>
  <c r="DB22" i="22"/>
  <c r="DB21" i="22"/>
  <c r="DC20" i="22"/>
  <c r="DD19" i="22"/>
  <c r="DA22" i="22"/>
  <c r="DA21" i="22"/>
  <c r="DB20" i="22"/>
  <c r="DC19" i="22"/>
  <c r="DK27" i="22"/>
  <c r="DL27" i="22" s="1"/>
  <c r="DK26" i="22"/>
  <c r="DL26" i="22" s="1"/>
  <c r="DK25" i="22"/>
  <c r="DL25" i="22" s="1"/>
  <c r="DK24" i="22"/>
  <c r="DL24" i="22" s="1"/>
  <c r="DA20" i="22"/>
  <c r="DB19" i="22"/>
  <c r="DK28" i="22"/>
  <c r="DL28" i="22" s="1"/>
  <c r="DB27" i="22"/>
  <c r="DE27" i="22" s="1"/>
  <c r="DD24" i="22"/>
  <c r="DD23" i="22"/>
  <c r="DK20" i="22"/>
  <c r="DL20" i="22" s="1"/>
  <c r="DH28" i="22"/>
  <c r="DI28" i="22" s="1"/>
  <c r="DH25" i="22"/>
  <c r="DI25" i="22" s="1"/>
  <c r="DC24" i="22"/>
  <c r="DC23" i="22"/>
  <c r="DH20" i="22"/>
  <c r="DI20" i="22" s="1"/>
  <c r="DD28" i="22"/>
  <c r="DD25" i="22"/>
  <c r="DB24" i="22"/>
  <c r="DK21" i="22"/>
  <c r="DL21" i="22" s="1"/>
  <c r="DC28" i="22"/>
  <c r="DH26" i="22"/>
  <c r="DI26" i="22" s="1"/>
  <c r="DC25" i="22"/>
  <c r="DH21" i="22"/>
  <c r="DI21" i="22" s="1"/>
  <c r="DD26" i="22"/>
  <c r="DB25" i="22"/>
  <c r="DD21" i="22"/>
  <c r="DH27" i="22"/>
  <c r="DI27" i="22" s="1"/>
  <c r="DC26" i="22"/>
  <c r="DK22" i="22"/>
  <c r="DL22" i="22" s="1"/>
  <c r="DK19" i="22"/>
  <c r="DL19" i="22" s="1"/>
  <c r="DH22" i="22"/>
  <c r="DI22" i="22" s="1"/>
  <c r="DD22" i="22"/>
  <c r="DB26" i="22"/>
  <c r="DE26" i="22" s="1"/>
  <c r="DA19" i="22"/>
  <c r="DK23" i="22"/>
  <c r="DL23" i="22" s="1"/>
  <c r="DH23" i="22"/>
  <c r="DI23" i="22" s="1"/>
  <c r="DD27" i="22"/>
  <c r="DC27" i="22"/>
  <c r="DH24" i="22"/>
  <c r="DI24" i="22" s="1"/>
  <c r="DA49" i="27"/>
  <c r="DA44" i="27"/>
  <c r="DB43" i="27"/>
  <c r="DB42" i="27"/>
  <c r="DC41" i="27"/>
  <c r="DD40" i="27"/>
  <c r="DA43" i="27"/>
  <c r="DA42" i="27"/>
  <c r="DB41" i="27"/>
  <c r="DC40" i="27"/>
  <c r="DK48" i="27"/>
  <c r="DL48" i="27" s="1"/>
  <c r="DK47" i="27"/>
  <c r="DL47" i="27" s="1"/>
  <c r="DK46" i="27"/>
  <c r="DL46" i="27" s="1"/>
  <c r="DK45" i="27"/>
  <c r="DL45" i="27" s="1"/>
  <c r="DA41" i="27"/>
  <c r="DB40" i="27"/>
  <c r="DK49" i="27"/>
  <c r="DL49" i="27" s="1"/>
  <c r="DH48" i="27"/>
  <c r="DI48" i="27" s="1"/>
  <c r="DH47" i="27"/>
  <c r="DI47" i="27" s="1"/>
  <c r="DH46" i="27"/>
  <c r="DI46" i="27" s="1"/>
  <c r="DH45" i="27"/>
  <c r="DI45" i="27" s="1"/>
  <c r="DK44" i="27"/>
  <c r="DL44" i="27" s="1"/>
  <c r="DA40" i="27"/>
  <c r="DH49" i="27"/>
  <c r="DI49" i="27" s="1"/>
  <c r="DD48" i="27"/>
  <c r="DD47" i="27"/>
  <c r="DD46" i="27"/>
  <c r="DD45" i="27"/>
  <c r="DH44" i="27"/>
  <c r="DI44" i="27" s="1"/>
  <c r="DK43" i="27"/>
  <c r="DL43" i="27" s="1"/>
  <c r="DK42" i="27"/>
  <c r="DL42" i="27" s="1"/>
  <c r="DD49" i="27"/>
  <c r="DC48" i="27"/>
  <c r="DC47" i="27"/>
  <c r="DC46" i="27"/>
  <c r="DC45" i="27"/>
  <c r="DD44" i="27"/>
  <c r="DH43" i="27"/>
  <c r="DI43" i="27" s="1"/>
  <c r="DH42" i="27"/>
  <c r="DI42" i="27" s="1"/>
  <c r="DK41" i="27"/>
  <c r="DL41" i="27" s="1"/>
  <c r="DC49" i="27"/>
  <c r="DB48" i="27"/>
  <c r="DE48" i="27" s="1"/>
  <c r="DB47" i="27"/>
  <c r="DE47" i="27" s="1"/>
  <c r="DB46" i="27"/>
  <c r="DB45" i="27"/>
  <c r="DC44" i="27"/>
  <c r="DD43" i="27"/>
  <c r="DD42" i="27"/>
  <c r="DH41" i="27"/>
  <c r="DI41" i="27" s="1"/>
  <c r="DK40" i="27"/>
  <c r="DL40" i="27" s="1"/>
  <c r="DB44" i="27"/>
  <c r="DH40" i="27"/>
  <c r="DI40" i="27" s="1"/>
  <c r="DB49" i="27"/>
  <c r="DE49" i="27" s="1"/>
  <c r="DA46" i="27"/>
  <c r="DC42" i="27"/>
  <c r="DA48" i="27"/>
  <c r="DD41" i="27"/>
  <c r="DA45" i="27"/>
  <c r="DC43" i="27"/>
  <c r="DA47" i="27"/>
  <c r="DB49" i="26"/>
  <c r="DE49" i="26" s="1"/>
  <c r="DA48" i="26"/>
  <c r="DA47" i="26"/>
  <c r="DA46" i="26"/>
  <c r="DA45" i="26"/>
  <c r="DB44" i="26"/>
  <c r="DC43" i="26"/>
  <c r="DC42" i="26"/>
  <c r="DD41" i="26"/>
  <c r="DH40" i="26"/>
  <c r="DI40" i="26" s="1"/>
  <c r="DA49" i="26"/>
  <c r="DA44" i="26"/>
  <c r="DB43" i="26"/>
  <c r="DB42" i="26"/>
  <c r="DC41" i="26"/>
  <c r="DD40" i="26"/>
  <c r="DA43" i="26"/>
  <c r="DA42" i="26"/>
  <c r="DB41" i="26"/>
  <c r="DC40" i="26"/>
  <c r="DK48" i="26"/>
  <c r="DL48" i="26" s="1"/>
  <c r="DK47" i="26"/>
  <c r="DL47" i="26" s="1"/>
  <c r="DK46" i="26"/>
  <c r="DL46" i="26" s="1"/>
  <c r="DK45" i="26"/>
  <c r="DL45" i="26" s="1"/>
  <c r="DA41" i="26"/>
  <c r="DB40" i="26"/>
  <c r="DK49" i="26"/>
  <c r="DL49" i="26" s="1"/>
  <c r="DH48" i="26"/>
  <c r="DI48" i="26" s="1"/>
  <c r="DH47" i="26"/>
  <c r="DI47" i="26" s="1"/>
  <c r="DH46" i="26"/>
  <c r="DI46" i="26" s="1"/>
  <c r="DH45" i="26"/>
  <c r="DI45" i="26" s="1"/>
  <c r="DK44" i="26"/>
  <c r="DL44" i="26" s="1"/>
  <c r="DA40" i="26"/>
  <c r="DH49" i="26"/>
  <c r="DI49" i="26" s="1"/>
  <c r="DD48" i="26"/>
  <c r="DD47" i="26"/>
  <c r="DD46" i="26"/>
  <c r="DD45" i="26"/>
  <c r="DH44" i="26"/>
  <c r="DI44" i="26" s="1"/>
  <c r="DK43" i="26"/>
  <c r="DL43" i="26" s="1"/>
  <c r="DK42" i="26"/>
  <c r="DL42" i="26" s="1"/>
  <c r="DD49" i="26"/>
  <c r="DC48" i="26"/>
  <c r="DC47" i="26"/>
  <c r="DC46" i="26"/>
  <c r="DC45" i="26"/>
  <c r="DD44" i="26"/>
  <c r="DH43" i="26"/>
  <c r="DI43" i="26" s="1"/>
  <c r="DH42" i="26"/>
  <c r="DI42" i="26" s="1"/>
  <c r="DK41" i="26"/>
  <c r="DL41" i="26" s="1"/>
  <c r="DC44" i="26"/>
  <c r="DC49" i="26"/>
  <c r="DB46" i="26"/>
  <c r="DB48" i="26"/>
  <c r="DE48" i="26" s="1"/>
  <c r="DH41" i="26"/>
  <c r="DI41" i="26" s="1"/>
  <c r="DB45" i="26"/>
  <c r="DD43" i="26"/>
  <c r="DB47" i="26"/>
  <c r="DE47" i="26" s="1"/>
  <c r="DK40" i="26"/>
  <c r="DL40" i="26" s="1"/>
  <c r="DD42" i="26"/>
  <c r="DK48" i="20"/>
  <c r="DL48" i="20" s="1"/>
  <c r="DK47" i="20"/>
  <c r="DL47" i="20" s="1"/>
  <c r="DK46" i="20"/>
  <c r="DL46" i="20" s="1"/>
  <c r="DK45" i="20"/>
  <c r="DL45" i="20" s="1"/>
  <c r="DA41" i="20"/>
  <c r="DB40" i="20"/>
  <c r="DK49" i="20"/>
  <c r="DL49" i="20" s="1"/>
  <c r="DH48" i="20"/>
  <c r="DI48" i="20" s="1"/>
  <c r="DH47" i="20"/>
  <c r="DI47" i="20" s="1"/>
  <c r="DH46" i="20"/>
  <c r="DI46" i="20" s="1"/>
  <c r="DH45" i="20"/>
  <c r="DI45" i="20" s="1"/>
  <c r="DK44" i="20"/>
  <c r="DL44" i="20" s="1"/>
  <c r="DA40" i="20"/>
  <c r="DH49" i="20"/>
  <c r="DI49" i="20" s="1"/>
  <c r="DD48" i="20"/>
  <c r="DD47" i="20"/>
  <c r="DD46" i="20"/>
  <c r="DD45" i="20"/>
  <c r="DH44" i="20"/>
  <c r="DI44" i="20" s="1"/>
  <c r="DK43" i="20"/>
  <c r="DL43" i="20" s="1"/>
  <c r="DK42" i="20"/>
  <c r="DL42" i="20" s="1"/>
  <c r="DD49" i="20"/>
  <c r="DC48" i="20"/>
  <c r="DC47" i="20"/>
  <c r="DC46" i="20"/>
  <c r="DC45" i="20"/>
  <c r="DD44" i="20"/>
  <c r="DH43" i="20"/>
  <c r="DI43" i="20" s="1"/>
  <c r="DH42" i="20"/>
  <c r="DI42" i="20" s="1"/>
  <c r="DK41" i="20"/>
  <c r="DL41" i="20" s="1"/>
  <c r="DB49" i="20"/>
  <c r="DE49" i="20" s="1"/>
  <c r="DA48" i="20"/>
  <c r="DA47" i="20"/>
  <c r="DA46" i="20"/>
  <c r="DA45" i="20"/>
  <c r="DB44" i="20"/>
  <c r="DC43" i="20"/>
  <c r="DC42" i="20"/>
  <c r="DD41" i="20"/>
  <c r="DH40" i="20"/>
  <c r="DI40" i="20" s="1"/>
  <c r="DA49" i="20"/>
  <c r="DA44" i="20"/>
  <c r="DB43" i="20"/>
  <c r="DB42" i="20"/>
  <c r="DC41" i="20"/>
  <c r="DD40" i="20"/>
  <c r="DC49" i="20"/>
  <c r="DB46" i="20"/>
  <c r="DA42" i="20"/>
  <c r="DK40" i="20"/>
  <c r="DL40" i="20" s="1"/>
  <c r="DB48" i="20"/>
  <c r="DE48" i="20" s="1"/>
  <c r="DC40" i="20"/>
  <c r="DB45" i="20"/>
  <c r="DD43" i="20"/>
  <c r="DA43" i="20"/>
  <c r="DH41" i="20"/>
  <c r="DI41" i="20" s="1"/>
  <c r="DB47" i="20"/>
  <c r="DE47" i="20" s="1"/>
  <c r="DB41" i="20"/>
  <c r="DD42" i="20"/>
  <c r="DC44" i="20"/>
  <c r="DK27" i="20"/>
  <c r="DL27" i="20" s="1"/>
  <c r="DK26" i="20"/>
  <c r="DL26" i="20" s="1"/>
  <c r="DK25" i="20"/>
  <c r="DL25" i="20" s="1"/>
  <c r="DK24" i="20"/>
  <c r="DL24" i="20" s="1"/>
  <c r="DA20" i="20"/>
  <c r="DB19" i="20"/>
  <c r="DK28" i="20"/>
  <c r="DL28" i="20" s="1"/>
  <c r="DH27" i="20"/>
  <c r="DI27" i="20" s="1"/>
  <c r="DH26" i="20"/>
  <c r="DI26" i="20" s="1"/>
  <c r="DH25" i="20"/>
  <c r="DI25" i="20" s="1"/>
  <c r="DH24" i="20"/>
  <c r="DI24" i="20" s="1"/>
  <c r="DK23" i="20"/>
  <c r="DL23" i="20" s="1"/>
  <c r="DA19" i="20"/>
  <c r="DH28" i="20"/>
  <c r="DI28" i="20" s="1"/>
  <c r="DD27" i="20"/>
  <c r="DD26" i="20"/>
  <c r="DD25" i="20"/>
  <c r="DD24" i="20"/>
  <c r="DH23" i="20"/>
  <c r="DI23" i="20" s="1"/>
  <c r="DK22" i="20"/>
  <c r="DL22" i="20" s="1"/>
  <c r="DK21" i="20"/>
  <c r="DL21" i="20" s="1"/>
  <c r="DD28" i="20"/>
  <c r="DC27" i="20"/>
  <c r="DC26" i="20"/>
  <c r="DC25" i="20"/>
  <c r="DC24" i="20"/>
  <c r="DD23" i="20"/>
  <c r="DH22" i="20"/>
  <c r="DI22" i="20" s="1"/>
  <c r="DH21" i="20"/>
  <c r="DI21" i="20" s="1"/>
  <c r="DK20" i="20"/>
  <c r="DL20" i="20" s="1"/>
  <c r="DB28" i="20"/>
  <c r="DE28" i="20" s="1"/>
  <c r="DA27" i="20"/>
  <c r="DA26" i="20"/>
  <c r="DA25" i="20"/>
  <c r="DA24" i="20"/>
  <c r="DB23" i="20"/>
  <c r="DC22" i="20"/>
  <c r="DC21" i="20"/>
  <c r="DD20" i="20"/>
  <c r="DH19" i="20"/>
  <c r="DI19" i="20" s="1"/>
  <c r="DA28" i="20"/>
  <c r="DA23" i="20"/>
  <c r="DB22" i="20"/>
  <c r="DB21" i="20"/>
  <c r="DC20" i="20"/>
  <c r="DD19" i="20"/>
  <c r="DC23" i="20"/>
  <c r="DD21" i="20"/>
  <c r="DC28" i="20"/>
  <c r="DB25" i="20"/>
  <c r="DA21" i="20"/>
  <c r="DK19" i="20"/>
  <c r="DL19" i="20" s="1"/>
  <c r="DB27" i="20"/>
  <c r="DE27" i="20" s="1"/>
  <c r="DC19" i="20"/>
  <c r="DB24" i="20"/>
  <c r="DD22" i="20"/>
  <c r="DB26" i="20"/>
  <c r="DE26" i="20" s="1"/>
  <c r="DH20" i="20"/>
  <c r="DI20" i="20" s="1"/>
  <c r="DB20" i="20"/>
  <c r="DA22" i="20"/>
  <c r="DD15" i="26"/>
  <c r="D7" i="36"/>
  <c r="I7" i="36" s="1"/>
  <c r="DD36" i="22"/>
  <c r="D30" i="32"/>
  <c r="I30" i="32" s="1"/>
  <c r="DD15" i="28"/>
  <c r="D7" i="38"/>
  <c r="D9" i="38" s="1"/>
  <c r="AI81" i="26"/>
  <c r="C85" i="36"/>
  <c r="AI60" i="22"/>
  <c r="C62" i="32"/>
  <c r="AI102" i="21"/>
  <c r="C108" i="31"/>
  <c r="DD57" i="14"/>
  <c r="D53" i="13"/>
  <c r="DD141" i="14"/>
  <c r="D145" i="13"/>
  <c r="AI81" i="23"/>
  <c r="C85" i="33"/>
  <c r="DD120" i="21"/>
  <c r="D122" i="31"/>
  <c r="I122" i="31" s="1"/>
  <c r="AI144" i="7"/>
  <c r="DD78" i="14"/>
  <c r="D76" i="13"/>
  <c r="DD57" i="26"/>
  <c r="D53" i="36"/>
  <c r="I53" i="36" s="1"/>
  <c r="AI102" i="26"/>
  <c r="C108" i="36"/>
  <c r="AI60" i="21"/>
  <c r="C62" i="31"/>
  <c r="AI144" i="21"/>
  <c r="C154" i="31"/>
  <c r="DD120" i="22"/>
  <c r="D122" i="32"/>
  <c r="U135" i="32" s="1"/>
  <c r="U136" i="32" s="1"/>
  <c r="T137" i="32" s="1"/>
  <c r="H122" i="32" s="1"/>
  <c r="DC133" i="7"/>
  <c r="DB132" i="7"/>
  <c r="DE132" i="7" s="1"/>
  <c r="DB131" i="7"/>
  <c r="DE131" i="7" s="1"/>
  <c r="DB130" i="7"/>
  <c r="DB129" i="7"/>
  <c r="DC128" i="7"/>
  <c r="DD127" i="7"/>
  <c r="DD126" i="7"/>
  <c r="DH125" i="7"/>
  <c r="DI125" i="7" s="1"/>
  <c r="DK124" i="7"/>
  <c r="DL124" i="7" s="1"/>
  <c r="DB133" i="7"/>
  <c r="DE133" i="7" s="1"/>
  <c r="DA132" i="7"/>
  <c r="DA131" i="7"/>
  <c r="DA130" i="7"/>
  <c r="DA129" i="7"/>
  <c r="DB128" i="7"/>
  <c r="DC127" i="7"/>
  <c r="DC126" i="7"/>
  <c r="DD125" i="7"/>
  <c r="DH124" i="7"/>
  <c r="DI124" i="7" s="1"/>
  <c r="DA133" i="7"/>
  <c r="DA128" i="7"/>
  <c r="DB127" i="7"/>
  <c r="DB126" i="7"/>
  <c r="DC125" i="7"/>
  <c r="DD124" i="7"/>
  <c r="DA127" i="7"/>
  <c r="DA126" i="7"/>
  <c r="DB125" i="7"/>
  <c r="DC124" i="7"/>
  <c r="DK132" i="7"/>
  <c r="DL132" i="7" s="1"/>
  <c r="DK131" i="7"/>
  <c r="DL131" i="7" s="1"/>
  <c r="DK130" i="7"/>
  <c r="DL130" i="7" s="1"/>
  <c r="DK129" i="7"/>
  <c r="DL129" i="7" s="1"/>
  <c r="DA125" i="7"/>
  <c r="DB124" i="7"/>
  <c r="DK133" i="7"/>
  <c r="DL133" i="7" s="1"/>
  <c r="DH132" i="7"/>
  <c r="DI132" i="7" s="1"/>
  <c r="DH131" i="7"/>
  <c r="DI131" i="7" s="1"/>
  <c r="DH130" i="7"/>
  <c r="DI130" i="7" s="1"/>
  <c r="DH129" i="7"/>
  <c r="DI129" i="7" s="1"/>
  <c r="DK128" i="7"/>
  <c r="DL128" i="7" s="1"/>
  <c r="DA124" i="7"/>
  <c r="DH133" i="7"/>
  <c r="DI133" i="7" s="1"/>
  <c r="DD132" i="7"/>
  <c r="DD131" i="7"/>
  <c r="DD130" i="7"/>
  <c r="DD129" i="7"/>
  <c r="DH128" i="7"/>
  <c r="DI128" i="7" s="1"/>
  <c r="DK127" i="7"/>
  <c r="DL127" i="7" s="1"/>
  <c r="DK126" i="7"/>
  <c r="DL126" i="7" s="1"/>
  <c r="DH126" i="7"/>
  <c r="DI126" i="7" s="1"/>
  <c r="DD128" i="7"/>
  <c r="DD133" i="7"/>
  <c r="DC130" i="7"/>
  <c r="DC131" i="7"/>
  <c r="DC132" i="7"/>
  <c r="DK125" i="7"/>
  <c r="DL125" i="7" s="1"/>
  <c r="DC129" i="7"/>
  <c r="DH127" i="7"/>
  <c r="DI127" i="7" s="1"/>
  <c r="AV60" i="7"/>
  <c r="AI18" i="24"/>
  <c r="C16" i="34"/>
  <c r="AI18" i="28"/>
  <c r="C16" i="38"/>
  <c r="AI39" i="28"/>
  <c r="C39" i="38"/>
  <c r="AI39" i="25"/>
  <c r="C39" i="35"/>
  <c r="DD70" i="24"/>
  <c r="DC69" i="24"/>
  <c r="DC68" i="24"/>
  <c r="DC67" i="24"/>
  <c r="DC66" i="24"/>
  <c r="DD65" i="24"/>
  <c r="DH64" i="24"/>
  <c r="DI64" i="24" s="1"/>
  <c r="DH63" i="24"/>
  <c r="DI63" i="24" s="1"/>
  <c r="DK62" i="24"/>
  <c r="DL62" i="24" s="1"/>
  <c r="DC70" i="24"/>
  <c r="DB69" i="24"/>
  <c r="DE69" i="24" s="1"/>
  <c r="DB68" i="24"/>
  <c r="DE68" i="24" s="1"/>
  <c r="DB67" i="24"/>
  <c r="DB66" i="24"/>
  <c r="DC65" i="24"/>
  <c r="DD64" i="24"/>
  <c r="DD63" i="24"/>
  <c r="DH62" i="24"/>
  <c r="DI62" i="24" s="1"/>
  <c r="DK61" i="24"/>
  <c r="DL61" i="24" s="1"/>
  <c r="DB70" i="24"/>
  <c r="DE70" i="24" s="1"/>
  <c r="DA69" i="24"/>
  <c r="DA68" i="24"/>
  <c r="DA67" i="24"/>
  <c r="DA66" i="24"/>
  <c r="DB65" i="24"/>
  <c r="DC64" i="24"/>
  <c r="DC63" i="24"/>
  <c r="DD62" i="24"/>
  <c r="DH61" i="24"/>
  <c r="DI61" i="24" s="1"/>
  <c r="DA70" i="24"/>
  <c r="DA65" i="24"/>
  <c r="DB64" i="24"/>
  <c r="DB63" i="24"/>
  <c r="DC62" i="24"/>
  <c r="DD61" i="24"/>
  <c r="DA64" i="24"/>
  <c r="DA63" i="24"/>
  <c r="DB62" i="24"/>
  <c r="DC61" i="24"/>
  <c r="DK69" i="24"/>
  <c r="DL69" i="24" s="1"/>
  <c r="DK68" i="24"/>
  <c r="DL68" i="24" s="1"/>
  <c r="DK67" i="24"/>
  <c r="DL67" i="24" s="1"/>
  <c r="DK66" i="24"/>
  <c r="DL66" i="24" s="1"/>
  <c r="DA62" i="24"/>
  <c r="DB61" i="24"/>
  <c r="DH68" i="24"/>
  <c r="DI68" i="24" s="1"/>
  <c r="DH66" i="24"/>
  <c r="DI66" i="24" s="1"/>
  <c r="DK70" i="24"/>
  <c r="DL70" i="24" s="1"/>
  <c r="DD68" i="24"/>
  <c r="DD66" i="24"/>
  <c r="DH70" i="24"/>
  <c r="DI70" i="24" s="1"/>
  <c r="DK64" i="24"/>
  <c r="DL64" i="24" s="1"/>
  <c r="DH69" i="24"/>
  <c r="DI69" i="24" s="1"/>
  <c r="DH67" i="24"/>
  <c r="DI67" i="24" s="1"/>
  <c r="DA61" i="24"/>
  <c r="DD69" i="24"/>
  <c r="DD67" i="24"/>
  <c r="DK65" i="24"/>
  <c r="DL65" i="24" s="1"/>
  <c r="DK63" i="24"/>
  <c r="DL63" i="24" s="1"/>
  <c r="DH65" i="24"/>
  <c r="DI65" i="24" s="1"/>
  <c r="DH70" i="28"/>
  <c r="DI70" i="28" s="1"/>
  <c r="DD69" i="28"/>
  <c r="DD68" i="28"/>
  <c r="DD67" i="28"/>
  <c r="DD66" i="28"/>
  <c r="DH65" i="28"/>
  <c r="DI65" i="28" s="1"/>
  <c r="DK64" i="28"/>
  <c r="DL64" i="28" s="1"/>
  <c r="DK63" i="28"/>
  <c r="DL63" i="28" s="1"/>
  <c r="DD70" i="28"/>
  <c r="DC69" i="28"/>
  <c r="DC68" i="28"/>
  <c r="DC67" i="28"/>
  <c r="DC66" i="28"/>
  <c r="DD65" i="28"/>
  <c r="DH64" i="28"/>
  <c r="DI64" i="28" s="1"/>
  <c r="DH63" i="28"/>
  <c r="DI63" i="28" s="1"/>
  <c r="DK62" i="28"/>
  <c r="DL62" i="28" s="1"/>
  <c r="DC70" i="28"/>
  <c r="DB69" i="28"/>
  <c r="DE69" i="28" s="1"/>
  <c r="DB68" i="28"/>
  <c r="DE68" i="28" s="1"/>
  <c r="DB67" i="28"/>
  <c r="DB66" i="28"/>
  <c r="DC65" i="28"/>
  <c r="DD64" i="28"/>
  <c r="DD63" i="28"/>
  <c r="DH62" i="28"/>
  <c r="DI62" i="28" s="1"/>
  <c r="DK61" i="28"/>
  <c r="DL61" i="28" s="1"/>
  <c r="DB70" i="28"/>
  <c r="DE70" i="28" s="1"/>
  <c r="DA69" i="28"/>
  <c r="DA68" i="28"/>
  <c r="DA67" i="28"/>
  <c r="DA66" i="28"/>
  <c r="DB65" i="28"/>
  <c r="DC64" i="28"/>
  <c r="DC63" i="28"/>
  <c r="DD62" i="28"/>
  <c r="DH61" i="28"/>
  <c r="DI61" i="28" s="1"/>
  <c r="DA70" i="28"/>
  <c r="DA65" i="28"/>
  <c r="DB64" i="28"/>
  <c r="DB63" i="28"/>
  <c r="DC62" i="28"/>
  <c r="DD61" i="28"/>
  <c r="DA64" i="28"/>
  <c r="DA63" i="28"/>
  <c r="DB62" i="28"/>
  <c r="DC61" i="28"/>
  <c r="DK69" i="28"/>
  <c r="DL69" i="28" s="1"/>
  <c r="DK68" i="28"/>
  <c r="DL68" i="28" s="1"/>
  <c r="DK67" i="28"/>
  <c r="DL67" i="28" s="1"/>
  <c r="DK66" i="28"/>
  <c r="DL66" i="28" s="1"/>
  <c r="DA62" i="28"/>
  <c r="DB61" i="28"/>
  <c r="DH66" i="28"/>
  <c r="DI66" i="28" s="1"/>
  <c r="DA61" i="28"/>
  <c r="DH68" i="28"/>
  <c r="DI68" i="28" s="1"/>
  <c r="DH69" i="28"/>
  <c r="DI69" i="28" s="1"/>
  <c r="DK65" i="28"/>
  <c r="DL65" i="28" s="1"/>
  <c r="DK70" i="28"/>
  <c r="DL70" i="28" s="1"/>
  <c r="DH67" i="28"/>
  <c r="DI67" i="28" s="1"/>
  <c r="DA43" i="23"/>
  <c r="DA42" i="23"/>
  <c r="DB41" i="23"/>
  <c r="DC40" i="23"/>
  <c r="DK48" i="23"/>
  <c r="DL48" i="23" s="1"/>
  <c r="DK47" i="23"/>
  <c r="DL47" i="23" s="1"/>
  <c r="DK46" i="23"/>
  <c r="DL46" i="23" s="1"/>
  <c r="DK45" i="23"/>
  <c r="DL45" i="23" s="1"/>
  <c r="DA41" i="23"/>
  <c r="DB40" i="23"/>
  <c r="DK49" i="23"/>
  <c r="DL49" i="23" s="1"/>
  <c r="DH48" i="23"/>
  <c r="DI48" i="23" s="1"/>
  <c r="DH47" i="23"/>
  <c r="DI47" i="23" s="1"/>
  <c r="DH46" i="23"/>
  <c r="DI46" i="23" s="1"/>
  <c r="DH45" i="23"/>
  <c r="DI45" i="23" s="1"/>
  <c r="DK44" i="23"/>
  <c r="DL44" i="23" s="1"/>
  <c r="DA40" i="23"/>
  <c r="DH49" i="23"/>
  <c r="DI49" i="23" s="1"/>
  <c r="DD48" i="23"/>
  <c r="DD47" i="23"/>
  <c r="DD46" i="23"/>
  <c r="DD45" i="23"/>
  <c r="DH44" i="23"/>
  <c r="DI44" i="23" s="1"/>
  <c r="DK43" i="23"/>
  <c r="DL43" i="23" s="1"/>
  <c r="DK42" i="23"/>
  <c r="DL42" i="23" s="1"/>
  <c r="DD49" i="23"/>
  <c r="DC48" i="23"/>
  <c r="DC47" i="23"/>
  <c r="DC46" i="23"/>
  <c r="DC45" i="23"/>
  <c r="DD44" i="23"/>
  <c r="DH43" i="23"/>
  <c r="DI43" i="23" s="1"/>
  <c r="DH42" i="23"/>
  <c r="DI42" i="23" s="1"/>
  <c r="DK41" i="23"/>
  <c r="DL41" i="23" s="1"/>
  <c r="DC49" i="23"/>
  <c r="DB48" i="23"/>
  <c r="DE48" i="23" s="1"/>
  <c r="DB47" i="23"/>
  <c r="DE47" i="23" s="1"/>
  <c r="DB46" i="23"/>
  <c r="DB45" i="23"/>
  <c r="DC44" i="23"/>
  <c r="DD43" i="23"/>
  <c r="DD42" i="23"/>
  <c r="DH41" i="23"/>
  <c r="DI41" i="23" s="1"/>
  <c r="DK40" i="23"/>
  <c r="DL40" i="23" s="1"/>
  <c r="DA47" i="23"/>
  <c r="DB43" i="23"/>
  <c r="DD41" i="23"/>
  <c r="DC41" i="23"/>
  <c r="DB49" i="23"/>
  <c r="DE49" i="23" s="1"/>
  <c r="DB44" i="23"/>
  <c r="DA49" i="23"/>
  <c r="DA46" i="23"/>
  <c r="DA44" i="23"/>
  <c r="DC42" i="23"/>
  <c r="DB42" i="23"/>
  <c r="DA48" i="23"/>
  <c r="DH40" i="23"/>
  <c r="DI40" i="23" s="1"/>
  <c r="DA45" i="23"/>
  <c r="DD40" i="23"/>
  <c r="DC43" i="23"/>
  <c r="DK28" i="25"/>
  <c r="DL28" i="25" s="1"/>
  <c r="DH27" i="25"/>
  <c r="DI27" i="25" s="1"/>
  <c r="DH26" i="25"/>
  <c r="DI26" i="25" s="1"/>
  <c r="DH25" i="25"/>
  <c r="DI25" i="25" s="1"/>
  <c r="DH24" i="25"/>
  <c r="DI24" i="25" s="1"/>
  <c r="DK23" i="25"/>
  <c r="DL23" i="25" s="1"/>
  <c r="DA19" i="25"/>
  <c r="DH28" i="25"/>
  <c r="DI28" i="25" s="1"/>
  <c r="DD27" i="25"/>
  <c r="DD26" i="25"/>
  <c r="DD25" i="25"/>
  <c r="DD24" i="25"/>
  <c r="DH23" i="25"/>
  <c r="DI23" i="25" s="1"/>
  <c r="DK22" i="25"/>
  <c r="DL22" i="25" s="1"/>
  <c r="DK21" i="25"/>
  <c r="DL21" i="25" s="1"/>
  <c r="DD28" i="25"/>
  <c r="DC27" i="25"/>
  <c r="DC26" i="25"/>
  <c r="DC25" i="25"/>
  <c r="DC24" i="25"/>
  <c r="DD23" i="25"/>
  <c r="DH22" i="25"/>
  <c r="DI22" i="25" s="1"/>
  <c r="DH21" i="25"/>
  <c r="DI21" i="25" s="1"/>
  <c r="DK20" i="25"/>
  <c r="DL20" i="25" s="1"/>
  <c r="DC28" i="25"/>
  <c r="DB27" i="25"/>
  <c r="DE27" i="25" s="1"/>
  <c r="DB26" i="25"/>
  <c r="DE26" i="25" s="1"/>
  <c r="DB25" i="25"/>
  <c r="DB24" i="25"/>
  <c r="DC23" i="25"/>
  <c r="DD22" i="25"/>
  <c r="DD21" i="25"/>
  <c r="DH20" i="25"/>
  <c r="DI20" i="25" s="1"/>
  <c r="DK19" i="25"/>
  <c r="DL19" i="25" s="1"/>
  <c r="DB28" i="25"/>
  <c r="DE28" i="25" s="1"/>
  <c r="DA27" i="25"/>
  <c r="DA26" i="25"/>
  <c r="DA25" i="25"/>
  <c r="DA24" i="25"/>
  <c r="DB23" i="25"/>
  <c r="DC22" i="25"/>
  <c r="DC21" i="25"/>
  <c r="DD20" i="25"/>
  <c r="DH19" i="25"/>
  <c r="DI19" i="25" s="1"/>
  <c r="DA28" i="25"/>
  <c r="DA23" i="25"/>
  <c r="DB22" i="25"/>
  <c r="DB21" i="25"/>
  <c r="DC20" i="25"/>
  <c r="DD19" i="25"/>
  <c r="DA22" i="25"/>
  <c r="DA21" i="25"/>
  <c r="DB20" i="25"/>
  <c r="DC19" i="25"/>
  <c r="DK26" i="25"/>
  <c r="DL26" i="25" s="1"/>
  <c r="DA20" i="25"/>
  <c r="DK25" i="25"/>
  <c r="DL25" i="25" s="1"/>
  <c r="DK27" i="25"/>
  <c r="DL27" i="25" s="1"/>
  <c r="DB19" i="25"/>
  <c r="DK24" i="25"/>
  <c r="DL24" i="25" s="1"/>
  <c r="DA43" i="21"/>
  <c r="DA42" i="21"/>
  <c r="DB41" i="21"/>
  <c r="DC40" i="21"/>
  <c r="DK48" i="21"/>
  <c r="DL48" i="21" s="1"/>
  <c r="DK47" i="21"/>
  <c r="DL47" i="21" s="1"/>
  <c r="DK46" i="21"/>
  <c r="DL46" i="21" s="1"/>
  <c r="DK45" i="21"/>
  <c r="DL45" i="21" s="1"/>
  <c r="DA41" i="21"/>
  <c r="DB40" i="21"/>
  <c r="DK49" i="21"/>
  <c r="DL49" i="21" s="1"/>
  <c r="DH48" i="21"/>
  <c r="DI48" i="21" s="1"/>
  <c r="DH47" i="21"/>
  <c r="DI47" i="21" s="1"/>
  <c r="DH46" i="21"/>
  <c r="DI46" i="21" s="1"/>
  <c r="DH45" i="21"/>
  <c r="DI45" i="21" s="1"/>
  <c r="DK44" i="21"/>
  <c r="DL44" i="21" s="1"/>
  <c r="DA40" i="21"/>
  <c r="DH49" i="21"/>
  <c r="DI49" i="21" s="1"/>
  <c r="DD48" i="21"/>
  <c r="DD47" i="21"/>
  <c r="DD46" i="21"/>
  <c r="DD45" i="21"/>
  <c r="DH44" i="21"/>
  <c r="DI44" i="21" s="1"/>
  <c r="DK43" i="21"/>
  <c r="DL43" i="21" s="1"/>
  <c r="DK42" i="21"/>
  <c r="DL42" i="21" s="1"/>
  <c r="DD49" i="21"/>
  <c r="DC48" i="21"/>
  <c r="DC47" i="21"/>
  <c r="DC46" i="21"/>
  <c r="DC45" i="21"/>
  <c r="DD44" i="21"/>
  <c r="DH43" i="21"/>
  <c r="DI43" i="21" s="1"/>
  <c r="DH42" i="21"/>
  <c r="DI42" i="21" s="1"/>
  <c r="DK41" i="21"/>
  <c r="DL41" i="21" s="1"/>
  <c r="DC49" i="21"/>
  <c r="DB48" i="21"/>
  <c r="DE48" i="21" s="1"/>
  <c r="DB47" i="21"/>
  <c r="DE47" i="21" s="1"/>
  <c r="DB46" i="21"/>
  <c r="DB45" i="21"/>
  <c r="DC44" i="21"/>
  <c r="DD43" i="21"/>
  <c r="DD42" i="21"/>
  <c r="DH41" i="21"/>
  <c r="DI41" i="21" s="1"/>
  <c r="DK40" i="21"/>
  <c r="DL40" i="21" s="1"/>
  <c r="DB49" i="21"/>
  <c r="DE49" i="21" s="1"/>
  <c r="DB44" i="21"/>
  <c r="DA49" i="21"/>
  <c r="DA46" i="21"/>
  <c r="DA44" i="21"/>
  <c r="DC42" i="21"/>
  <c r="DB42" i="21"/>
  <c r="DA48" i="21"/>
  <c r="DH40" i="21"/>
  <c r="DI40" i="21" s="1"/>
  <c r="DA45" i="21"/>
  <c r="DD40" i="21"/>
  <c r="DC43" i="21"/>
  <c r="DA47" i="21"/>
  <c r="DD41" i="21"/>
  <c r="DC41" i="21"/>
  <c r="DB43" i="21"/>
  <c r="DA64" i="23"/>
  <c r="DA63" i="23"/>
  <c r="DB62" i="23"/>
  <c r="DC61" i="23"/>
  <c r="DK69" i="23"/>
  <c r="DL69" i="23" s="1"/>
  <c r="DK68" i="23"/>
  <c r="DL68" i="23" s="1"/>
  <c r="DK67" i="23"/>
  <c r="DL67" i="23" s="1"/>
  <c r="DK66" i="23"/>
  <c r="DL66" i="23" s="1"/>
  <c r="DA62" i="23"/>
  <c r="DB61" i="23"/>
  <c r="DK70" i="23"/>
  <c r="DL70" i="23" s="1"/>
  <c r="DH69" i="23"/>
  <c r="DI69" i="23" s="1"/>
  <c r="DH68" i="23"/>
  <c r="DI68" i="23" s="1"/>
  <c r="DH67" i="23"/>
  <c r="DI67" i="23" s="1"/>
  <c r="DH66" i="23"/>
  <c r="DI66" i="23" s="1"/>
  <c r="DK65" i="23"/>
  <c r="DL65" i="23" s="1"/>
  <c r="DA61" i="23"/>
  <c r="DH70" i="23"/>
  <c r="DI70" i="23" s="1"/>
  <c r="DD69" i="23"/>
  <c r="DD68" i="23"/>
  <c r="DD67" i="23"/>
  <c r="DD66" i="23"/>
  <c r="DH65" i="23"/>
  <c r="DI65" i="23" s="1"/>
  <c r="DK64" i="23"/>
  <c r="DL64" i="23" s="1"/>
  <c r="DK63" i="23"/>
  <c r="DL63" i="23" s="1"/>
  <c r="DD70" i="23"/>
  <c r="DC69" i="23"/>
  <c r="DC68" i="23"/>
  <c r="DC67" i="23"/>
  <c r="DC66" i="23"/>
  <c r="DD65" i="23"/>
  <c r="DH64" i="23"/>
  <c r="DI64" i="23" s="1"/>
  <c r="DH63" i="23"/>
  <c r="DI63" i="23" s="1"/>
  <c r="DK62" i="23"/>
  <c r="DL62" i="23" s="1"/>
  <c r="DC70" i="23"/>
  <c r="DB69" i="23"/>
  <c r="DE69" i="23" s="1"/>
  <c r="DB68" i="23"/>
  <c r="DE68" i="23" s="1"/>
  <c r="DB67" i="23"/>
  <c r="DB66" i="23"/>
  <c r="DC65" i="23"/>
  <c r="DD64" i="23"/>
  <c r="DD63" i="23"/>
  <c r="DH62" i="23"/>
  <c r="DI62" i="23" s="1"/>
  <c r="DK61" i="23"/>
  <c r="DL61" i="23" s="1"/>
  <c r="DB63" i="23"/>
  <c r="DA69" i="23"/>
  <c r="DH61" i="23"/>
  <c r="DI61" i="23" s="1"/>
  <c r="DA66" i="23"/>
  <c r="DD61" i="23"/>
  <c r="DC64" i="23"/>
  <c r="DA68" i="23"/>
  <c r="DB64" i="23"/>
  <c r="DD62" i="23"/>
  <c r="DC62" i="23"/>
  <c r="DB70" i="23"/>
  <c r="DE70" i="23" s="1"/>
  <c r="DB65" i="23"/>
  <c r="DA67" i="23"/>
  <c r="DA70" i="23"/>
  <c r="DC63" i="23"/>
  <c r="DA65" i="23"/>
  <c r="DB49" i="22"/>
  <c r="DE49" i="22" s="1"/>
  <c r="DA48" i="22"/>
  <c r="DA47" i="22"/>
  <c r="DA46" i="22"/>
  <c r="DA45" i="22"/>
  <c r="DB44" i="22"/>
  <c r="DC43" i="22"/>
  <c r="DC42" i="22"/>
  <c r="DD41" i="22"/>
  <c r="DH40" i="22"/>
  <c r="DI40" i="22" s="1"/>
  <c r="DA49" i="22"/>
  <c r="DA44" i="22"/>
  <c r="DB43" i="22"/>
  <c r="DB42" i="22"/>
  <c r="DC41" i="22"/>
  <c r="DD40" i="22"/>
  <c r="DA43" i="22"/>
  <c r="DA42" i="22"/>
  <c r="DB41" i="22"/>
  <c r="DC40" i="22"/>
  <c r="DK48" i="22"/>
  <c r="DL48" i="22" s="1"/>
  <c r="DK47" i="22"/>
  <c r="DL47" i="22" s="1"/>
  <c r="DK46" i="22"/>
  <c r="DL46" i="22" s="1"/>
  <c r="DK45" i="22"/>
  <c r="DL45" i="22" s="1"/>
  <c r="DA41" i="22"/>
  <c r="DB40" i="22"/>
  <c r="DD48" i="22"/>
  <c r="DB47" i="22"/>
  <c r="DE47" i="22" s="1"/>
  <c r="DK44" i="22"/>
  <c r="DL44" i="22" s="1"/>
  <c r="DH43" i="22"/>
  <c r="DI43" i="22" s="1"/>
  <c r="DA40" i="22"/>
  <c r="DC48" i="22"/>
  <c r="DH45" i="22"/>
  <c r="DI45" i="22" s="1"/>
  <c r="DH44" i="22"/>
  <c r="DI44" i="22" s="1"/>
  <c r="DD43" i="22"/>
  <c r="DK49" i="22"/>
  <c r="DL49" i="22" s="1"/>
  <c r="DB48" i="22"/>
  <c r="DE48" i="22" s="1"/>
  <c r="DD45" i="22"/>
  <c r="DD44" i="22"/>
  <c r="DK41" i="22"/>
  <c r="DL41" i="22" s="1"/>
  <c r="DH49" i="22"/>
  <c r="DI49" i="22" s="1"/>
  <c r="DH46" i="22"/>
  <c r="DI46" i="22" s="1"/>
  <c r="DC45" i="22"/>
  <c r="DC44" i="22"/>
  <c r="DH41" i="22"/>
  <c r="DI41" i="22" s="1"/>
  <c r="DD49" i="22"/>
  <c r="DD46" i="22"/>
  <c r="DB45" i="22"/>
  <c r="DK42" i="22"/>
  <c r="DL42" i="22" s="1"/>
  <c r="DC49" i="22"/>
  <c r="DH47" i="22"/>
  <c r="DI47" i="22" s="1"/>
  <c r="DC46" i="22"/>
  <c r="DH42" i="22"/>
  <c r="DI42" i="22" s="1"/>
  <c r="DB46" i="22"/>
  <c r="DH48" i="22"/>
  <c r="DI48" i="22" s="1"/>
  <c r="DK43" i="22"/>
  <c r="DL43" i="22" s="1"/>
  <c r="DK40" i="22"/>
  <c r="DL40" i="22" s="1"/>
  <c r="DD47" i="22"/>
  <c r="DD42" i="22"/>
  <c r="DC47" i="22"/>
  <c r="DA64" i="21"/>
  <c r="DA63" i="21"/>
  <c r="DB62" i="21"/>
  <c r="DC61" i="21"/>
  <c r="DK69" i="21"/>
  <c r="DL69" i="21" s="1"/>
  <c r="DK68" i="21"/>
  <c r="DL68" i="21" s="1"/>
  <c r="DK67" i="21"/>
  <c r="DL67" i="21" s="1"/>
  <c r="DK66" i="21"/>
  <c r="DL66" i="21" s="1"/>
  <c r="DA62" i="21"/>
  <c r="DB61" i="21"/>
  <c r="DK70" i="21"/>
  <c r="DL70" i="21" s="1"/>
  <c r="DH69" i="21"/>
  <c r="DI69" i="21" s="1"/>
  <c r="DH68" i="21"/>
  <c r="DI68" i="21" s="1"/>
  <c r="DH67" i="21"/>
  <c r="DI67" i="21" s="1"/>
  <c r="DH66" i="21"/>
  <c r="DI66" i="21" s="1"/>
  <c r="DK65" i="21"/>
  <c r="DL65" i="21" s="1"/>
  <c r="DA61" i="21"/>
  <c r="DH70" i="21"/>
  <c r="DI70" i="21" s="1"/>
  <c r="DD69" i="21"/>
  <c r="DD68" i="21"/>
  <c r="DD67" i="21"/>
  <c r="DD66" i="21"/>
  <c r="DH65" i="21"/>
  <c r="DI65" i="21" s="1"/>
  <c r="DK64" i="21"/>
  <c r="DL64" i="21" s="1"/>
  <c r="DK63" i="21"/>
  <c r="DL63" i="21" s="1"/>
  <c r="DD70" i="21"/>
  <c r="DC69" i="21"/>
  <c r="DC68" i="21"/>
  <c r="DC67" i="21"/>
  <c r="DC66" i="21"/>
  <c r="DD65" i="21"/>
  <c r="DH64" i="21"/>
  <c r="DI64" i="21" s="1"/>
  <c r="DH63" i="21"/>
  <c r="DI63" i="21" s="1"/>
  <c r="DK62" i="21"/>
  <c r="DL62" i="21" s="1"/>
  <c r="DC70" i="21"/>
  <c r="DB69" i="21"/>
  <c r="DE69" i="21" s="1"/>
  <c r="DB68" i="21"/>
  <c r="DE68" i="21" s="1"/>
  <c r="DB67" i="21"/>
  <c r="DB66" i="21"/>
  <c r="DC65" i="21"/>
  <c r="DD64" i="21"/>
  <c r="DD63" i="21"/>
  <c r="DH62" i="21"/>
  <c r="DI62" i="21" s="1"/>
  <c r="DK61" i="21"/>
  <c r="DL61" i="21" s="1"/>
  <c r="DA66" i="21"/>
  <c r="DD61" i="21"/>
  <c r="DC64" i="21"/>
  <c r="DA68" i="21"/>
  <c r="DB64" i="21"/>
  <c r="DD62" i="21"/>
  <c r="DC62" i="21"/>
  <c r="DB70" i="21"/>
  <c r="DE70" i="21" s="1"/>
  <c r="DB65" i="21"/>
  <c r="DA70" i="21"/>
  <c r="DA67" i="21"/>
  <c r="DA65" i="21"/>
  <c r="DC63" i="21"/>
  <c r="DH61" i="21"/>
  <c r="DI61" i="21" s="1"/>
  <c r="DB63" i="21"/>
  <c r="DA69" i="21"/>
  <c r="DD36" i="23"/>
  <c r="D30" i="33"/>
  <c r="I30" i="33" s="1"/>
  <c r="DD36" i="7"/>
  <c r="DD15" i="20"/>
  <c r="D7" i="30"/>
  <c r="U20" i="30" s="1"/>
  <c r="U21" i="30" s="1"/>
  <c r="T22" i="30" s="1"/>
  <c r="H7" i="30" s="1"/>
  <c r="DD57" i="7"/>
  <c r="DD78" i="26"/>
  <c r="D76" i="36"/>
  <c r="D78" i="36" s="1"/>
  <c r="AI123" i="26"/>
  <c r="C131" i="36"/>
  <c r="AI60" i="14"/>
  <c r="C62" i="13"/>
  <c r="AI123" i="21"/>
  <c r="C131" i="31"/>
  <c r="DD141" i="24"/>
  <c r="D145" i="34"/>
  <c r="I145" i="34" s="1"/>
  <c r="DD141" i="25"/>
  <c r="D145" i="35"/>
  <c r="I145" i="35" s="1"/>
  <c r="AI144" i="22"/>
  <c r="C154" i="32"/>
  <c r="DD120" i="23"/>
  <c r="D122" i="33"/>
  <c r="I122" i="33" s="1"/>
  <c r="AI123" i="7"/>
  <c r="DD141" i="21"/>
  <c r="D145" i="31"/>
  <c r="U158" i="31" s="1"/>
  <c r="U159" i="31" s="1"/>
  <c r="T160" i="31" s="1"/>
  <c r="H145" i="31" s="1"/>
  <c r="AI144" i="26"/>
  <c r="C154" i="36"/>
  <c r="BJ18" i="14"/>
  <c r="C8" i="13"/>
  <c r="AI18" i="27"/>
  <c r="C16" i="37"/>
  <c r="AI39" i="20"/>
  <c r="C39" i="30"/>
  <c r="DH91" i="28"/>
  <c r="DI91" i="28" s="1"/>
  <c r="DD90" i="28"/>
  <c r="DD89" i="28"/>
  <c r="DD88" i="28"/>
  <c r="DD87" i="28"/>
  <c r="DH86" i="28"/>
  <c r="DI86" i="28" s="1"/>
  <c r="DK85" i="28"/>
  <c r="DL85" i="28" s="1"/>
  <c r="DK84" i="28"/>
  <c r="DL84" i="28" s="1"/>
  <c r="DD91" i="28"/>
  <c r="DC90" i="28"/>
  <c r="DC89" i="28"/>
  <c r="DC88" i="28"/>
  <c r="DC87" i="28"/>
  <c r="DD86" i="28"/>
  <c r="DH85" i="28"/>
  <c r="DI85" i="28" s="1"/>
  <c r="DH84" i="28"/>
  <c r="DI84" i="28" s="1"/>
  <c r="DK83" i="28"/>
  <c r="DL83" i="28" s="1"/>
  <c r="DC91" i="28"/>
  <c r="DB90" i="28"/>
  <c r="DE90" i="28" s="1"/>
  <c r="DB89" i="28"/>
  <c r="DE89" i="28" s="1"/>
  <c r="DB88" i="28"/>
  <c r="DB87" i="28"/>
  <c r="DC86" i="28"/>
  <c r="DD85" i="28"/>
  <c r="DD84" i="28"/>
  <c r="DH83" i="28"/>
  <c r="DI83" i="28" s="1"/>
  <c r="DK82" i="28"/>
  <c r="DL82" i="28" s="1"/>
  <c r="DB91" i="28"/>
  <c r="DE91" i="28" s="1"/>
  <c r="DA90" i="28"/>
  <c r="DA89" i="28"/>
  <c r="DA88" i="28"/>
  <c r="DA87" i="28"/>
  <c r="DB86" i="28"/>
  <c r="DC85" i="28"/>
  <c r="DC84" i="28"/>
  <c r="DD83" i="28"/>
  <c r="DH82" i="28"/>
  <c r="DI82" i="28" s="1"/>
  <c r="DA91" i="28"/>
  <c r="DA86" i="28"/>
  <c r="DB85" i="28"/>
  <c r="DB84" i="28"/>
  <c r="DC83" i="28"/>
  <c r="DD82" i="28"/>
  <c r="DA85" i="28"/>
  <c r="DA84" i="28"/>
  <c r="DB83" i="28"/>
  <c r="DC82" i="28"/>
  <c r="DK90" i="28"/>
  <c r="DL90" i="28" s="1"/>
  <c r="DK89" i="28"/>
  <c r="DL89" i="28" s="1"/>
  <c r="DK88" i="28"/>
  <c r="DL88" i="28" s="1"/>
  <c r="DK87" i="28"/>
  <c r="DL87" i="28" s="1"/>
  <c r="DA83" i="28"/>
  <c r="DB82" i="28"/>
  <c r="DK86" i="28"/>
  <c r="DL86" i="28" s="1"/>
  <c r="DK91" i="28"/>
  <c r="DL91" i="28" s="1"/>
  <c r="DH88" i="28"/>
  <c r="DI88" i="28" s="1"/>
  <c r="DH90" i="28"/>
  <c r="DI90" i="28" s="1"/>
  <c r="DH87" i="28"/>
  <c r="DI87" i="28" s="1"/>
  <c r="DA82" i="28"/>
  <c r="DH89" i="28"/>
  <c r="DI89" i="28" s="1"/>
  <c r="DD91" i="24"/>
  <c r="DC90" i="24"/>
  <c r="DC89" i="24"/>
  <c r="DC88" i="24"/>
  <c r="DC87" i="24"/>
  <c r="DD86" i="24"/>
  <c r="DH85" i="24"/>
  <c r="DI85" i="24" s="1"/>
  <c r="DH84" i="24"/>
  <c r="DI84" i="24" s="1"/>
  <c r="DK83" i="24"/>
  <c r="DL83" i="24" s="1"/>
  <c r="DC91" i="24"/>
  <c r="DB90" i="24"/>
  <c r="DE90" i="24" s="1"/>
  <c r="DB89" i="24"/>
  <c r="DE89" i="24" s="1"/>
  <c r="DB88" i="24"/>
  <c r="DB87" i="24"/>
  <c r="DC86" i="24"/>
  <c r="DD85" i="24"/>
  <c r="DD84" i="24"/>
  <c r="DH83" i="24"/>
  <c r="DI83" i="24" s="1"/>
  <c r="DK82" i="24"/>
  <c r="DL82" i="24" s="1"/>
  <c r="DB91" i="24"/>
  <c r="DE91" i="24" s="1"/>
  <c r="DA90" i="24"/>
  <c r="DA89" i="24"/>
  <c r="DA88" i="24"/>
  <c r="DA87" i="24"/>
  <c r="DB86" i="24"/>
  <c r="DC85" i="24"/>
  <c r="DC84" i="24"/>
  <c r="DD83" i="24"/>
  <c r="DH82" i="24"/>
  <c r="DI82" i="24" s="1"/>
  <c r="DA91" i="24"/>
  <c r="DA86" i="24"/>
  <c r="DB85" i="24"/>
  <c r="DB84" i="24"/>
  <c r="DC83" i="24"/>
  <c r="DD82" i="24"/>
  <c r="DA85" i="24"/>
  <c r="DA84" i="24"/>
  <c r="DB83" i="24"/>
  <c r="DC82" i="24"/>
  <c r="DK90" i="24"/>
  <c r="DL90" i="24" s="1"/>
  <c r="DK89" i="24"/>
  <c r="DL89" i="24" s="1"/>
  <c r="DK88" i="24"/>
  <c r="DL88" i="24" s="1"/>
  <c r="DK87" i="24"/>
  <c r="DL87" i="24" s="1"/>
  <c r="DA83" i="24"/>
  <c r="DB82" i="24"/>
  <c r="DH91" i="24"/>
  <c r="DI91" i="24" s="1"/>
  <c r="DK85" i="24"/>
  <c r="DL85" i="24" s="1"/>
  <c r="DH90" i="24"/>
  <c r="DI90" i="24" s="1"/>
  <c r="DH88" i="24"/>
  <c r="DI88" i="24" s="1"/>
  <c r="DA82" i="24"/>
  <c r="DD90" i="24"/>
  <c r="DD88" i="24"/>
  <c r="DK86" i="24"/>
  <c r="DL86" i="24" s="1"/>
  <c r="DK84" i="24"/>
  <c r="DL84" i="24" s="1"/>
  <c r="DH86" i="24"/>
  <c r="DI86" i="24" s="1"/>
  <c r="DH89" i="24"/>
  <c r="DI89" i="24" s="1"/>
  <c r="DH87" i="24"/>
  <c r="DI87" i="24" s="1"/>
  <c r="DD89" i="24"/>
  <c r="DK91" i="24"/>
  <c r="DL91" i="24" s="1"/>
  <c r="DD87" i="24"/>
  <c r="DK49" i="25"/>
  <c r="DL49" i="25" s="1"/>
  <c r="DH48" i="25"/>
  <c r="DI48" i="25" s="1"/>
  <c r="DH47" i="25"/>
  <c r="DI47" i="25" s="1"/>
  <c r="DH46" i="25"/>
  <c r="DI46" i="25" s="1"/>
  <c r="DH45" i="25"/>
  <c r="DI45" i="25" s="1"/>
  <c r="DK44" i="25"/>
  <c r="DL44" i="25" s="1"/>
  <c r="DA40" i="25"/>
  <c r="DH49" i="25"/>
  <c r="DI49" i="25" s="1"/>
  <c r="DD48" i="25"/>
  <c r="DD47" i="25"/>
  <c r="DD46" i="25"/>
  <c r="DD45" i="25"/>
  <c r="DH44" i="25"/>
  <c r="DI44" i="25" s="1"/>
  <c r="DK43" i="25"/>
  <c r="DL43" i="25" s="1"/>
  <c r="DK42" i="25"/>
  <c r="DL42" i="25" s="1"/>
  <c r="DD49" i="25"/>
  <c r="DC48" i="25"/>
  <c r="DC47" i="25"/>
  <c r="DC46" i="25"/>
  <c r="DC45" i="25"/>
  <c r="DD44" i="25"/>
  <c r="DH43" i="25"/>
  <c r="DI43" i="25" s="1"/>
  <c r="DH42" i="25"/>
  <c r="DI42" i="25" s="1"/>
  <c r="DK41" i="25"/>
  <c r="DL41" i="25" s="1"/>
  <c r="DC49" i="25"/>
  <c r="DB48" i="25"/>
  <c r="DE48" i="25" s="1"/>
  <c r="DB47" i="25"/>
  <c r="DE47" i="25" s="1"/>
  <c r="DB46" i="25"/>
  <c r="DB45" i="25"/>
  <c r="DC44" i="25"/>
  <c r="DD43" i="25"/>
  <c r="DD42" i="25"/>
  <c r="DH41" i="25"/>
  <c r="DI41" i="25" s="1"/>
  <c r="DK40" i="25"/>
  <c r="DL40" i="25" s="1"/>
  <c r="DB49" i="25"/>
  <c r="DE49" i="25" s="1"/>
  <c r="DA48" i="25"/>
  <c r="DA47" i="25"/>
  <c r="DA46" i="25"/>
  <c r="DA45" i="25"/>
  <c r="DB44" i="25"/>
  <c r="DC43" i="25"/>
  <c r="DC42" i="25"/>
  <c r="DD41" i="25"/>
  <c r="DH40" i="25"/>
  <c r="DI40" i="25" s="1"/>
  <c r="DA49" i="25"/>
  <c r="DA44" i="25"/>
  <c r="DB43" i="25"/>
  <c r="DB42" i="25"/>
  <c r="DC41" i="25"/>
  <c r="DD40" i="25"/>
  <c r="DA43" i="25"/>
  <c r="DA42" i="25"/>
  <c r="DB41" i="25"/>
  <c r="DC40" i="25"/>
  <c r="DA41" i="25"/>
  <c r="DK46" i="25"/>
  <c r="DL46" i="25" s="1"/>
  <c r="DK48" i="25"/>
  <c r="DL48" i="25" s="1"/>
  <c r="DK45" i="25"/>
  <c r="DL45" i="25" s="1"/>
  <c r="DB40" i="25"/>
  <c r="DK47" i="25"/>
  <c r="DL47" i="25" s="1"/>
  <c r="DA70" i="27"/>
  <c r="DA65" i="27"/>
  <c r="DB64" i="27"/>
  <c r="DB63" i="27"/>
  <c r="DC62" i="27"/>
  <c r="DD61" i="27"/>
  <c r="DA64" i="27"/>
  <c r="DA63" i="27"/>
  <c r="DB62" i="27"/>
  <c r="DC61" i="27"/>
  <c r="DK69" i="27"/>
  <c r="DL69" i="27" s="1"/>
  <c r="DK68" i="27"/>
  <c r="DL68" i="27" s="1"/>
  <c r="DK67" i="27"/>
  <c r="DL67" i="27" s="1"/>
  <c r="DK66" i="27"/>
  <c r="DL66" i="27" s="1"/>
  <c r="DA62" i="27"/>
  <c r="DB61" i="27"/>
  <c r="DK70" i="27"/>
  <c r="DL70" i="27" s="1"/>
  <c r="DH69" i="27"/>
  <c r="DI69" i="27" s="1"/>
  <c r="DH68" i="27"/>
  <c r="DI68" i="27" s="1"/>
  <c r="DH67" i="27"/>
  <c r="DI67" i="27" s="1"/>
  <c r="DH66" i="27"/>
  <c r="DI66" i="27" s="1"/>
  <c r="DK65" i="27"/>
  <c r="DL65" i="27" s="1"/>
  <c r="DA61" i="27"/>
  <c r="DH70" i="27"/>
  <c r="DI70" i="27" s="1"/>
  <c r="DD69" i="27"/>
  <c r="DD68" i="27"/>
  <c r="DD67" i="27"/>
  <c r="DD66" i="27"/>
  <c r="DH65" i="27"/>
  <c r="DI65" i="27" s="1"/>
  <c r="DK64" i="27"/>
  <c r="DL64" i="27" s="1"/>
  <c r="DK63" i="27"/>
  <c r="DL63" i="27" s="1"/>
  <c r="DD70" i="27"/>
  <c r="DC69" i="27"/>
  <c r="DC68" i="27"/>
  <c r="DC67" i="27"/>
  <c r="DC66" i="27"/>
  <c r="DD65" i="27"/>
  <c r="DH64" i="27"/>
  <c r="DI64" i="27" s="1"/>
  <c r="DH63" i="27"/>
  <c r="DI63" i="27" s="1"/>
  <c r="DK62" i="27"/>
  <c r="DL62" i="27" s="1"/>
  <c r="DC70" i="27"/>
  <c r="DB69" i="27"/>
  <c r="DE69" i="27" s="1"/>
  <c r="DB68" i="27"/>
  <c r="DE68" i="27" s="1"/>
  <c r="DB67" i="27"/>
  <c r="DB66" i="27"/>
  <c r="DC65" i="27"/>
  <c r="DD64" i="27"/>
  <c r="DD63" i="27"/>
  <c r="DH62" i="27"/>
  <c r="DI62" i="27" s="1"/>
  <c r="DK61" i="27"/>
  <c r="DL61" i="27" s="1"/>
  <c r="DA68" i="27"/>
  <c r="DC63" i="27"/>
  <c r="DH61" i="27"/>
  <c r="DI61" i="27" s="1"/>
  <c r="DB65" i="27"/>
  <c r="DB70" i="27"/>
  <c r="DE70" i="27" s="1"/>
  <c r="DA67" i="27"/>
  <c r="DA69" i="27"/>
  <c r="DD62" i="27"/>
  <c r="DA66" i="27"/>
  <c r="DC64" i="27"/>
  <c r="DB70" i="26"/>
  <c r="DE70" i="26" s="1"/>
  <c r="DA69" i="26"/>
  <c r="DA68" i="26"/>
  <c r="DA67" i="26"/>
  <c r="DA66" i="26"/>
  <c r="DB65" i="26"/>
  <c r="DC64" i="26"/>
  <c r="DC63" i="26"/>
  <c r="DD62" i="26"/>
  <c r="DH61" i="26"/>
  <c r="DI61" i="26" s="1"/>
  <c r="DA70" i="26"/>
  <c r="DA65" i="26"/>
  <c r="DB64" i="26"/>
  <c r="DB63" i="26"/>
  <c r="DC62" i="26"/>
  <c r="DD61" i="26"/>
  <c r="DA64" i="26"/>
  <c r="DA63" i="26"/>
  <c r="DB62" i="26"/>
  <c r="DC61" i="26"/>
  <c r="DK69" i="26"/>
  <c r="DL69" i="26" s="1"/>
  <c r="DK68" i="26"/>
  <c r="DL68" i="26" s="1"/>
  <c r="DK67" i="26"/>
  <c r="DL67" i="26" s="1"/>
  <c r="DK66" i="26"/>
  <c r="DL66" i="26" s="1"/>
  <c r="DA62" i="26"/>
  <c r="DB61" i="26"/>
  <c r="DK70" i="26"/>
  <c r="DL70" i="26" s="1"/>
  <c r="DH69" i="26"/>
  <c r="DI69" i="26" s="1"/>
  <c r="DH68" i="26"/>
  <c r="DI68" i="26" s="1"/>
  <c r="DH67" i="26"/>
  <c r="DI67" i="26" s="1"/>
  <c r="DH66" i="26"/>
  <c r="DI66" i="26" s="1"/>
  <c r="DK65" i="26"/>
  <c r="DL65" i="26" s="1"/>
  <c r="DA61" i="26"/>
  <c r="DH70" i="26"/>
  <c r="DI70" i="26" s="1"/>
  <c r="DD69" i="26"/>
  <c r="DD68" i="26"/>
  <c r="DD67" i="26"/>
  <c r="DD66" i="26"/>
  <c r="DH65" i="26"/>
  <c r="DI65" i="26" s="1"/>
  <c r="DK64" i="26"/>
  <c r="DL64" i="26" s="1"/>
  <c r="DK63" i="26"/>
  <c r="DL63" i="26" s="1"/>
  <c r="DD70" i="26"/>
  <c r="DC69" i="26"/>
  <c r="DC68" i="26"/>
  <c r="DC67" i="26"/>
  <c r="DC66" i="26"/>
  <c r="DD65" i="26"/>
  <c r="DH64" i="26"/>
  <c r="DI64" i="26" s="1"/>
  <c r="DH63" i="26"/>
  <c r="DI63" i="26" s="1"/>
  <c r="DK62" i="26"/>
  <c r="DL62" i="26" s="1"/>
  <c r="DB68" i="26"/>
  <c r="DE68" i="26" s="1"/>
  <c r="DD63" i="26"/>
  <c r="DK61" i="26"/>
  <c r="DL61" i="26" s="1"/>
  <c r="DC65" i="26"/>
  <c r="DC70" i="26"/>
  <c r="DB67" i="26"/>
  <c r="DB69" i="26"/>
  <c r="DE69" i="26" s="1"/>
  <c r="DH62" i="26"/>
  <c r="DI62" i="26" s="1"/>
  <c r="DB66" i="26"/>
  <c r="DD64" i="26"/>
  <c r="DK69" i="20"/>
  <c r="DL69" i="20" s="1"/>
  <c r="DK68" i="20"/>
  <c r="DL68" i="20" s="1"/>
  <c r="DK67" i="20"/>
  <c r="DL67" i="20" s="1"/>
  <c r="DK66" i="20"/>
  <c r="DL66" i="20" s="1"/>
  <c r="DA62" i="20"/>
  <c r="DB61" i="20"/>
  <c r="DK70" i="20"/>
  <c r="DL70" i="20" s="1"/>
  <c r="DH69" i="20"/>
  <c r="DI69" i="20" s="1"/>
  <c r="DH68" i="20"/>
  <c r="DI68" i="20" s="1"/>
  <c r="DH67" i="20"/>
  <c r="DI67" i="20" s="1"/>
  <c r="DH66" i="20"/>
  <c r="DI66" i="20" s="1"/>
  <c r="DK65" i="20"/>
  <c r="DL65" i="20" s="1"/>
  <c r="DA61" i="20"/>
  <c r="DH70" i="20"/>
  <c r="DI70" i="20" s="1"/>
  <c r="DD69" i="20"/>
  <c r="DD68" i="20"/>
  <c r="DD67" i="20"/>
  <c r="DD66" i="20"/>
  <c r="DH65" i="20"/>
  <c r="DI65" i="20" s="1"/>
  <c r="DK64" i="20"/>
  <c r="DL64" i="20" s="1"/>
  <c r="DK63" i="20"/>
  <c r="DL63" i="20" s="1"/>
  <c r="DD70" i="20"/>
  <c r="DC69" i="20"/>
  <c r="DC68" i="20"/>
  <c r="DC67" i="20"/>
  <c r="DC66" i="20"/>
  <c r="DD65" i="20"/>
  <c r="DH64" i="20"/>
  <c r="DI64" i="20" s="1"/>
  <c r="DH63" i="20"/>
  <c r="DI63" i="20" s="1"/>
  <c r="DK62" i="20"/>
  <c r="DL62" i="20" s="1"/>
  <c r="DB70" i="20"/>
  <c r="DE70" i="20" s="1"/>
  <c r="DA69" i="20"/>
  <c r="DA68" i="20"/>
  <c r="DA67" i="20"/>
  <c r="DA66" i="20"/>
  <c r="DB65" i="20"/>
  <c r="DC64" i="20"/>
  <c r="DC63" i="20"/>
  <c r="DD62" i="20"/>
  <c r="DH61" i="20"/>
  <c r="DI61" i="20" s="1"/>
  <c r="DA70" i="20"/>
  <c r="DA65" i="20"/>
  <c r="DB64" i="20"/>
  <c r="DB63" i="20"/>
  <c r="DC62" i="20"/>
  <c r="DD61" i="20"/>
  <c r="DB69" i="20"/>
  <c r="DE69" i="20" s="1"/>
  <c r="DC61" i="20"/>
  <c r="DB66" i="20"/>
  <c r="DD64" i="20"/>
  <c r="DA64" i="20"/>
  <c r="DH62" i="20"/>
  <c r="DI62" i="20" s="1"/>
  <c r="DB68" i="20"/>
  <c r="DE68" i="20" s="1"/>
  <c r="DB62" i="20"/>
  <c r="DC65" i="20"/>
  <c r="DD63" i="20"/>
  <c r="DB67" i="20"/>
  <c r="DC70" i="20"/>
  <c r="DK61" i="20"/>
  <c r="DL61" i="20" s="1"/>
  <c r="DA63" i="20"/>
  <c r="DK70" i="25"/>
  <c r="DL70" i="25" s="1"/>
  <c r="DH69" i="25"/>
  <c r="DI69" i="25" s="1"/>
  <c r="DH68" i="25"/>
  <c r="DI68" i="25" s="1"/>
  <c r="DH67" i="25"/>
  <c r="DI67" i="25" s="1"/>
  <c r="DH66" i="25"/>
  <c r="DI66" i="25" s="1"/>
  <c r="DK65" i="25"/>
  <c r="DL65" i="25" s="1"/>
  <c r="DA61" i="25"/>
  <c r="DH70" i="25"/>
  <c r="DI70" i="25" s="1"/>
  <c r="DD69" i="25"/>
  <c r="DD68" i="25"/>
  <c r="DD67" i="25"/>
  <c r="DD66" i="25"/>
  <c r="DH65" i="25"/>
  <c r="DI65" i="25" s="1"/>
  <c r="DK64" i="25"/>
  <c r="DL64" i="25" s="1"/>
  <c r="DK63" i="25"/>
  <c r="DL63" i="25" s="1"/>
  <c r="DD70" i="25"/>
  <c r="DC69" i="25"/>
  <c r="DC68" i="25"/>
  <c r="DC67" i="25"/>
  <c r="DC66" i="25"/>
  <c r="DD65" i="25"/>
  <c r="DH64" i="25"/>
  <c r="DI64" i="25" s="1"/>
  <c r="DH63" i="25"/>
  <c r="DI63" i="25" s="1"/>
  <c r="DK62" i="25"/>
  <c r="DL62" i="25" s="1"/>
  <c r="DC70" i="25"/>
  <c r="DB69" i="25"/>
  <c r="DE69" i="25" s="1"/>
  <c r="DB68" i="25"/>
  <c r="DE68" i="25" s="1"/>
  <c r="DB67" i="25"/>
  <c r="DB66" i="25"/>
  <c r="DC65" i="25"/>
  <c r="DD64" i="25"/>
  <c r="DD63" i="25"/>
  <c r="DH62" i="25"/>
  <c r="DI62" i="25" s="1"/>
  <c r="DK61" i="25"/>
  <c r="DL61" i="25" s="1"/>
  <c r="DB70" i="25"/>
  <c r="DE70" i="25" s="1"/>
  <c r="DA69" i="25"/>
  <c r="DA68" i="25"/>
  <c r="DA67" i="25"/>
  <c r="DA66" i="25"/>
  <c r="DB65" i="25"/>
  <c r="DC64" i="25"/>
  <c r="DC63" i="25"/>
  <c r="DD62" i="25"/>
  <c r="DH61" i="25"/>
  <c r="DI61" i="25" s="1"/>
  <c r="DA70" i="25"/>
  <c r="DA65" i="25"/>
  <c r="DB64" i="25"/>
  <c r="DB63" i="25"/>
  <c r="DC62" i="25"/>
  <c r="DD61" i="25"/>
  <c r="DA64" i="25"/>
  <c r="DA63" i="25"/>
  <c r="DB62" i="25"/>
  <c r="DC61" i="25"/>
  <c r="DK67" i="25"/>
  <c r="DL67" i="25" s="1"/>
  <c r="DK69" i="25"/>
  <c r="DL69" i="25" s="1"/>
  <c r="DK66" i="25"/>
  <c r="DL66" i="25" s="1"/>
  <c r="DB61" i="25"/>
  <c r="DK68" i="25"/>
  <c r="DL68" i="25" s="1"/>
  <c r="DA62" i="25"/>
  <c r="DB70" i="22"/>
  <c r="DE70" i="22" s="1"/>
  <c r="DA69" i="22"/>
  <c r="DA68" i="22"/>
  <c r="DA67" i="22"/>
  <c r="DA66" i="22"/>
  <c r="DB65" i="22"/>
  <c r="DC64" i="22"/>
  <c r="DC63" i="22"/>
  <c r="DD62" i="22"/>
  <c r="DH61" i="22"/>
  <c r="DI61" i="22" s="1"/>
  <c r="DA70" i="22"/>
  <c r="DA65" i="22"/>
  <c r="DB64" i="22"/>
  <c r="DB63" i="22"/>
  <c r="DC62" i="22"/>
  <c r="DD61" i="22"/>
  <c r="DA64" i="22"/>
  <c r="DA63" i="22"/>
  <c r="DB62" i="22"/>
  <c r="DC61" i="22"/>
  <c r="DK69" i="22"/>
  <c r="DL69" i="22" s="1"/>
  <c r="DK68" i="22"/>
  <c r="DL68" i="22" s="1"/>
  <c r="DK67" i="22"/>
  <c r="DL67" i="22" s="1"/>
  <c r="DK66" i="22"/>
  <c r="DL66" i="22" s="1"/>
  <c r="DA62" i="22"/>
  <c r="DB61" i="22"/>
  <c r="DD68" i="22"/>
  <c r="DB67" i="22"/>
  <c r="DD63" i="22"/>
  <c r="DH69" i="22"/>
  <c r="DI69" i="22" s="1"/>
  <c r="DC68" i="22"/>
  <c r="DK64" i="22"/>
  <c r="DL64" i="22" s="1"/>
  <c r="DK61" i="22"/>
  <c r="DL61" i="22" s="1"/>
  <c r="DD69" i="22"/>
  <c r="DB68" i="22"/>
  <c r="DE68" i="22" s="1"/>
  <c r="DK65" i="22"/>
  <c r="DL65" i="22" s="1"/>
  <c r="DH64" i="22"/>
  <c r="DI64" i="22" s="1"/>
  <c r="DA61" i="22"/>
  <c r="DC69" i="22"/>
  <c r="DH66" i="22"/>
  <c r="DI66" i="22" s="1"/>
  <c r="DH65" i="22"/>
  <c r="DI65" i="22" s="1"/>
  <c r="DD64" i="22"/>
  <c r="DK70" i="22"/>
  <c r="DL70" i="22" s="1"/>
  <c r="DB69" i="22"/>
  <c r="DE69" i="22" s="1"/>
  <c r="DD66" i="22"/>
  <c r="DD65" i="22"/>
  <c r="DK62" i="22"/>
  <c r="DL62" i="22" s="1"/>
  <c r="DH70" i="22"/>
  <c r="DI70" i="22" s="1"/>
  <c r="DH67" i="22"/>
  <c r="DI67" i="22" s="1"/>
  <c r="DC66" i="22"/>
  <c r="DC65" i="22"/>
  <c r="DH62" i="22"/>
  <c r="DI62" i="22" s="1"/>
  <c r="DB66" i="22"/>
  <c r="DH68" i="22"/>
  <c r="DI68" i="22" s="1"/>
  <c r="DK63" i="22"/>
  <c r="DL63" i="22" s="1"/>
  <c r="DH63" i="22"/>
  <c r="DI63" i="22" s="1"/>
  <c r="DD70" i="22"/>
  <c r="DD67" i="22"/>
  <c r="DC67" i="22"/>
  <c r="DC70" i="22"/>
  <c r="DD15" i="22"/>
  <c r="D7" i="32"/>
  <c r="I7" i="32" s="1"/>
  <c r="DC49" i="7"/>
  <c r="DB48" i="7"/>
  <c r="DE48" i="7" s="1"/>
  <c r="DB47" i="7"/>
  <c r="DE47" i="7" s="1"/>
  <c r="DB46" i="7"/>
  <c r="DB45" i="7"/>
  <c r="DC44" i="7"/>
  <c r="DD43" i="7"/>
  <c r="DD42" i="7"/>
  <c r="DH41" i="7"/>
  <c r="DI41" i="7" s="1"/>
  <c r="DK40" i="7"/>
  <c r="DL40" i="7" s="1"/>
  <c r="DB49" i="7"/>
  <c r="DE49" i="7" s="1"/>
  <c r="DA48" i="7"/>
  <c r="DA47" i="7"/>
  <c r="DA46" i="7"/>
  <c r="DA45" i="7"/>
  <c r="DB44" i="7"/>
  <c r="DC43" i="7"/>
  <c r="DC42" i="7"/>
  <c r="DD41" i="7"/>
  <c r="DH40" i="7"/>
  <c r="DI40" i="7" s="1"/>
  <c r="DA49" i="7"/>
  <c r="DA44" i="7"/>
  <c r="DB43" i="7"/>
  <c r="DB42" i="7"/>
  <c r="DC41" i="7"/>
  <c r="DD40" i="7"/>
  <c r="DA43" i="7"/>
  <c r="DA42" i="7"/>
  <c r="DB41" i="7"/>
  <c r="DC40" i="7"/>
  <c r="DK48" i="7"/>
  <c r="DL48" i="7" s="1"/>
  <c r="DK47" i="7"/>
  <c r="DL47" i="7" s="1"/>
  <c r="DK46" i="7"/>
  <c r="DL46" i="7" s="1"/>
  <c r="DK45" i="7"/>
  <c r="DL45" i="7" s="1"/>
  <c r="DA41" i="7"/>
  <c r="DB40" i="7"/>
  <c r="DK49" i="7"/>
  <c r="DL49" i="7" s="1"/>
  <c r="DH48" i="7"/>
  <c r="DI48" i="7" s="1"/>
  <c r="DH47" i="7"/>
  <c r="DI47" i="7" s="1"/>
  <c r="DH46" i="7"/>
  <c r="DI46" i="7" s="1"/>
  <c r="DH45" i="7"/>
  <c r="DI45" i="7" s="1"/>
  <c r="DK44" i="7"/>
  <c r="DL44" i="7" s="1"/>
  <c r="DA40" i="7"/>
  <c r="DH49" i="7"/>
  <c r="DI49" i="7" s="1"/>
  <c r="DD48" i="7"/>
  <c r="DD47" i="7"/>
  <c r="DD46" i="7"/>
  <c r="DD45" i="7"/>
  <c r="DH44" i="7"/>
  <c r="DI44" i="7" s="1"/>
  <c r="DK43" i="7"/>
  <c r="DL43" i="7" s="1"/>
  <c r="DK42" i="7"/>
  <c r="DL42" i="7" s="1"/>
  <c r="DC48" i="7"/>
  <c r="DK41" i="7"/>
  <c r="DL41" i="7" s="1"/>
  <c r="DC45" i="7"/>
  <c r="DH43" i="7"/>
  <c r="DI43" i="7" s="1"/>
  <c r="DC47" i="7"/>
  <c r="DH42" i="7"/>
  <c r="DI42" i="7" s="1"/>
  <c r="DD44" i="7"/>
  <c r="DD49" i="7"/>
  <c r="DC46" i="7"/>
  <c r="DD15" i="14"/>
  <c r="D7" i="13"/>
  <c r="AI81" i="22"/>
  <c r="C85" i="32"/>
  <c r="AI81" i="7"/>
  <c r="AI60" i="25"/>
  <c r="C62" i="35"/>
  <c r="DD99" i="20"/>
  <c r="D99" i="30"/>
  <c r="U112" i="30" s="1"/>
  <c r="U113" i="30" s="1"/>
  <c r="T114" i="30" s="1"/>
  <c r="H99" i="30" s="1"/>
  <c r="AI102" i="28"/>
  <c r="C108" i="38"/>
  <c r="DD99" i="22"/>
  <c r="D99" i="32"/>
  <c r="U112" i="32" s="1"/>
  <c r="U113" i="32" s="1"/>
  <c r="T114" i="32" s="1"/>
  <c r="H99" i="32" s="1"/>
  <c r="AI123" i="28"/>
  <c r="C131" i="38"/>
  <c r="DD120" i="20"/>
  <c r="D122" i="30"/>
  <c r="I122" i="30" s="1"/>
  <c r="DD78" i="20"/>
  <c r="D76" i="30"/>
  <c r="I76" i="30" s="1"/>
  <c r="AI81" i="27"/>
  <c r="C85" i="37"/>
  <c r="DC91" i="7"/>
  <c r="DB90" i="7"/>
  <c r="DE90" i="7" s="1"/>
  <c r="DB89" i="7"/>
  <c r="DE89" i="7" s="1"/>
  <c r="DB88" i="7"/>
  <c r="DB87" i="7"/>
  <c r="DC86" i="7"/>
  <c r="DD85" i="7"/>
  <c r="DD84" i="7"/>
  <c r="DH83" i="7"/>
  <c r="DI83" i="7" s="1"/>
  <c r="DK82" i="7"/>
  <c r="DL82" i="7" s="1"/>
  <c r="DB91" i="7"/>
  <c r="DE91" i="7" s="1"/>
  <c r="DA90" i="7"/>
  <c r="DA89" i="7"/>
  <c r="DA88" i="7"/>
  <c r="DA87" i="7"/>
  <c r="DB86" i="7"/>
  <c r="DC85" i="7"/>
  <c r="DC84" i="7"/>
  <c r="DD83" i="7"/>
  <c r="DH82" i="7"/>
  <c r="DI82" i="7" s="1"/>
  <c r="DA91" i="7"/>
  <c r="DA86" i="7"/>
  <c r="DB85" i="7"/>
  <c r="DB84" i="7"/>
  <c r="DC83" i="7"/>
  <c r="DD82" i="7"/>
  <c r="DA85" i="7"/>
  <c r="DA84" i="7"/>
  <c r="DB83" i="7"/>
  <c r="DC82" i="7"/>
  <c r="DK90" i="7"/>
  <c r="DL90" i="7" s="1"/>
  <c r="DK89" i="7"/>
  <c r="DL89" i="7" s="1"/>
  <c r="DK88" i="7"/>
  <c r="DL88" i="7" s="1"/>
  <c r="DK87" i="7"/>
  <c r="DL87" i="7" s="1"/>
  <c r="DA83" i="7"/>
  <c r="DB82" i="7"/>
  <c r="DK91" i="7"/>
  <c r="DL91" i="7" s="1"/>
  <c r="DH90" i="7"/>
  <c r="DI90" i="7" s="1"/>
  <c r="DH89" i="7"/>
  <c r="DI89" i="7" s="1"/>
  <c r="DH88" i="7"/>
  <c r="DI88" i="7" s="1"/>
  <c r="DH87" i="7"/>
  <c r="DI87" i="7" s="1"/>
  <c r="DK86" i="7"/>
  <c r="DL86" i="7" s="1"/>
  <c r="DA82" i="7"/>
  <c r="DH91" i="7"/>
  <c r="DI91" i="7" s="1"/>
  <c r="DD90" i="7"/>
  <c r="DD89" i="7"/>
  <c r="DD88" i="7"/>
  <c r="DD87" i="7"/>
  <c r="DH86" i="7"/>
  <c r="DI86" i="7" s="1"/>
  <c r="DK85" i="7"/>
  <c r="DL85" i="7" s="1"/>
  <c r="DK84" i="7"/>
  <c r="DL84" i="7" s="1"/>
  <c r="DC89" i="7"/>
  <c r="DH84" i="7"/>
  <c r="DI84" i="7" s="1"/>
  <c r="DD86" i="7"/>
  <c r="DC87" i="7"/>
  <c r="DD91" i="7"/>
  <c r="DC88" i="7"/>
  <c r="DC90" i="7"/>
  <c r="DK83" i="7"/>
  <c r="DL83" i="7" s="1"/>
  <c r="DH85" i="7"/>
  <c r="DI85" i="7" s="1"/>
  <c r="DK90" i="14"/>
  <c r="DL90" i="14" s="1"/>
  <c r="DK89" i="14"/>
  <c r="DL89" i="14" s="1"/>
  <c r="DK88" i="14"/>
  <c r="DL88" i="14" s="1"/>
  <c r="DK87" i="14"/>
  <c r="DL87" i="14" s="1"/>
  <c r="DA83" i="14"/>
  <c r="DB82" i="14"/>
  <c r="DK91" i="14"/>
  <c r="DL91" i="14" s="1"/>
  <c r="DH90" i="14"/>
  <c r="DI90" i="14" s="1"/>
  <c r="DH89" i="14"/>
  <c r="DI89" i="14" s="1"/>
  <c r="DH88" i="14"/>
  <c r="DI88" i="14" s="1"/>
  <c r="DH87" i="14"/>
  <c r="DI87" i="14" s="1"/>
  <c r="DK86" i="14"/>
  <c r="DL86" i="14" s="1"/>
  <c r="DA82" i="14"/>
  <c r="DH91" i="14"/>
  <c r="DI91" i="14" s="1"/>
  <c r="DD90" i="14"/>
  <c r="DD89" i="14"/>
  <c r="DD88" i="14"/>
  <c r="DD87" i="14"/>
  <c r="DH86" i="14"/>
  <c r="DI86" i="14" s="1"/>
  <c r="DK85" i="14"/>
  <c r="DL85" i="14" s="1"/>
  <c r="DK84" i="14"/>
  <c r="DL84" i="14" s="1"/>
  <c r="DD91" i="14"/>
  <c r="DC90" i="14"/>
  <c r="DC89" i="14"/>
  <c r="DC88" i="14"/>
  <c r="DC87" i="14"/>
  <c r="DD86" i="14"/>
  <c r="DH85" i="14"/>
  <c r="DI85" i="14" s="1"/>
  <c r="DH84" i="14"/>
  <c r="DI84" i="14" s="1"/>
  <c r="DK83" i="14"/>
  <c r="DL83" i="14" s="1"/>
  <c r="DC91" i="14"/>
  <c r="DB90" i="14"/>
  <c r="DE90" i="14" s="1"/>
  <c r="DB89" i="14"/>
  <c r="DE89" i="14" s="1"/>
  <c r="DB88" i="14"/>
  <c r="DB87" i="14"/>
  <c r="DC86" i="14"/>
  <c r="DD85" i="14"/>
  <c r="DD84" i="14"/>
  <c r="DH83" i="14"/>
  <c r="DI83" i="14" s="1"/>
  <c r="DK82" i="14"/>
  <c r="DL82" i="14" s="1"/>
  <c r="DB91" i="14"/>
  <c r="DE91" i="14" s="1"/>
  <c r="DA90" i="14"/>
  <c r="DA89" i="14"/>
  <c r="DA88" i="14"/>
  <c r="DA87" i="14"/>
  <c r="DB86" i="14"/>
  <c r="DC85" i="14"/>
  <c r="DC84" i="14"/>
  <c r="DD83" i="14"/>
  <c r="DH82" i="14"/>
  <c r="DI82" i="14" s="1"/>
  <c r="DA91" i="14"/>
  <c r="DA86" i="14"/>
  <c r="DB85" i="14"/>
  <c r="DB84" i="14"/>
  <c r="DC83" i="14"/>
  <c r="DD82" i="14"/>
  <c r="DA84" i="14"/>
  <c r="DC82" i="14"/>
  <c r="DB83" i="14"/>
  <c r="DA85" i="14"/>
  <c r="DK111" i="14"/>
  <c r="DL111" i="14" s="1"/>
  <c r="DK110" i="14"/>
  <c r="DL110" i="14" s="1"/>
  <c r="DK109" i="14"/>
  <c r="DL109" i="14" s="1"/>
  <c r="DK108" i="14"/>
  <c r="DL108" i="14" s="1"/>
  <c r="DA104" i="14"/>
  <c r="DB103" i="14"/>
  <c r="DB104" i="14"/>
  <c r="DK112" i="14"/>
  <c r="DL112" i="14" s="1"/>
  <c r="DH111" i="14"/>
  <c r="DI111" i="14" s="1"/>
  <c r="DH110" i="14"/>
  <c r="DI110" i="14" s="1"/>
  <c r="DH109" i="14"/>
  <c r="DI109" i="14" s="1"/>
  <c r="DH108" i="14"/>
  <c r="DI108" i="14" s="1"/>
  <c r="DK107" i="14"/>
  <c r="DL107" i="14" s="1"/>
  <c r="DA103" i="14"/>
  <c r="DA105" i="14"/>
  <c r="DH112" i="14"/>
  <c r="DI112" i="14" s="1"/>
  <c r="DD111" i="14"/>
  <c r="DD110" i="14"/>
  <c r="DD109" i="14"/>
  <c r="DD108" i="14"/>
  <c r="DH107" i="14"/>
  <c r="DI107" i="14" s="1"/>
  <c r="DK106" i="14"/>
  <c r="DL106" i="14" s="1"/>
  <c r="DK105" i="14"/>
  <c r="DL105" i="14" s="1"/>
  <c r="DA106" i="14"/>
  <c r="DD112" i="14"/>
  <c r="DC111" i="14"/>
  <c r="DC110" i="14"/>
  <c r="DC109" i="14"/>
  <c r="DC108" i="14"/>
  <c r="DD107" i="14"/>
  <c r="DH106" i="14"/>
  <c r="DI106" i="14" s="1"/>
  <c r="DH105" i="14"/>
  <c r="DI105" i="14" s="1"/>
  <c r="DK104" i="14"/>
  <c r="DL104" i="14" s="1"/>
  <c r="DC112" i="14"/>
  <c r="DB111" i="14"/>
  <c r="DE111" i="14" s="1"/>
  <c r="DB110" i="14"/>
  <c r="DE110" i="14" s="1"/>
  <c r="DB109" i="14"/>
  <c r="DB108" i="14"/>
  <c r="DC107" i="14"/>
  <c r="DD106" i="14"/>
  <c r="DD105" i="14"/>
  <c r="DH104" i="14"/>
  <c r="DI104" i="14" s="1"/>
  <c r="DK103" i="14"/>
  <c r="DL103" i="14" s="1"/>
  <c r="DB112" i="14"/>
  <c r="DE112" i="14" s="1"/>
  <c r="DA111" i="14"/>
  <c r="DA110" i="14"/>
  <c r="DA109" i="14"/>
  <c r="DA108" i="14"/>
  <c r="DB107" i="14"/>
  <c r="DC106" i="14"/>
  <c r="DC105" i="14"/>
  <c r="DD104" i="14"/>
  <c r="DH103" i="14"/>
  <c r="DI103" i="14" s="1"/>
  <c r="DC103" i="14"/>
  <c r="DA112" i="14"/>
  <c r="DA107" i="14"/>
  <c r="DB106" i="14"/>
  <c r="DB105" i="14"/>
  <c r="DC104" i="14"/>
  <c r="DD103" i="14"/>
  <c r="H153" i="36"/>
  <c r="L153" i="36" s="1"/>
  <c r="DD15" i="7"/>
  <c r="H84" i="31"/>
  <c r="L84" i="31" s="1"/>
  <c r="H15" i="31"/>
  <c r="L15" i="31" s="1"/>
  <c r="H60" i="31"/>
  <c r="L60" i="31" s="1"/>
  <c r="BD19" i="14"/>
  <c r="BB61" i="14"/>
  <c r="AT61" i="14"/>
  <c r="BA61" i="14"/>
  <c r="H17" i="7"/>
  <c r="AZ61" i="14"/>
  <c r="AX61" i="14"/>
  <c r="BC61" i="14"/>
  <c r="AW61" i="14"/>
  <c r="BG61" i="14"/>
  <c r="AU61" i="14"/>
  <c r="BE61" i="14"/>
  <c r="BF61" i="14"/>
  <c r="BH62" i="7"/>
  <c r="BB62" i="7"/>
  <c r="AW62" i="7"/>
  <c r="BD62" i="7"/>
  <c r="AU62" i="7"/>
  <c r="BF62" i="7"/>
  <c r="BA62" i="7"/>
  <c r="BC62" i="7"/>
  <c r="BE62" i="7"/>
  <c r="AS62" i="7"/>
  <c r="AX62" i="7"/>
  <c r="AY62" i="7"/>
  <c r="BG62" i="7"/>
  <c r="BI62" i="7"/>
  <c r="AZ62" i="7"/>
  <c r="AT62" i="7"/>
  <c r="BD61" i="14"/>
  <c r="AS61" i="14"/>
  <c r="AU63" i="14"/>
  <c r="AT40" i="14"/>
  <c r="AW40" i="14"/>
  <c r="BB63" i="14"/>
  <c r="BA63" i="14"/>
  <c r="BG40" i="14"/>
  <c r="BJ63" i="14"/>
  <c r="BH63" i="14"/>
  <c r="BD40" i="14"/>
  <c r="BE40" i="14"/>
  <c r="BD63" i="14"/>
  <c r="AS63" i="14"/>
  <c r="BA40" i="14"/>
  <c r="AZ63" i="14"/>
  <c r="AY63" i="14"/>
  <c r="BC40" i="14"/>
  <c r="BH40" i="14"/>
  <c r="BE63" i="14"/>
  <c r="AT63" i="14"/>
  <c r="BG63" i="14"/>
  <c r="AZ40" i="14"/>
  <c r="BB40" i="14"/>
  <c r="BK63" i="14"/>
  <c r="AX63" i="14"/>
  <c r="BF63" i="14"/>
  <c r="AU40" i="14"/>
  <c r="BF40" i="14"/>
  <c r="BC63" i="14"/>
  <c r="AW63" i="14"/>
  <c r="BI63" i="14"/>
  <c r="BI62" i="14"/>
  <c r="AZ62" i="14"/>
  <c r="BE62" i="14"/>
  <c r="AY62" i="14"/>
  <c r="BC62" i="14"/>
  <c r="BK62" i="14"/>
  <c r="AW62" i="14"/>
  <c r="BH62" i="14"/>
  <c r="AU62" i="14"/>
  <c r="AT62" i="14"/>
  <c r="BG62" i="14"/>
  <c r="BB62" i="14"/>
  <c r="BD62" i="14"/>
  <c r="AS62" i="14"/>
  <c r="BJ62" i="14"/>
  <c r="AX62" i="14"/>
  <c r="BA62" i="14"/>
  <c r="BF62" i="14"/>
  <c r="AE19" i="14"/>
  <c r="AO62" i="14"/>
  <c r="AO63" i="14"/>
  <c r="AS41" i="14"/>
  <c r="AZ41" i="14"/>
  <c r="BD41" i="14"/>
  <c r="BJ41" i="14"/>
  <c r="BB41" i="14"/>
  <c r="BG41" i="14"/>
  <c r="AW41" i="14"/>
  <c r="BK41" i="14"/>
  <c r="AT41" i="14"/>
  <c r="BF41" i="14"/>
  <c r="BC41" i="14"/>
  <c r="BH41" i="14"/>
  <c r="AX41" i="14"/>
  <c r="AU41" i="14"/>
  <c r="BE41" i="14"/>
  <c r="BI41" i="14"/>
  <c r="AY41" i="14"/>
  <c r="BA41" i="14"/>
  <c r="BK20" i="14"/>
  <c r="AU20" i="14"/>
  <c r="AW20" i="14"/>
  <c r="AY20" i="14"/>
  <c r="BD20" i="14"/>
  <c r="AT20" i="14"/>
  <c r="BI20" i="14"/>
  <c r="AS20" i="14"/>
  <c r="BB20" i="14"/>
  <c r="AZ20" i="14"/>
  <c r="AX20" i="14"/>
  <c r="BC20" i="14"/>
  <c r="BG20" i="14"/>
  <c r="BJ20" i="14"/>
  <c r="AV20" i="14"/>
  <c r="BF20" i="14"/>
  <c r="BA20" i="14"/>
  <c r="BH20" i="14"/>
  <c r="BE20" i="14"/>
  <c r="AM20" i="14"/>
  <c r="AI20" i="14"/>
  <c r="AD20" i="14"/>
  <c r="AH20" i="14"/>
  <c r="AL20" i="14"/>
  <c r="AG20" i="14"/>
  <c r="AE20" i="14"/>
  <c r="AF20" i="14"/>
  <c r="AK20" i="14"/>
  <c r="AJ20" i="14"/>
  <c r="BK40" i="14"/>
  <c r="BJ40" i="14"/>
  <c r="AU19" i="14"/>
  <c r="AV60" i="14"/>
  <c r="AF130" i="6" s="1"/>
  <c r="BI61" i="14"/>
  <c r="BJ61" i="14"/>
  <c r="AY40" i="14"/>
  <c r="BK61" i="14"/>
  <c r="BI40" i="14"/>
  <c r="AV39" i="14"/>
  <c r="AO60" i="14"/>
  <c r="AO61" i="14"/>
  <c r="AZ19" i="14"/>
  <c r="AT19" i="14"/>
  <c r="BF19" i="14"/>
  <c r="BH19" i="14"/>
  <c r="BB19" i="14"/>
  <c r="AV19" i="14"/>
  <c r="AW19" i="14"/>
  <c r="AS19" i="14"/>
  <c r="BG61" i="7"/>
  <c r="BB61" i="7"/>
  <c r="AT61" i="7"/>
  <c r="AX61" i="7"/>
  <c r="AZ61" i="7"/>
  <c r="BF61" i="7"/>
  <c r="BA61" i="7"/>
  <c r="BH61" i="7"/>
  <c r="AS61" i="7"/>
  <c r="AY61" i="7"/>
  <c r="BD61" i="7"/>
  <c r="BI61" i="7"/>
  <c r="AU61" i="7"/>
  <c r="AW61" i="7"/>
  <c r="BC61" i="7"/>
  <c r="BE61" i="7"/>
  <c r="AI19" i="14"/>
  <c r="AX19" i="14"/>
  <c r="BK19" i="14"/>
  <c r="BA19" i="14"/>
  <c r="BC19" i="14"/>
  <c r="AD19" i="14"/>
  <c r="AJ19" i="14"/>
  <c r="AM19" i="14"/>
  <c r="BG19" i="14"/>
  <c r="AY19" i="14"/>
  <c r="BE19" i="14"/>
  <c r="AR18" i="14"/>
  <c r="AQ18" i="14" s="1"/>
  <c r="BI19" i="14"/>
  <c r="BJ19" i="14"/>
  <c r="AG19" i="14"/>
  <c r="AF19" i="14"/>
  <c r="AK19" i="14"/>
  <c r="AL19" i="14"/>
  <c r="AH19" i="14"/>
  <c r="BE43" i="7"/>
  <c r="AW43" i="7"/>
  <c r="BD43" i="7"/>
  <c r="BC43" i="7"/>
  <c r="AU43" i="7"/>
  <c r="BB43" i="7"/>
  <c r="AT43" i="7"/>
  <c r="BI43" i="7"/>
  <c r="AS43" i="7"/>
  <c r="BA43" i="7"/>
  <c r="AY43" i="7"/>
  <c r="BH43" i="7"/>
  <c r="AX43" i="7"/>
  <c r="BG43" i="7"/>
  <c r="BF43" i="7"/>
  <c r="AZ43" i="7"/>
  <c r="AD40" i="7"/>
  <c r="AE40" i="7"/>
  <c r="AH40" i="7"/>
  <c r="AF40" i="7"/>
  <c r="BD42" i="7"/>
  <c r="BC42" i="7"/>
  <c r="AU42" i="7"/>
  <c r="BB42" i="7"/>
  <c r="AT42" i="7"/>
  <c r="BI42" i="7"/>
  <c r="BA42" i="7"/>
  <c r="AS42" i="7"/>
  <c r="AZ42" i="7"/>
  <c r="AY42" i="7"/>
  <c r="BH42" i="7"/>
  <c r="AX42" i="7"/>
  <c r="AW42" i="7"/>
  <c r="BE42" i="7"/>
  <c r="BG42" i="7"/>
  <c r="BF42" i="7"/>
  <c r="AH48" i="7"/>
  <c r="AD48" i="7"/>
  <c r="AF48" i="7"/>
  <c r="AE48" i="7"/>
  <c r="BE47" i="7"/>
  <c r="AW47" i="7"/>
  <c r="BI47" i="7"/>
  <c r="BA47" i="7"/>
  <c r="AS47" i="7"/>
  <c r="BB47" i="7"/>
  <c r="AZ47" i="7"/>
  <c r="AY47" i="7"/>
  <c r="BH47" i="7"/>
  <c r="AX47" i="7"/>
  <c r="BF47" i="7"/>
  <c r="AU47" i="7"/>
  <c r="BD47" i="7"/>
  <c r="BC47" i="7"/>
  <c r="BG47" i="7"/>
  <c r="AT47" i="7"/>
  <c r="AH45" i="7"/>
  <c r="AF45" i="7"/>
  <c r="AE45" i="7"/>
  <c r="AD45" i="7"/>
  <c r="BB40" i="7"/>
  <c r="AT40" i="7"/>
  <c r="BI40" i="7"/>
  <c r="BA40" i="7"/>
  <c r="AS40" i="7"/>
  <c r="BH40" i="7"/>
  <c r="AX40" i="7"/>
  <c r="BG40" i="7"/>
  <c r="AW40" i="7"/>
  <c r="BD40" i="7"/>
  <c r="AZ40" i="7"/>
  <c r="BF40" i="7"/>
  <c r="BE40" i="7"/>
  <c r="AU40" i="7"/>
  <c r="BC40" i="7"/>
  <c r="AY40" i="7"/>
  <c r="BD46" i="7"/>
  <c r="BB46" i="7"/>
  <c r="AS46" i="7"/>
  <c r="BA46" i="7"/>
  <c r="BI46" i="7"/>
  <c r="AZ46" i="7"/>
  <c r="BH46" i="7"/>
  <c r="AY46" i="7"/>
  <c r="BF46" i="7"/>
  <c r="AW46" i="7"/>
  <c r="AT46" i="7"/>
  <c r="BE46" i="7"/>
  <c r="BG46" i="7"/>
  <c r="BC46" i="7"/>
  <c r="AX46" i="7"/>
  <c r="AU46" i="7"/>
  <c r="AE41" i="7"/>
  <c r="AD41" i="7"/>
  <c r="AF41" i="7"/>
  <c r="AH41" i="7"/>
  <c r="AH44" i="7"/>
  <c r="AF44" i="7"/>
  <c r="AE44" i="7"/>
  <c r="AD44" i="7"/>
  <c r="BG45" i="7"/>
  <c r="AY45" i="7"/>
  <c r="BF45" i="7"/>
  <c r="AX45" i="7"/>
  <c r="BE45" i="7"/>
  <c r="AW45" i="7"/>
  <c r="BD45" i="7"/>
  <c r="AU45" i="7"/>
  <c r="AT45" i="7"/>
  <c r="BI45" i="7"/>
  <c r="AS45" i="7"/>
  <c r="AZ45" i="7"/>
  <c r="BH45" i="7"/>
  <c r="BC45" i="7"/>
  <c r="BB45" i="7"/>
  <c r="BA45" i="7"/>
  <c r="AH47" i="7"/>
  <c r="AF47" i="7"/>
  <c r="AE47" i="7"/>
  <c r="AD47" i="7"/>
  <c r="BF48" i="7"/>
  <c r="AX48" i="7"/>
  <c r="BB48" i="7"/>
  <c r="AT48" i="7"/>
  <c r="BE48" i="7"/>
  <c r="AU48" i="7"/>
  <c r="BD48" i="7"/>
  <c r="AS48" i="7"/>
  <c r="BC48" i="7"/>
  <c r="BA48" i="7"/>
  <c r="BI48" i="7"/>
  <c r="AY48" i="7"/>
  <c r="AW48" i="7"/>
  <c r="BH48" i="7"/>
  <c r="BG48" i="7"/>
  <c r="AZ48" i="7"/>
  <c r="AF43" i="7"/>
  <c r="AE43" i="7"/>
  <c r="AD43" i="7"/>
  <c r="AH43" i="7"/>
  <c r="BF44" i="7"/>
  <c r="AX44" i="7"/>
  <c r="BE44" i="7"/>
  <c r="AW44" i="7"/>
  <c r="BD44" i="7"/>
  <c r="BC44" i="7"/>
  <c r="AU44" i="7"/>
  <c r="BB44" i="7"/>
  <c r="BA44" i="7"/>
  <c r="AT44" i="7"/>
  <c r="BG44" i="7"/>
  <c r="AZ44" i="7"/>
  <c r="AY44" i="7"/>
  <c r="BI44" i="7"/>
  <c r="AS44" i="7"/>
  <c r="BH44" i="7"/>
  <c r="AF42" i="7"/>
  <c r="AE42" i="7"/>
  <c r="AD42" i="7"/>
  <c r="AH42" i="7"/>
  <c r="BC41" i="7"/>
  <c r="AU41" i="7"/>
  <c r="BB41" i="7"/>
  <c r="AT41" i="7"/>
  <c r="BA41" i="7"/>
  <c r="AS41" i="7"/>
  <c r="AZ41" i="7"/>
  <c r="BG41" i="7"/>
  <c r="BD41" i="7"/>
  <c r="BI41" i="7"/>
  <c r="AY41" i="7"/>
  <c r="BH41" i="7"/>
  <c r="AX41" i="7"/>
  <c r="AW41" i="7"/>
  <c r="BF41" i="7"/>
  <c r="BE41" i="7"/>
  <c r="AH46" i="7"/>
  <c r="AF46" i="7"/>
  <c r="AE46" i="7"/>
  <c r="AD46" i="7"/>
  <c r="G16" i="7"/>
  <c r="S19" i="7"/>
  <c r="Q19" i="7"/>
  <c r="CT77" i="6"/>
  <c r="CT78" i="6" s="1"/>
  <c r="CT79" i="6" s="1"/>
  <c r="CT101" i="6"/>
  <c r="BN17" i="7"/>
  <c r="DE87" i="20" l="1"/>
  <c r="AI43" i="7"/>
  <c r="AI47" i="7"/>
  <c r="AI44" i="7"/>
  <c r="AI48" i="7"/>
  <c r="AI42" i="7"/>
  <c r="AI41" i="7"/>
  <c r="AI45" i="7"/>
  <c r="AI46" i="7"/>
  <c r="BJ46" i="7"/>
  <c r="BJ47" i="7"/>
  <c r="AI65" i="7"/>
  <c r="AI67" i="7"/>
  <c r="AI66" i="7"/>
  <c r="AI69" i="7"/>
  <c r="AI68" i="7"/>
  <c r="AV46" i="7"/>
  <c r="AR46" i="7" s="1"/>
  <c r="AV47" i="7"/>
  <c r="AR47" i="7" s="1"/>
  <c r="BJ44" i="7"/>
  <c r="AV48" i="7"/>
  <c r="AR48" i="7" s="1"/>
  <c r="AV45" i="7"/>
  <c r="AR45" i="7" s="1"/>
  <c r="AV44" i="7"/>
  <c r="AR44" i="7" s="1"/>
  <c r="AQ44" i="7" s="1"/>
  <c r="BJ45" i="7"/>
  <c r="BJ48" i="7"/>
  <c r="AV66" i="7"/>
  <c r="AR66" i="7" s="1"/>
  <c r="AQ66" i="7" s="1"/>
  <c r="AV69" i="7"/>
  <c r="AR69" i="7" s="1"/>
  <c r="AQ69" i="7" s="1"/>
  <c r="BJ66" i="7"/>
  <c r="BJ69" i="7"/>
  <c r="AV67" i="7"/>
  <c r="AR67" i="7" s="1"/>
  <c r="AQ67" i="7" s="1"/>
  <c r="BJ68" i="7"/>
  <c r="BJ67" i="7"/>
  <c r="AV68" i="7"/>
  <c r="AR68" i="7" s="1"/>
  <c r="AQ68" i="7" s="1"/>
  <c r="AV63" i="7"/>
  <c r="AR63" i="7" s="1"/>
  <c r="AQ63" i="7" s="1"/>
  <c r="AA63" i="7" s="1"/>
  <c r="AV65" i="7"/>
  <c r="AR65" i="7" s="1"/>
  <c r="AQ65" i="7" s="1"/>
  <c r="BJ63" i="7"/>
  <c r="BJ65" i="7"/>
  <c r="AI64" i="7"/>
  <c r="AI62" i="7"/>
  <c r="AI63" i="7"/>
  <c r="BJ41" i="7"/>
  <c r="BJ43" i="7"/>
  <c r="BJ40" i="7"/>
  <c r="AR60" i="7"/>
  <c r="AQ60" i="7" s="1"/>
  <c r="AA60" i="7" s="1"/>
  <c r="AV62" i="7"/>
  <c r="AR62" i="7" s="1"/>
  <c r="BJ62" i="7"/>
  <c r="AV61" i="7"/>
  <c r="AR61" i="7" s="1"/>
  <c r="BJ61" i="7"/>
  <c r="AV64" i="7"/>
  <c r="AR64" i="7" s="1"/>
  <c r="AQ64" i="7" s="1"/>
  <c r="BJ64" i="7"/>
  <c r="DE86" i="7"/>
  <c r="DE20" i="21"/>
  <c r="CT10" i="6"/>
  <c r="CT11" i="6" s="1"/>
  <c r="CT80" i="6"/>
  <c r="CT81" i="6" s="1"/>
  <c r="CT82" i="6" s="1"/>
  <c r="CT35" i="6"/>
  <c r="DE61" i="14"/>
  <c r="A121" i="10"/>
  <c r="AG122" i="10"/>
  <c r="A122" i="11"/>
  <c r="AG123" i="11"/>
  <c r="AO54" i="14"/>
  <c r="AO53" i="14"/>
  <c r="AV40" i="7"/>
  <c r="AR40" i="7" s="1"/>
  <c r="AR39" i="7"/>
  <c r="AQ39" i="7" s="1"/>
  <c r="AV43" i="7"/>
  <c r="AR43" i="7" s="1"/>
  <c r="AV41" i="7"/>
  <c r="AR41" i="7" s="1"/>
  <c r="DE82" i="7"/>
  <c r="DE130" i="7"/>
  <c r="DE128" i="14"/>
  <c r="DE103" i="22"/>
  <c r="DE124" i="7"/>
  <c r="DE148" i="25"/>
  <c r="DE105" i="14"/>
  <c r="DE62" i="28"/>
  <c r="DE127" i="7"/>
  <c r="DE151" i="14"/>
  <c r="DE106" i="7"/>
  <c r="DE150" i="7"/>
  <c r="DE103" i="7"/>
  <c r="DE104" i="7"/>
  <c r="DE146" i="7"/>
  <c r="DE151" i="25"/>
  <c r="DE147" i="7"/>
  <c r="DE42" i="23"/>
  <c r="DE62" i="22"/>
  <c r="DE125" i="7"/>
  <c r="DE83" i="14"/>
  <c r="DE129" i="7"/>
  <c r="DE62" i="27"/>
  <c r="DE124" i="14"/>
  <c r="DE148" i="14"/>
  <c r="DE130" i="14"/>
  <c r="A17" i="7"/>
  <c r="H21" i="7"/>
  <c r="DE127" i="14"/>
  <c r="DE45" i="28"/>
  <c r="DE62" i="7"/>
  <c r="DE108" i="7"/>
  <c r="DE148" i="7"/>
  <c r="DE150" i="14"/>
  <c r="DA134" i="7"/>
  <c r="DE40" i="20"/>
  <c r="DA113" i="7"/>
  <c r="DA134" i="14"/>
  <c r="DE125" i="14"/>
  <c r="DE104" i="20"/>
  <c r="DE128" i="7"/>
  <c r="DE149" i="7"/>
  <c r="DE147" i="14"/>
  <c r="DE109" i="7"/>
  <c r="DE85" i="14"/>
  <c r="DE151" i="26"/>
  <c r="DE129" i="14"/>
  <c r="DE145" i="14"/>
  <c r="DE107" i="7"/>
  <c r="DE126" i="14"/>
  <c r="DA155" i="14"/>
  <c r="DE146" i="14"/>
  <c r="DE107" i="14"/>
  <c r="DE85" i="7"/>
  <c r="DE43" i="26"/>
  <c r="DA155" i="7"/>
  <c r="DE149" i="14"/>
  <c r="DE45" i="25"/>
  <c r="DE46" i="27"/>
  <c r="DE104" i="14"/>
  <c r="DE87" i="14"/>
  <c r="DE109" i="14"/>
  <c r="DE108" i="14"/>
  <c r="DE83" i="7"/>
  <c r="DE126" i="7"/>
  <c r="DE87" i="7"/>
  <c r="DA92" i="7"/>
  <c r="DE88" i="7"/>
  <c r="DA113" i="14"/>
  <c r="DE84" i="7"/>
  <c r="DE88" i="14"/>
  <c r="DE84" i="14"/>
  <c r="DE86" i="14"/>
  <c r="DE82" i="14"/>
  <c r="DE106" i="14"/>
  <c r="DA92" i="14"/>
  <c r="DE105" i="7"/>
  <c r="DE145" i="7"/>
  <c r="DE151" i="7"/>
  <c r="DE103" i="14"/>
  <c r="BK39" i="14"/>
  <c r="M31" i="13" s="1"/>
  <c r="G31" i="13"/>
  <c r="BK39" i="7"/>
  <c r="BK48" i="7" s="1"/>
  <c r="AV40" i="14"/>
  <c r="AF129" i="6"/>
  <c r="BK18" i="14"/>
  <c r="M8" i="13" s="1"/>
  <c r="G8" i="13"/>
  <c r="F8" i="13" s="1"/>
  <c r="BK60" i="7"/>
  <c r="BK69" i="7" s="1"/>
  <c r="BK60" i="14"/>
  <c r="M54" i="13" s="1"/>
  <c r="G54" i="13"/>
  <c r="DE66" i="27"/>
  <c r="DD16" i="7"/>
  <c r="DE15" i="7" s="1"/>
  <c r="DC16" i="7" s="1"/>
  <c r="S7" i="28"/>
  <c r="DD58" i="7"/>
  <c r="DE57" i="7" s="1"/>
  <c r="DC58" i="7" s="1"/>
  <c r="S7" i="20"/>
  <c r="S7" i="24"/>
  <c r="DD142" i="7"/>
  <c r="DE141" i="7" s="1"/>
  <c r="DC142" i="7" s="1"/>
  <c r="DC141" i="7" s="1"/>
  <c r="CY147" i="7" s="1"/>
  <c r="CY148" i="7" s="1"/>
  <c r="S7" i="29"/>
  <c r="DD121" i="7"/>
  <c r="DE120" i="7" s="1"/>
  <c r="DC121" i="7" s="1"/>
  <c r="DC120" i="7" s="1"/>
  <c r="CY126" i="7" s="1"/>
  <c r="DJ126" i="7" s="1"/>
  <c r="S7" i="21"/>
  <c r="S7" i="25"/>
  <c r="DD100" i="7"/>
  <c r="DE99" i="7" s="1"/>
  <c r="DC100" i="7" s="1"/>
  <c r="DC99" i="7" s="1"/>
  <c r="CY105" i="7" s="1"/>
  <c r="CY106" i="7" s="1"/>
  <c r="DD79" i="7"/>
  <c r="DE78" i="7" s="1"/>
  <c r="DC79" i="7" s="1"/>
  <c r="DC78" i="7" s="1"/>
  <c r="CY84" i="7" s="1"/>
  <c r="DM84" i="7" s="1"/>
  <c r="S7" i="22"/>
  <c r="S7" i="26"/>
  <c r="S7" i="14"/>
  <c r="DD37" i="7"/>
  <c r="DE36" i="7" s="1"/>
  <c r="DC37" i="7" s="1"/>
  <c r="S7" i="23"/>
  <c r="S7" i="27"/>
  <c r="DE24" i="23"/>
  <c r="DE43" i="22"/>
  <c r="DE148" i="27"/>
  <c r="DE108" i="24"/>
  <c r="DE46" i="28"/>
  <c r="DE43" i="23"/>
  <c r="DE82" i="27"/>
  <c r="DE63" i="24"/>
  <c r="DE107" i="26"/>
  <c r="DE151" i="22"/>
  <c r="DE43" i="28"/>
  <c r="DE65" i="23"/>
  <c r="DE41" i="21"/>
  <c r="DE43" i="20"/>
  <c r="DE85" i="21"/>
  <c r="DE83" i="26"/>
  <c r="DE145" i="26"/>
  <c r="DE63" i="20"/>
  <c r="DE43" i="25"/>
  <c r="DE61" i="20"/>
  <c r="DE147" i="23"/>
  <c r="DE126" i="28"/>
  <c r="DE126" i="27"/>
  <c r="DE109" i="20"/>
  <c r="DE84" i="27"/>
  <c r="DE84" i="24"/>
  <c r="DE24" i="24"/>
  <c r="DE147" i="21"/>
  <c r="DE42" i="28"/>
  <c r="DE41" i="28"/>
  <c r="DE42" i="21"/>
  <c r="DE19" i="22"/>
  <c r="DE146" i="25"/>
  <c r="DE64" i="22"/>
  <c r="DE151" i="21"/>
  <c r="DE146" i="28"/>
  <c r="DE67" i="27"/>
  <c r="DE126" i="22"/>
  <c r="DE61" i="28"/>
  <c r="DE19" i="14"/>
  <c r="DE46" i="22"/>
  <c r="DE107" i="23"/>
  <c r="DE22" i="26"/>
  <c r="DE24" i="21"/>
  <c r="DE105" i="21"/>
  <c r="DE105" i="28"/>
  <c r="DE46" i="20"/>
  <c r="DE127" i="25"/>
  <c r="DE83" i="27"/>
  <c r="DE23" i="27"/>
  <c r="DE82" i="24"/>
  <c r="DE61" i="24"/>
  <c r="DE21" i="28"/>
  <c r="DE130" i="24"/>
  <c r="DE62" i="23"/>
  <c r="DE44" i="21"/>
  <c r="DE150" i="24"/>
  <c r="DE86" i="24"/>
  <c r="DE63" i="22"/>
  <c r="DE40" i="25"/>
  <c r="DE65" i="25"/>
  <c r="DE147" i="27"/>
  <c r="DE45" i="27"/>
  <c r="DE149" i="22"/>
  <c r="DE150" i="26"/>
  <c r="DE104" i="22"/>
  <c r="DE108" i="22"/>
  <c r="DE129" i="28"/>
  <c r="DE21" i="25"/>
  <c r="DE41" i="24"/>
  <c r="DE66" i="21"/>
  <c r="DE146" i="27"/>
  <c r="DE42" i="24"/>
  <c r="DE25" i="27"/>
  <c r="DE85" i="20"/>
  <c r="DE24" i="20"/>
  <c r="DE65" i="26"/>
  <c r="DE65" i="20"/>
  <c r="D147" i="37"/>
  <c r="I147" i="37" s="1"/>
  <c r="I145" i="37"/>
  <c r="DE129" i="27"/>
  <c r="D124" i="34"/>
  <c r="D126" i="34" s="1"/>
  <c r="DE23" i="22"/>
  <c r="DE20" i="23"/>
  <c r="DE129" i="22"/>
  <c r="DE19" i="21"/>
  <c r="DE86" i="20"/>
  <c r="DE147" i="28"/>
  <c r="U135" i="34"/>
  <c r="U136" i="34" s="1"/>
  <c r="T137" i="34" s="1"/>
  <c r="DE23" i="26"/>
  <c r="DE44" i="24"/>
  <c r="DE63" i="25"/>
  <c r="DE41" i="7"/>
  <c r="DE103" i="21"/>
  <c r="DE44" i="7"/>
  <c r="DE46" i="26"/>
  <c r="DE104" i="28"/>
  <c r="DE42" i="27"/>
  <c r="DE24" i="22"/>
  <c r="DE84" i="20"/>
  <c r="DE129" i="25"/>
  <c r="DE86" i="27"/>
  <c r="DE149" i="25"/>
  <c r="DE87" i="21"/>
  <c r="DE87" i="24"/>
  <c r="DE149" i="26"/>
  <c r="DE65" i="24"/>
  <c r="DE83" i="25"/>
  <c r="DE82" i="25"/>
  <c r="DE22" i="28"/>
  <c r="DE64" i="20"/>
  <c r="DE65" i="27"/>
  <c r="DE67" i="25"/>
  <c r="DE149" i="27"/>
  <c r="DE125" i="27"/>
  <c r="DE66" i="7"/>
  <c r="DE105" i="23"/>
  <c r="DE21" i="23"/>
  <c r="DE146" i="22"/>
  <c r="DE83" i="28"/>
  <c r="DE84" i="28"/>
  <c r="DE22" i="20"/>
  <c r="DE20" i="20"/>
  <c r="DE147" i="25"/>
  <c r="DE146" i="24"/>
  <c r="DE149" i="24"/>
  <c r="DE145" i="24"/>
  <c r="DE41" i="25"/>
  <c r="DE129" i="21"/>
  <c r="DE125" i="21"/>
  <c r="DE20" i="28"/>
  <c r="DE129" i="24"/>
  <c r="DE125" i="24"/>
  <c r="DE126" i="24"/>
  <c r="DE41" i="23"/>
  <c r="DE109" i="22"/>
  <c r="DE66" i="23"/>
  <c r="DE61" i="23"/>
  <c r="DE64" i="23"/>
  <c r="DE107" i="25"/>
  <c r="DE20" i="25"/>
  <c r="DE127" i="20"/>
  <c r="DE40" i="7"/>
  <c r="DE108" i="27"/>
  <c r="DE45" i="26"/>
  <c r="DE106" i="28"/>
  <c r="DE22" i="22"/>
  <c r="DE62" i="14"/>
  <c r="DE66" i="14"/>
  <c r="DE105" i="26"/>
  <c r="DE41" i="20"/>
  <c r="DE145" i="22"/>
  <c r="DE146" i="26"/>
  <c r="DE149" i="21"/>
  <c r="DE148" i="20"/>
  <c r="DE44" i="23"/>
  <c r="DE43" i="21"/>
  <c r="DE21" i="27"/>
  <c r="DE124" i="24"/>
  <c r="DE130" i="27"/>
  <c r="DE40" i="24"/>
  <c r="DE42" i="22"/>
  <c r="DE22" i="21"/>
  <c r="DE124" i="26"/>
  <c r="DE87" i="22"/>
  <c r="DE104" i="26"/>
  <c r="DE19" i="27"/>
  <c r="DE62" i="26"/>
  <c r="DE66" i="26"/>
  <c r="DE128" i="28"/>
  <c r="DE130" i="20"/>
  <c r="DE108" i="23"/>
  <c r="DE126" i="23"/>
  <c r="DE63" i="21"/>
  <c r="DE108" i="20"/>
  <c r="DE124" i="25"/>
  <c r="DE85" i="27"/>
  <c r="DE23" i="24"/>
  <c r="DE22" i="24"/>
  <c r="DE150" i="28"/>
  <c r="DE64" i="26"/>
  <c r="DE127" i="24"/>
  <c r="DE22" i="27"/>
  <c r="DE124" i="23"/>
  <c r="DE104" i="23"/>
  <c r="DE109" i="28"/>
  <c r="DE106" i="20"/>
  <c r="DE85" i="28"/>
  <c r="DE24" i="14"/>
  <c r="DE104" i="21"/>
  <c r="DE88" i="21"/>
  <c r="DE65" i="21"/>
  <c r="DE87" i="25"/>
  <c r="DE128" i="24"/>
  <c r="DE124" i="28"/>
  <c r="DE103" i="25"/>
  <c r="DE128" i="20"/>
  <c r="DE45" i="24"/>
  <c r="DE104" i="24"/>
  <c r="DE24" i="7"/>
  <c r="DE88" i="28"/>
  <c r="DE24" i="26"/>
  <c r="DE130" i="26"/>
  <c r="DE44" i="20"/>
  <c r="DE86" i="26"/>
  <c r="DE21" i="24"/>
  <c r="DE148" i="28"/>
  <c r="DE149" i="20"/>
  <c r="DE61" i="27"/>
  <c r="DE128" i="22"/>
  <c r="DE150" i="23"/>
  <c r="DE62" i="25"/>
  <c r="DE40" i="23"/>
  <c r="DE130" i="28"/>
  <c r="DE25" i="21"/>
  <c r="DE61" i="21"/>
  <c r="DE108" i="28"/>
  <c r="DE150" i="22"/>
  <c r="DE86" i="25"/>
  <c r="DE23" i="28"/>
  <c r="DE151" i="20"/>
  <c r="DE145" i="20"/>
  <c r="DE151" i="23"/>
  <c r="DE44" i="28"/>
  <c r="DE125" i="28"/>
  <c r="DE108" i="25"/>
  <c r="DE40" i="21"/>
  <c r="DE127" i="26"/>
  <c r="DE42" i="26"/>
  <c r="DE146" i="20"/>
  <c r="DE125" i="22"/>
  <c r="DE61" i="25"/>
  <c r="DE128" i="27"/>
  <c r="DE22" i="25"/>
  <c r="DE25" i="25"/>
  <c r="DE125" i="20"/>
  <c r="DE46" i="24"/>
  <c r="DA29" i="20"/>
  <c r="DE24" i="27"/>
  <c r="DE150" i="27"/>
  <c r="DE151" i="27"/>
  <c r="DE19" i="25"/>
  <c r="DE147" i="20"/>
  <c r="DE85" i="26"/>
  <c r="DE61" i="7"/>
  <c r="DE25" i="26"/>
  <c r="DE40" i="26"/>
  <c r="DE103" i="20"/>
  <c r="DE107" i="20"/>
  <c r="DE20" i="22"/>
  <c r="DE128" i="25"/>
  <c r="DE126" i="25"/>
  <c r="DE19" i="20"/>
  <c r="DE84" i="26"/>
  <c r="DE148" i="24"/>
  <c r="DE85" i="24"/>
  <c r="DE88" i="25"/>
  <c r="DE25" i="28"/>
  <c r="DE146" i="21"/>
  <c r="DE67" i="26"/>
  <c r="DE145" i="27"/>
  <c r="DE65" i="22"/>
  <c r="DE67" i="23"/>
  <c r="DE45" i="21"/>
  <c r="DE24" i="25"/>
  <c r="DE40" i="22"/>
  <c r="DA71" i="14"/>
  <c r="DE150" i="25"/>
  <c r="I76" i="37"/>
  <c r="DE87" i="26"/>
  <c r="DE106" i="21"/>
  <c r="DE64" i="24"/>
  <c r="D78" i="37"/>
  <c r="I78" i="37" s="1"/>
  <c r="DE23" i="21"/>
  <c r="DE42" i="7"/>
  <c r="DE45" i="7"/>
  <c r="DE21" i="26"/>
  <c r="DE62" i="21"/>
  <c r="DE108" i="21"/>
  <c r="DE41" i="26"/>
  <c r="DE40" i="27"/>
  <c r="DE43" i="27"/>
  <c r="DE105" i="20"/>
  <c r="DE21" i="22"/>
  <c r="DE63" i="14"/>
  <c r="DE83" i="22"/>
  <c r="DE22" i="23"/>
  <c r="DE45" i="20"/>
  <c r="DE109" i="24"/>
  <c r="DE87" i="27"/>
  <c r="DE20" i="27"/>
  <c r="DE151" i="24"/>
  <c r="DA71" i="7"/>
  <c r="DE64" i="7"/>
  <c r="DE128" i="23"/>
  <c r="DE129" i="23"/>
  <c r="DA134" i="23"/>
  <c r="DE127" i="23"/>
  <c r="DE41" i="22"/>
  <c r="DE103" i="23"/>
  <c r="DA113" i="23"/>
  <c r="DA29" i="26"/>
  <c r="DE20" i="26"/>
  <c r="DA113" i="27"/>
  <c r="DE103" i="27"/>
  <c r="DA29" i="21"/>
  <c r="DE64" i="21"/>
  <c r="DE125" i="23"/>
  <c r="D78" i="30"/>
  <c r="I78" i="30" s="1"/>
  <c r="I122" i="35"/>
  <c r="DA113" i="28"/>
  <c r="DE103" i="28"/>
  <c r="DA50" i="27"/>
  <c r="DA113" i="20"/>
  <c r="DE84" i="22"/>
  <c r="DE86" i="22"/>
  <c r="DA29" i="23"/>
  <c r="DE42" i="20"/>
  <c r="DA50" i="20"/>
  <c r="DE125" i="25"/>
  <c r="DA134" i="25"/>
  <c r="DE82" i="28"/>
  <c r="DE86" i="28"/>
  <c r="DA92" i="28"/>
  <c r="DE21" i="20"/>
  <c r="DA92" i="27"/>
  <c r="DE83" i="21"/>
  <c r="DA92" i="24"/>
  <c r="DE83" i="23"/>
  <c r="DA29" i="24"/>
  <c r="DA50" i="25"/>
  <c r="DE42" i="25"/>
  <c r="DE44" i="25"/>
  <c r="DE130" i="21"/>
  <c r="DA134" i="21"/>
  <c r="DA92" i="25"/>
  <c r="DA29" i="28"/>
  <c r="DE145" i="21"/>
  <c r="DE62" i="20"/>
  <c r="DE67" i="20"/>
  <c r="DA155" i="28"/>
  <c r="DA71" i="26"/>
  <c r="DA71" i="27"/>
  <c r="DE63" i="27"/>
  <c r="DE64" i="27"/>
  <c r="DA71" i="28"/>
  <c r="DE67" i="28"/>
  <c r="DE148" i="23"/>
  <c r="DE66" i="25"/>
  <c r="DE45" i="23"/>
  <c r="DA50" i="23"/>
  <c r="DA113" i="22"/>
  <c r="DE107" i="22"/>
  <c r="DE40" i="28"/>
  <c r="DE67" i="22"/>
  <c r="DA134" i="28"/>
  <c r="DE127" i="28"/>
  <c r="DE127" i="27"/>
  <c r="DA29" i="25"/>
  <c r="DA134" i="20"/>
  <c r="DE43" i="24"/>
  <c r="DA50" i="24"/>
  <c r="DE130" i="23"/>
  <c r="DE44" i="22"/>
  <c r="DE109" i="23"/>
  <c r="DE19" i="26"/>
  <c r="DE104" i="27"/>
  <c r="DE109" i="27"/>
  <c r="DE106" i="27"/>
  <c r="DE21" i="21"/>
  <c r="DE125" i="26"/>
  <c r="DE128" i="26"/>
  <c r="DE129" i="26"/>
  <c r="DE67" i="21"/>
  <c r="DE109" i="21"/>
  <c r="DE107" i="21"/>
  <c r="DE44" i="26"/>
  <c r="DE107" i="28"/>
  <c r="DE44" i="27"/>
  <c r="DA29" i="22"/>
  <c r="DE25" i="22"/>
  <c r="DE64" i="14"/>
  <c r="DE25" i="23"/>
  <c r="DE23" i="23"/>
  <c r="DE106" i="26"/>
  <c r="DE108" i="26"/>
  <c r="DE103" i="26"/>
  <c r="DA155" i="22"/>
  <c r="DE147" i="22"/>
  <c r="DE83" i="20"/>
  <c r="DE88" i="20"/>
  <c r="DE82" i="20"/>
  <c r="DE130" i="25"/>
  <c r="DE87" i="28"/>
  <c r="DE107" i="24"/>
  <c r="DA113" i="24"/>
  <c r="DE106" i="24"/>
  <c r="DE105" i="24"/>
  <c r="DE88" i="27"/>
  <c r="DE82" i="26"/>
  <c r="DE88" i="26"/>
  <c r="DE145" i="25"/>
  <c r="DE84" i="21"/>
  <c r="DE82" i="21"/>
  <c r="DE147" i="24"/>
  <c r="DE83" i="24"/>
  <c r="DE87" i="23"/>
  <c r="DE84" i="23"/>
  <c r="DE82" i="23"/>
  <c r="DE19" i="24"/>
  <c r="DE25" i="24"/>
  <c r="DA155" i="26"/>
  <c r="DE148" i="26"/>
  <c r="DE127" i="21"/>
  <c r="DE126" i="21"/>
  <c r="DE66" i="24"/>
  <c r="DE62" i="24"/>
  <c r="DE19" i="28"/>
  <c r="DE24" i="28"/>
  <c r="DE150" i="21"/>
  <c r="DA155" i="21"/>
  <c r="DE148" i="21"/>
  <c r="DE149" i="28"/>
  <c r="DE61" i="26"/>
  <c r="DA155" i="20"/>
  <c r="DE124" i="22"/>
  <c r="DE127" i="22"/>
  <c r="DE65" i="28"/>
  <c r="DE64" i="28"/>
  <c r="DA155" i="23"/>
  <c r="DE149" i="23"/>
  <c r="DE105" i="22"/>
  <c r="DE66" i="22"/>
  <c r="DE63" i="23"/>
  <c r="DE105" i="25"/>
  <c r="DE23" i="25"/>
  <c r="DE124" i="20"/>
  <c r="DE45" i="22"/>
  <c r="DE107" i="27"/>
  <c r="DE82" i="22"/>
  <c r="DE109" i="26"/>
  <c r="DE25" i="20"/>
  <c r="DE88" i="24"/>
  <c r="DE85" i="23"/>
  <c r="DE124" i="21"/>
  <c r="DE84" i="25"/>
  <c r="DE151" i="28"/>
  <c r="DE130" i="22"/>
  <c r="DE63" i="28"/>
  <c r="DE146" i="23"/>
  <c r="DE109" i="25"/>
  <c r="DE46" i="21"/>
  <c r="DE23" i="14"/>
  <c r="DE21" i="7"/>
  <c r="DA113" i="26"/>
  <c r="DA50" i="26"/>
  <c r="DE85" i="25"/>
  <c r="DE66" i="28"/>
  <c r="DE106" i="25"/>
  <c r="DA71" i="23"/>
  <c r="DA113" i="21"/>
  <c r="DE19" i="23"/>
  <c r="DE66" i="20"/>
  <c r="DA134" i="22"/>
  <c r="DE106" i="22"/>
  <c r="D147" i="31"/>
  <c r="D149" i="31" s="1"/>
  <c r="D124" i="35"/>
  <c r="D126" i="35" s="1"/>
  <c r="DE104" i="25"/>
  <c r="DA134" i="27"/>
  <c r="I145" i="31"/>
  <c r="DA29" i="27"/>
  <c r="DA71" i="22"/>
  <c r="DE25" i="7"/>
  <c r="DA50" i="22"/>
  <c r="DE105" i="27"/>
  <c r="DE41" i="27"/>
  <c r="DE65" i="14"/>
  <c r="DA92" i="26"/>
  <c r="DA71" i="25"/>
  <c r="DE46" i="23"/>
  <c r="DA50" i="21"/>
  <c r="DA92" i="22"/>
  <c r="DE46" i="25"/>
  <c r="DA71" i="20"/>
  <c r="DA50" i="28"/>
  <c r="DA113" i="25"/>
  <c r="DA155" i="24"/>
  <c r="DE103" i="24"/>
  <c r="DA71" i="24"/>
  <c r="DE63" i="7"/>
  <c r="DE65" i="7"/>
  <c r="DE67" i="7"/>
  <c r="DE23" i="7"/>
  <c r="DE20" i="7"/>
  <c r="DE106" i="23"/>
  <c r="DE126" i="26"/>
  <c r="DE67" i="14"/>
  <c r="DE88" i="22"/>
  <c r="DE85" i="22"/>
  <c r="DE148" i="22"/>
  <c r="DA92" i="20"/>
  <c r="DA155" i="25"/>
  <c r="DA92" i="21"/>
  <c r="DE86" i="21"/>
  <c r="DA92" i="23"/>
  <c r="DE86" i="23"/>
  <c r="DE20" i="24"/>
  <c r="DE147" i="26"/>
  <c r="DE128" i="21"/>
  <c r="DE67" i="24"/>
  <c r="DE145" i="28"/>
  <c r="DE63" i="26"/>
  <c r="DE150" i="20"/>
  <c r="DE145" i="23"/>
  <c r="DE64" i="25"/>
  <c r="DA155" i="27"/>
  <c r="DE124" i="27"/>
  <c r="DE129" i="20"/>
  <c r="DE22" i="7"/>
  <c r="DE19" i="7"/>
  <c r="DE21" i="14"/>
  <c r="DA29" i="14"/>
  <c r="DA134" i="26"/>
  <c r="DA71" i="21"/>
  <c r="DE23" i="20"/>
  <c r="DE88" i="23"/>
  <c r="DA134" i="24"/>
  <c r="DE61" i="22"/>
  <c r="DE126" i="20"/>
  <c r="DA29" i="7"/>
  <c r="DE43" i="7"/>
  <c r="DE25" i="14"/>
  <c r="DE22" i="14"/>
  <c r="DE20" i="14"/>
  <c r="DA50" i="7"/>
  <c r="DE46" i="7"/>
  <c r="D124" i="38"/>
  <c r="D126" i="38" s="1"/>
  <c r="I122" i="38"/>
  <c r="U135" i="30"/>
  <c r="U136" i="30" s="1"/>
  <c r="T137" i="30" s="1"/>
  <c r="D124" i="30"/>
  <c r="D126" i="30" s="1"/>
  <c r="U66" i="37"/>
  <c r="U67" i="37" s="1"/>
  <c r="T68" i="37" s="1"/>
  <c r="I53" i="37"/>
  <c r="D147" i="34"/>
  <c r="D149" i="34" s="1"/>
  <c r="U158" i="34"/>
  <c r="U159" i="34" s="1"/>
  <c r="T160" i="34" s="1"/>
  <c r="U20" i="37"/>
  <c r="U21" i="37" s="1"/>
  <c r="T22" i="37" s="1"/>
  <c r="D32" i="38"/>
  <c r="D34" i="38" s="1"/>
  <c r="I30" i="38"/>
  <c r="D124" i="33"/>
  <c r="D126" i="33" s="1"/>
  <c r="U135" i="33"/>
  <c r="U136" i="33" s="1"/>
  <c r="T137" i="33" s="1"/>
  <c r="D32" i="33"/>
  <c r="D34" i="33" s="1"/>
  <c r="U43" i="33"/>
  <c r="U44" i="33" s="1"/>
  <c r="T45" i="33" s="1"/>
  <c r="D9" i="30"/>
  <c r="I9" i="30" s="1"/>
  <c r="I7" i="30"/>
  <c r="U20" i="34"/>
  <c r="U21" i="34" s="1"/>
  <c r="T22" i="34" s="1"/>
  <c r="D9" i="32"/>
  <c r="I9" i="32" s="1"/>
  <c r="D9" i="34"/>
  <c r="I9" i="34" s="1"/>
  <c r="U20" i="32"/>
  <c r="U21" i="32" s="1"/>
  <c r="T22" i="32" s="1"/>
  <c r="D32" i="34"/>
  <c r="I32" i="34" s="1"/>
  <c r="I7" i="37"/>
  <c r="U20" i="38"/>
  <c r="U21" i="38" s="1"/>
  <c r="T22" i="38" s="1"/>
  <c r="I53" i="33"/>
  <c r="I122" i="32"/>
  <c r="D55" i="31"/>
  <c r="I55" i="31" s="1"/>
  <c r="D78" i="38"/>
  <c r="D80" i="38" s="1"/>
  <c r="D124" i="32"/>
  <c r="D126" i="32" s="1"/>
  <c r="U66" i="31"/>
  <c r="U67" i="31" s="1"/>
  <c r="T68" i="31" s="1"/>
  <c r="U89" i="38"/>
  <c r="U90" i="38" s="1"/>
  <c r="T91" i="38" s="1"/>
  <c r="D32" i="30"/>
  <c r="D34" i="30" s="1"/>
  <c r="D147" i="35"/>
  <c r="I147" i="35" s="1"/>
  <c r="D55" i="35"/>
  <c r="D57" i="35" s="1"/>
  <c r="I53" i="35"/>
  <c r="I99" i="30"/>
  <c r="I30" i="35"/>
  <c r="D101" i="30"/>
  <c r="I101" i="30" s="1"/>
  <c r="D32" i="35"/>
  <c r="D34" i="35" s="1"/>
  <c r="U89" i="36"/>
  <c r="U90" i="36" s="1"/>
  <c r="T91" i="36" s="1"/>
  <c r="I53" i="38"/>
  <c r="I76" i="31"/>
  <c r="D101" i="34"/>
  <c r="I101" i="34" s="1"/>
  <c r="D55" i="36"/>
  <c r="D57" i="36" s="1"/>
  <c r="U135" i="31"/>
  <c r="U136" i="31" s="1"/>
  <c r="T137" i="31" s="1"/>
  <c r="D9" i="36"/>
  <c r="D11" i="36" s="1"/>
  <c r="U66" i="36"/>
  <c r="U67" i="36" s="1"/>
  <c r="T68" i="36" s="1"/>
  <c r="U43" i="37"/>
  <c r="U44" i="37" s="1"/>
  <c r="T45" i="37" s="1"/>
  <c r="I30" i="37"/>
  <c r="U20" i="36"/>
  <c r="U21" i="36" s="1"/>
  <c r="T22" i="36" s="1"/>
  <c r="I53" i="32"/>
  <c r="D55" i="32"/>
  <c r="D57" i="32" s="1"/>
  <c r="D55" i="33"/>
  <c r="I55" i="33" s="1"/>
  <c r="I7" i="38"/>
  <c r="I30" i="30"/>
  <c r="D78" i="31"/>
  <c r="I78" i="31" s="1"/>
  <c r="U112" i="34"/>
  <c r="U113" i="34" s="1"/>
  <c r="T114" i="34" s="1"/>
  <c r="I76" i="32"/>
  <c r="D78" i="33"/>
  <c r="D80" i="33" s="1"/>
  <c r="U89" i="33"/>
  <c r="U90" i="33" s="1"/>
  <c r="T91" i="33" s="1"/>
  <c r="I99" i="32"/>
  <c r="U158" i="32"/>
  <c r="U159" i="32" s="1"/>
  <c r="T160" i="32" s="1"/>
  <c r="D101" i="32"/>
  <c r="I101" i="32" s="1"/>
  <c r="I145" i="32"/>
  <c r="D78" i="32"/>
  <c r="D80" i="32" s="1"/>
  <c r="D124" i="31"/>
  <c r="I124" i="31" s="1"/>
  <c r="I53" i="34"/>
  <c r="D101" i="31"/>
  <c r="I101" i="31" s="1"/>
  <c r="D32" i="36"/>
  <c r="I32" i="36" s="1"/>
  <c r="I99" i="38"/>
  <c r="I99" i="37"/>
  <c r="U135" i="37"/>
  <c r="U136" i="37" s="1"/>
  <c r="T137" i="37" s="1"/>
  <c r="D55" i="34"/>
  <c r="D57" i="34" s="1"/>
  <c r="I99" i="31"/>
  <c r="U43" i="36"/>
  <c r="U44" i="36" s="1"/>
  <c r="T45" i="36" s="1"/>
  <c r="U112" i="38"/>
  <c r="U113" i="38" s="1"/>
  <c r="T114" i="38" s="1"/>
  <c r="D101" i="37"/>
  <c r="I101" i="37" s="1"/>
  <c r="D147" i="30"/>
  <c r="D149" i="30" s="1"/>
  <c r="D9" i="33"/>
  <c r="D11" i="33" s="1"/>
  <c r="U158" i="33"/>
  <c r="U159" i="33" s="1"/>
  <c r="T160" i="33" s="1"/>
  <c r="I145" i="33"/>
  <c r="I145" i="30"/>
  <c r="I7" i="33"/>
  <c r="U112" i="33"/>
  <c r="U113" i="33" s="1"/>
  <c r="T114" i="33" s="1"/>
  <c r="I99" i="33"/>
  <c r="U89" i="30"/>
  <c r="U90" i="30" s="1"/>
  <c r="T91" i="30" s="1"/>
  <c r="D78" i="34"/>
  <c r="D80" i="34" s="1"/>
  <c r="I145" i="38"/>
  <c r="I122" i="36"/>
  <c r="U89" i="34"/>
  <c r="U90" i="34" s="1"/>
  <c r="T91" i="34" s="1"/>
  <c r="U158" i="38"/>
  <c r="U159" i="38" s="1"/>
  <c r="T160" i="38" s="1"/>
  <c r="D124" i="36"/>
  <c r="D126" i="36" s="1"/>
  <c r="U20" i="31"/>
  <c r="U21" i="31" s="1"/>
  <c r="T22" i="31" s="1"/>
  <c r="I76" i="35"/>
  <c r="I7" i="35"/>
  <c r="D78" i="35"/>
  <c r="D80" i="35" s="1"/>
  <c r="U20" i="35"/>
  <c r="U21" i="35" s="1"/>
  <c r="T22" i="35" s="1"/>
  <c r="I7" i="31"/>
  <c r="D55" i="30"/>
  <c r="D57" i="30" s="1"/>
  <c r="U66" i="30"/>
  <c r="U67" i="30" s="1"/>
  <c r="T68" i="30" s="1"/>
  <c r="U112" i="35"/>
  <c r="U113" i="35" s="1"/>
  <c r="T114" i="35" s="1"/>
  <c r="I122" i="37"/>
  <c r="U158" i="36"/>
  <c r="U159" i="36" s="1"/>
  <c r="T160" i="36" s="1"/>
  <c r="U112" i="36"/>
  <c r="U113" i="36" s="1"/>
  <c r="T114" i="36" s="1"/>
  <c r="I30" i="31"/>
  <c r="U43" i="32"/>
  <c r="U44" i="32" s="1"/>
  <c r="T45" i="32" s="1"/>
  <c r="D32" i="32"/>
  <c r="D34" i="32" s="1"/>
  <c r="U158" i="35"/>
  <c r="U159" i="35" s="1"/>
  <c r="T160" i="35" s="1"/>
  <c r="U66" i="38"/>
  <c r="U67" i="38" s="1"/>
  <c r="T68" i="38" s="1"/>
  <c r="U43" i="34"/>
  <c r="U44" i="34" s="1"/>
  <c r="T45" i="34" s="1"/>
  <c r="I76" i="36"/>
  <c r="DC59" i="14"/>
  <c r="D101" i="35"/>
  <c r="D103" i="35" s="1"/>
  <c r="I145" i="36"/>
  <c r="I99" i="36"/>
  <c r="D32" i="31"/>
  <c r="D34" i="31" s="1"/>
  <c r="D57" i="38"/>
  <c r="I55" i="38"/>
  <c r="H101" i="37"/>
  <c r="H108" i="37"/>
  <c r="L108" i="37" s="1"/>
  <c r="H55" i="34"/>
  <c r="H62" i="34"/>
  <c r="L62" i="34" s="1"/>
  <c r="H85" i="32"/>
  <c r="L85" i="32" s="1"/>
  <c r="H78" i="32"/>
  <c r="H154" i="30"/>
  <c r="L154" i="30" s="1"/>
  <c r="H147" i="30"/>
  <c r="H101" i="32"/>
  <c r="H108" i="32"/>
  <c r="L108" i="32" s="1"/>
  <c r="I9" i="38"/>
  <c r="D11" i="38"/>
  <c r="H108" i="30"/>
  <c r="L108" i="30" s="1"/>
  <c r="H101" i="30"/>
  <c r="I9" i="37"/>
  <c r="D11" i="37"/>
  <c r="H55" i="33"/>
  <c r="H62" i="33"/>
  <c r="L62" i="33" s="1"/>
  <c r="D149" i="38"/>
  <c r="I147" i="38"/>
  <c r="H147" i="37"/>
  <c r="H154" i="37"/>
  <c r="L154" i="37" s="1"/>
  <c r="D149" i="32"/>
  <c r="I147" i="32"/>
  <c r="H154" i="31"/>
  <c r="L154" i="31" s="1"/>
  <c r="H147" i="31"/>
  <c r="H39" i="30"/>
  <c r="L39" i="30" s="1"/>
  <c r="H32" i="30"/>
  <c r="H32" i="35"/>
  <c r="H39" i="35"/>
  <c r="L39" i="35" s="1"/>
  <c r="I9" i="35"/>
  <c r="D11" i="35"/>
  <c r="D34" i="37"/>
  <c r="I32" i="37"/>
  <c r="H85" i="37"/>
  <c r="L85" i="37" s="1"/>
  <c r="H78" i="37"/>
  <c r="I101" i="38"/>
  <c r="D103" i="38"/>
  <c r="H101" i="31"/>
  <c r="H108" i="31"/>
  <c r="L108" i="31" s="1"/>
  <c r="D103" i="33"/>
  <c r="I101" i="33"/>
  <c r="H9" i="33"/>
  <c r="H16" i="33"/>
  <c r="L16" i="33" s="1"/>
  <c r="H124" i="32"/>
  <c r="H131" i="32"/>
  <c r="L131" i="32" s="1"/>
  <c r="I124" i="37"/>
  <c r="D126" i="37"/>
  <c r="I9" i="31"/>
  <c r="D11" i="31"/>
  <c r="I101" i="36"/>
  <c r="D103" i="36"/>
  <c r="H78" i="31"/>
  <c r="H85" i="31"/>
  <c r="L85" i="31" s="1"/>
  <c r="H9" i="30"/>
  <c r="H16" i="30"/>
  <c r="L16" i="30" s="1"/>
  <c r="I55" i="37"/>
  <c r="D57" i="37"/>
  <c r="D149" i="36"/>
  <c r="I147" i="36"/>
  <c r="D149" i="33"/>
  <c r="I147" i="33"/>
  <c r="H62" i="35"/>
  <c r="L62" i="35" s="1"/>
  <c r="H55" i="35"/>
  <c r="H39" i="31"/>
  <c r="L39" i="31" s="1"/>
  <c r="H32" i="31"/>
  <c r="H55" i="32"/>
  <c r="H62" i="32"/>
  <c r="L62" i="32" s="1"/>
  <c r="D80" i="36"/>
  <c r="I78" i="36"/>
  <c r="H38" i="7"/>
  <c r="H59" i="7" s="1"/>
  <c r="H80" i="7" s="1"/>
  <c r="H101" i="7" s="1"/>
  <c r="H122" i="7" s="1"/>
  <c r="H143" i="7" s="1"/>
  <c r="H17" i="14"/>
  <c r="AV61" i="14"/>
  <c r="AR61" i="14" s="1"/>
  <c r="AQ61" i="14" s="1"/>
  <c r="Z61" i="14" s="1"/>
  <c r="AV63" i="14"/>
  <c r="AR63" i="14" s="1"/>
  <c r="AR40" i="14"/>
  <c r="AQ40" i="14" s="1"/>
  <c r="AA40" i="14" s="1"/>
  <c r="AV62" i="14"/>
  <c r="AR62" i="14" s="1"/>
  <c r="AQ62" i="14" s="1"/>
  <c r="AV41" i="14"/>
  <c r="AR41" i="14" s="1"/>
  <c r="AQ41" i="14" s="1"/>
  <c r="AR20" i="14"/>
  <c r="AQ20" i="14" s="1"/>
  <c r="AR60" i="14"/>
  <c r="AQ60" i="14" s="1"/>
  <c r="Z60" i="14" s="1"/>
  <c r="AR39" i="14"/>
  <c r="AO71" i="14"/>
  <c r="U55" i="13" s="1"/>
  <c r="AR19" i="14"/>
  <c r="AQ19" i="14" s="1"/>
  <c r="AA19" i="14" s="1"/>
  <c r="AA18" i="14"/>
  <c r="Z18" i="14"/>
  <c r="AR42" i="7"/>
  <c r="CT102" i="6"/>
  <c r="CT103" i="6" s="1"/>
  <c r="BN18" i="7"/>
  <c r="Z63" i="7" l="1"/>
  <c r="BK47" i="7"/>
  <c r="BK46" i="7"/>
  <c r="BK44" i="7"/>
  <c r="BK45" i="7"/>
  <c r="AA69" i="7"/>
  <c r="Z69" i="7"/>
  <c r="AA67" i="7"/>
  <c r="Z67" i="7"/>
  <c r="BK68" i="7"/>
  <c r="BK67" i="7"/>
  <c r="AA68" i="7"/>
  <c r="Z68" i="7"/>
  <c r="BK65" i="7"/>
  <c r="BK66" i="7"/>
  <c r="AA66" i="7"/>
  <c r="Z66" i="7"/>
  <c r="AA65" i="7"/>
  <c r="Z65" i="7"/>
  <c r="Z60" i="7"/>
  <c r="DF106" i="7"/>
  <c r="BK63" i="7"/>
  <c r="BK64" i="7"/>
  <c r="AA64" i="7"/>
  <c r="Z64" i="7"/>
  <c r="BK61" i="7"/>
  <c r="BK62" i="7"/>
  <c r="CT12" i="6"/>
  <c r="CT13" i="6" s="1"/>
  <c r="CT14" i="6"/>
  <c r="CT4" i="6" s="1"/>
  <c r="BE6" i="1" s="1"/>
  <c r="CT83" i="6"/>
  <c r="CT84" i="6" s="1"/>
  <c r="CT85" i="6" s="1"/>
  <c r="CT86" i="6" s="1"/>
  <c r="CT87" i="6" s="1"/>
  <c r="CT88" i="6" s="1"/>
  <c r="CT89" i="6" s="1"/>
  <c r="CT36" i="6"/>
  <c r="CT37" i="6" s="1"/>
  <c r="CT27" i="6" s="1"/>
  <c r="BI6" i="1" s="1"/>
  <c r="A122" i="10"/>
  <c r="AG123" i="10"/>
  <c r="A123" i="11"/>
  <c r="AG125" i="11"/>
  <c r="BK42" i="7"/>
  <c r="BK43" i="7"/>
  <c r="BK40" i="7"/>
  <c r="BK41" i="7"/>
  <c r="DF105" i="7"/>
  <c r="A18" i="7"/>
  <c r="D7" i="9" s="1"/>
  <c r="H22" i="7"/>
  <c r="A121" i="6"/>
  <c r="H53" i="30"/>
  <c r="H55" i="30" s="1"/>
  <c r="H57" i="30" s="1"/>
  <c r="H122" i="30"/>
  <c r="H131" i="30" s="1"/>
  <c r="L131" i="30" s="1"/>
  <c r="H76" i="30"/>
  <c r="H78" i="30" s="1"/>
  <c r="H80" i="30" s="1"/>
  <c r="H7" i="31"/>
  <c r="H16" i="31" s="1"/>
  <c r="L16" i="31" s="1"/>
  <c r="H122" i="31"/>
  <c r="H131" i="31" s="1"/>
  <c r="L131" i="31" s="1"/>
  <c r="H53" i="31"/>
  <c r="H55" i="31" s="1"/>
  <c r="H57" i="31" s="1"/>
  <c r="H30" i="32"/>
  <c r="H32" i="32" s="1"/>
  <c r="H34" i="32" s="1"/>
  <c r="H7" i="32"/>
  <c r="H9" i="32" s="1"/>
  <c r="H11" i="32" s="1"/>
  <c r="H145" i="32"/>
  <c r="H154" i="32" s="1"/>
  <c r="L154" i="32" s="1"/>
  <c r="H122" i="33"/>
  <c r="H131" i="33" s="1"/>
  <c r="L131" i="33" s="1"/>
  <c r="H99" i="33"/>
  <c r="H101" i="33" s="1"/>
  <c r="H103" i="33" s="1"/>
  <c r="H76" i="33"/>
  <c r="H85" i="33" s="1"/>
  <c r="L85" i="33" s="1"/>
  <c r="H145" i="33"/>
  <c r="H154" i="33" s="1"/>
  <c r="L154" i="33" s="1"/>
  <c r="H30" i="33"/>
  <c r="H32" i="33" s="1"/>
  <c r="H34" i="33" s="1"/>
  <c r="H76" i="34"/>
  <c r="H78" i="34" s="1"/>
  <c r="H80" i="34" s="1"/>
  <c r="H7" i="34"/>
  <c r="H9" i="34" s="1"/>
  <c r="H11" i="34" s="1"/>
  <c r="H99" i="34"/>
  <c r="H108" i="34" s="1"/>
  <c r="L108" i="34" s="1"/>
  <c r="H122" i="34"/>
  <c r="H124" i="34" s="1"/>
  <c r="H126" i="34" s="1"/>
  <c r="H145" i="34"/>
  <c r="H154" i="34" s="1"/>
  <c r="L154" i="34" s="1"/>
  <c r="H30" i="34"/>
  <c r="H39" i="34" s="1"/>
  <c r="L39" i="34" s="1"/>
  <c r="H7" i="35"/>
  <c r="H9" i="35" s="1"/>
  <c r="H11" i="35" s="1"/>
  <c r="H7" i="36"/>
  <c r="H16" i="36" s="1"/>
  <c r="L16" i="36" s="1"/>
  <c r="H99" i="36"/>
  <c r="H101" i="36" s="1"/>
  <c r="H103" i="36" s="1"/>
  <c r="H145" i="36"/>
  <c r="H154" i="36" s="1"/>
  <c r="L154" i="36" s="1"/>
  <c r="H76" i="36"/>
  <c r="H78" i="36" s="1"/>
  <c r="H80" i="36" s="1"/>
  <c r="H53" i="37"/>
  <c r="H62" i="37" s="1"/>
  <c r="L62" i="37" s="1"/>
  <c r="H7" i="37"/>
  <c r="H16" i="37" s="1"/>
  <c r="L16" i="37" s="1"/>
  <c r="H30" i="37"/>
  <c r="H32" i="37" s="1"/>
  <c r="H34" i="37" s="1"/>
  <c r="H7" i="38"/>
  <c r="H9" i="38" s="1"/>
  <c r="H11" i="38" s="1"/>
  <c r="DJ84" i="7"/>
  <c r="DM105" i="7"/>
  <c r="DF84" i="7"/>
  <c r="CY85" i="7"/>
  <c r="CY86" i="7" s="1"/>
  <c r="DM86" i="7" s="1"/>
  <c r="DJ105" i="7"/>
  <c r="I124" i="34"/>
  <c r="DM147" i="7"/>
  <c r="DF147" i="7"/>
  <c r="DJ147" i="7"/>
  <c r="DD142" i="14"/>
  <c r="DE141" i="14" s="1"/>
  <c r="DC142" i="14" s="1"/>
  <c r="DC141" i="14" s="1"/>
  <c r="CY147" i="14" s="1"/>
  <c r="DD79" i="14"/>
  <c r="DE78" i="14" s="1"/>
  <c r="DC79" i="14" s="1"/>
  <c r="DC78" i="14" s="1"/>
  <c r="CY84" i="14" s="1"/>
  <c r="DD58" i="14"/>
  <c r="DE57" i="14" s="1"/>
  <c r="DC58" i="14" s="1"/>
  <c r="DC57" i="14" s="1"/>
  <c r="CY63" i="14" s="1"/>
  <c r="DD37" i="14"/>
  <c r="DD16" i="14"/>
  <c r="DE15" i="14" s="1"/>
  <c r="DC16" i="14" s="1"/>
  <c r="DD100" i="14"/>
  <c r="DE99" i="14" s="1"/>
  <c r="DC100" i="14" s="1"/>
  <c r="DC99" i="14" s="1"/>
  <c r="CY105" i="14" s="1"/>
  <c r="DD121" i="14"/>
  <c r="DE120" i="14" s="1"/>
  <c r="DC121" i="14" s="1"/>
  <c r="DC120" i="14" s="1"/>
  <c r="CY126" i="14" s="1"/>
  <c r="DD100" i="29"/>
  <c r="DD37" i="29"/>
  <c r="DD121" i="29"/>
  <c r="DD16" i="29"/>
  <c r="DD142" i="29"/>
  <c r="DD58" i="29"/>
  <c r="DD79" i="29"/>
  <c r="DF126" i="7"/>
  <c r="DD58" i="26"/>
  <c r="DE57" i="26" s="1"/>
  <c r="DC58" i="26" s="1"/>
  <c r="DC57" i="26" s="1"/>
  <c r="CY63" i="26" s="1"/>
  <c r="CY64" i="26" s="1"/>
  <c r="DF64" i="26" s="1"/>
  <c r="DD100" i="26"/>
  <c r="DE99" i="26" s="1"/>
  <c r="DC100" i="26" s="1"/>
  <c r="DC99" i="26" s="1"/>
  <c r="CY105" i="26" s="1"/>
  <c r="DM105" i="26" s="1"/>
  <c r="DD79" i="26"/>
  <c r="DE78" i="26" s="1"/>
  <c r="DC79" i="26" s="1"/>
  <c r="DC78" i="26" s="1"/>
  <c r="CY84" i="26" s="1"/>
  <c r="DM84" i="26" s="1"/>
  <c r="DD121" i="26"/>
  <c r="DE120" i="26" s="1"/>
  <c r="DC121" i="26" s="1"/>
  <c r="DC120" i="26" s="1"/>
  <c r="CY126" i="26" s="1"/>
  <c r="DM126" i="26" s="1"/>
  <c r="DD142" i="26"/>
  <c r="DE141" i="26" s="1"/>
  <c r="DC142" i="26" s="1"/>
  <c r="DC141" i="26" s="1"/>
  <c r="CY147" i="26" s="1"/>
  <c r="CY148" i="26" s="1"/>
  <c r="DM148" i="26" s="1"/>
  <c r="DD16" i="26"/>
  <c r="DE15" i="26" s="1"/>
  <c r="DC16" i="26" s="1"/>
  <c r="DC15" i="26" s="1"/>
  <c r="CY21" i="26" s="1"/>
  <c r="DF21" i="26" s="1"/>
  <c r="DD37" i="26"/>
  <c r="DE36" i="26" s="1"/>
  <c r="DC37" i="26" s="1"/>
  <c r="DC36" i="26" s="1"/>
  <c r="CY42" i="26" s="1"/>
  <c r="DJ42" i="26" s="1"/>
  <c r="DD142" i="22"/>
  <c r="DE141" i="22" s="1"/>
  <c r="DC142" i="22" s="1"/>
  <c r="DC141" i="22" s="1"/>
  <c r="CY147" i="22" s="1"/>
  <c r="CY148" i="22" s="1"/>
  <c r="CY149" i="22" s="1"/>
  <c r="CY150" i="22" s="1"/>
  <c r="DD16" i="22"/>
  <c r="DE15" i="22" s="1"/>
  <c r="DC16" i="22" s="1"/>
  <c r="DC15" i="22" s="1"/>
  <c r="CY21" i="22" s="1"/>
  <c r="DM21" i="22" s="1"/>
  <c r="DD58" i="22"/>
  <c r="DE57" i="22" s="1"/>
  <c r="DC58" i="22" s="1"/>
  <c r="DC57" i="22" s="1"/>
  <c r="CY63" i="22" s="1"/>
  <c r="DF63" i="22" s="1"/>
  <c r="DD79" i="22"/>
  <c r="DE78" i="22" s="1"/>
  <c r="DC79" i="22" s="1"/>
  <c r="DC78" i="22" s="1"/>
  <c r="CY84" i="22" s="1"/>
  <c r="CY85" i="22" s="1"/>
  <c r="CY86" i="22" s="1"/>
  <c r="DD37" i="22"/>
  <c r="DE36" i="22" s="1"/>
  <c r="DC37" i="22" s="1"/>
  <c r="DC36" i="22" s="1"/>
  <c r="CY42" i="22" s="1"/>
  <c r="CY43" i="22" s="1"/>
  <c r="DF43" i="22" s="1"/>
  <c r="DD100" i="22"/>
  <c r="DE99" i="22" s="1"/>
  <c r="DC100" i="22" s="1"/>
  <c r="DC99" i="22" s="1"/>
  <c r="CY105" i="22" s="1"/>
  <c r="CY106" i="22" s="1"/>
  <c r="DD121" i="22"/>
  <c r="DE120" i="22" s="1"/>
  <c r="DC121" i="22" s="1"/>
  <c r="DC120" i="22" s="1"/>
  <c r="CY126" i="22" s="1"/>
  <c r="DJ126" i="22" s="1"/>
  <c r="DD100" i="24"/>
  <c r="DE99" i="24" s="1"/>
  <c r="DC100" i="24" s="1"/>
  <c r="DC99" i="24" s="1"/>
  <c r="CY105" i="24" s="1"/>
  <c r="DF105" i="24" s="1"/>
  <c r="DD142" i="24"/>
  <c r="DE141" i="24" s="1"/>
  <c r="DC142" i="24" s="1"/>
  <c r="DC141" i="24" s="1"/>
  <c r="CY147" i="24" s="1"/>
  <c r="DM147" i="24" s="1"/>
  <c r="DD121" i="24"/>
  <c r="DE120" i="24" s="1"/>
  <c r="DC121" i="24" s="1"/>
  <c r="DC120" i="24" s="1"/>
  <c r="CY126" i="24" s="1"/>
  <c r="DF126" i="24" s="1"/>
  <c r="DD37" i="24"/>
  <c r="DE36" i="24" s="1"/>
  <c r="DC37" i="24" s="1"/>
  <c r="DC36" i="24" s="1"/>
  <c r="CY42" i="24" s="1"/>
  <c r="DJ42" i="24" s="1"/>
  <c r="DD79" i="24"/>
  <c r="DE78" i="24" s="1"/>
  <c r="DC79" i="24" s="1"/>
  <c r="DC78" i="24" s="1"/>
  <c r="CY84" i="24" s="1"/>
  <c r="DF84" i="24" s="1"/>
  <c r="DD58" i="24"/>
  <c r="DE57" i="24" s="1"/>
  <c r="DC58" i="24" s="1"/>
  <c r="DC57" i="24" s="1"/>
  <c r="CY63" i="24" s="1"/>
  <c r="DF63" i="24" s="1"/>
  <c r="DD16" i="24"/>
  <c r="DE15" i="24" s="1"/>
  <c r="DC16" i="24" s="1"/>
  <c r="DC15" i="24" s="1"/>
  <c r="CY21" i="24" s="1"/>
  <c r="CY22" i="24" s="1"/>
  <c r="CY23" i="24" s="1"/>
  <c r="DM126" i="7"/>
  <c r="CY127" i="7"/>
  <c r="DF127" i="7" s="1"/>
  <c r="DD16" i="20"/>
  <c r="DE15" i="20" s="1"/>
  <c r="DC16" i="20" s="1"/>
  <c r="DC15" i="20" s="1"/>
  <c r="CY21" i="20" s="1"/>
  <c r="DJ21" i="20" s="1"/>
  <c r="DD58" i="20"/>
  <c r="DE57" i="20" s="1"/>
  <c r="DC58" i="20" s="1"/>
  <c r="DC57" i="20" s="1"/>
  <c r="CY63" i="20" s="1"/>
  <c r="DM63" i="20" s="1"/>
  <c r="DD37" i="20"/>
  <c r="DE36" i="20" s="1"/>
  <c r="DC37" i="20" s="1"/>
  <c r="DC36" i="20" s="1"/>
  <c r="CY42" i="20" s="1"/>
  <c r="CY43" i="20" s="1"/>
  <c r="CY44" i="20" s="1"/>
  <c r="DD121" i="20"/>
  <c r="DE120" i="20" s="1"/>
  <c r="DC121" i="20" s="1"/>
  <c r="DC120" i="20" s="1"/>
  <c r="CY126" i="20" s="1"/>
  <c r="DF126" i="20" s="1"/>
  <c r="DD142" i="20"/>
  <c r="DE141" i="20" s="1"/>
  <c r="DC142" i="20" s="1"/>
  <c r="DC141" i="20" s="1"/>
  <c r="CY147" i="20" s="1"/>
  <c r="DJ147" i="20" s="1"/>
  <c r="DD79" i="20"/>
  <c r="DE78" i="20" s="1"/>
  <c r="DC79" i="20" s="1"/>
  <c r="DC78" i="20" s="1"/>
  <c r="CY84" i="20" s="1"/>
  <c r="DF84" i="20" s="1"/>
  <c r="DD100" i="20"/>
  <c r="DE99" i="20" s="1"/>
  <c r="DC100" i="20" s="1"/>
  <c r="DC99" i="20" s="1"/>
  <c r="CY105" i="20" s="1"/>
  <c r="DJ105" i="20" s="1"/>
  <c r="DD37" i="27"/>
  <c r="DE36" i="27" s="1"/>
  <c r="DC37" i="27" s="1"/>
  <c r="DC36" i="27" s="1"/>
  <c r="CY42" i="27" s="1"/>
  <c r="CY43" i="27" s="1"/>
  <c r="DM43" i="27" s="1"/>
  <c r="DD121" i="27"/>
  <c r="DE120" i="27" s="1"/>
  <c r="DC121" i="27" s="1"/>
  <c r="DC120" i="27" s="1"/>
  <c r="CY126" i="27" s="1"/>
  <c r="CY127" i="27" s="1"/>
  <c r="DD100" i="27"/>
  <c r="DE99" i="27" s="1"/>
  <c r="DC100" i="27" s="1"/>
  <c r="DC99" i="27" s="1"/>
  <c r="CY105" i="27" s="1"/>
  <c r="DF105" i="27" s="1"/>
  <c r="DD79" i="27"/>
  <c r="DE78" i="27" s="1"/>
  <c r="DC79" i="27" s="1"/>
  <c r="DC78" i="27" s="1"/>
  <c r="CY84" i="27" s="1"/>
  <c r="DF84" i="27" s="1"/>
  <c r="DD58" i="27"/>
  <c r="DE57" i="27" s="1"/>
  <c r="DC58" i="27" s="1"/>
  <c r="DC57" i="27" s="1"/>
  <c r="CY63" i="27" s="1"/>
  <c r="DJ63" i="27" s="1"/>
  <c r="DD16" i="27"/>
  <c r="DE15" i="27" s="1"/>
  <c r="DC16" i="27" s="1"/>
  <c r="DC15" i="27" s="1"/>
  <c r="CY21" i="27" s="1"/>
  <c r="DJ21" i="27" s="1"/>
  <c r="DD142" i="27"/>
  <c r="DE141" i="27" s="1"/>
  <c r="DC142" i="27" s="1"/>
  <c r="DC141" i="27" s="1"/>
  <c r="CY147" i="27" s="1"/>
  <c r="CY148" i="27" s="1"/>
  <c r="CY149" i="27" s="1"/>
  <c r="DD79" i="25"/>
  <c r="DE78" i="25" s="1"/>
  <c r="DC79" i="25" s="1"/>
  <c r="DC78" i="25" s="1"/>
  <c r="CY84" i="25" s="1"/>
  <c r="DJ84" i="25" s="1"/>
  <c r="DD16" i="25"/>
  <c r="DE15" i="25" s="1"/>
  <c r="DC16" i="25" s="1"/>
  <c r="DC15" i="25" s="1"/>
  <c r="CY21" i="25" s="1"/>
  <c r="DF21" i="25" s="1"/>
  <c r="DD142" i="25"/>
  <c r="DE141" i="25" s="1"/>
  <c r="DC142" i="25" s="1"/>
  <c r="DC141" i="25" s="1"/>
  <c r="CY147" i="25" s="1"/>
  <c r="CY148" i="25" s="1"/>
  <c r="DJ148" i="25" s="1"/>
  <c r="DD100" i="25"/>
  <c r="DE99" i="25" s="1"/>
  <c r="DC100" i="25" s="1"/>
  <c r="DC99" i="25" s="1"/>
  <c r="CY105" i="25" s="1"/>
  <c r="DM105" i="25" s="1"/>
  <c r="DD37" i="25"/>
  <c r="DE36" i="25" s="1"/>
  <c r="DC37" i="25" s="1"/>
  <c r="DC36" i="25" s="1"/>
  <c r="CY42" i="25" s="1"/>
  <c r="CY43" i="25" s="1"/>
  <c r="CY44" i="25" s="1"/>
  <c r="DD121" i="25"/>
  <c r="DE120" i="25" s="1"/>
  <c r="DC121" i="25" s="1"/>
  <c r="DC120" i="25" s="1"/>
  <c r="CY126" i="25" s="1"/>
  <c r="DM126" i="25" s="1"/>
  <c r="DD58" i="25"/>
  <c r="DE57" i="25" s="1"/>
  <c r="DC58" i="25" s="1"/>
  <c r="DC57" i="25" s="1"/>
  <c r="CY63" i="25" s="1"/>
  <c r="DJ63" i="25" s="1"/>
  <c r="DD16" i="28"/>
  <c r="DE15" i="28" s="1"/>
  <c r="DC16" i="28" s="1"/>
  <c r="DC15" i="28" s="1"/>
  <c r="CY21" i="28" s="1"/>
  <c r="DJ21" i="28" s="1"/>
  <c r="DD58" i="28"/>
  <c r="DE57" i="28" s="1"/>
  <c r="DC58" i="28" s="1"/>
  <c r="DC57" i="28" s="1"/>
  <c r="CY63" i="28" s="1"/>
  <c r="DM63" i="28" s="1"/>
  <c r="DD37" i="28"/>
  <c r="DE36" i="28" s="1"/>
  <c r="DC37" i="28" s="1"/>
  <c r="DC36" i="28" s="1"/>
  <c r="CY42" i="28" s="1"/>
  <c r="DJ42" i="28" s="1"/>
  <c r="DD121" i="28"/>
  <c r="DE120" i="28" s="1"/>
  <c r="DC121" i="28" s="1"/>
  <c r="DC120" i="28" s="1"/>
  <c r="CY126" i="28" s="1"/>
  <c r="DJ126" i="28" s="1"/>
  <c r="DD142" i="28"/>
  <c r="DE141" i="28" s="1"/>
  <c r="DC142" i="28" s="1"/>
  <c r="DC141" i="28" s="1"/>
  <c r="CY147" i="28" s="1"/>
  <c r="DJ147" i="28" s="1"/>
  <c r="DD79" i="28"/>
  <c r="DE78" i="28" s="1"/>
  <c r="DC79" i="28" s="1"/>
  <c r="DC78" i="28" s="1"/>
  <c r="CY84" i="28" s="1"/>
  <c r="DM84" i="28" s="1"/>
  <c r="DD100" i="28"/>
  <c r="DE99" i="28" s="1"/>
  <c r="DC100" i="28" s="1"/>
  <c r="DC99" i="28" s="1"/>
  <c r="CY105" i="28" s="1"/>
  <c r="DF105" i="28" s="1"/>
  <c r="DD121" i="23"/>
  <c r="DE120" i="23" s="1"/>
  <c r="DC121" i="23" s="1"/>
  <c r="DC120" i="23" s="1"/>
  <c r="CY126" i="23" s="1"/>
  <c r="DJ126" i="23" s="1"/>
  <c r="DD142" i="23"/>
  <c r="DE141" i="23" s="1"/>
  <c r="DC142" i="23" s="1"/>
  <c r="DC141" i="23" s="1"/>
  <c r="CY147" i="23" s="1"/>
  <c r="DJ147" i="23" s="1"/>
  <c r="DD37" i="23"/>
  <c r="DE36" i="23" s="1"/>
  <c r="DC37" i="23" s="1"/>
  <c r="DC36" i="23" s="1"/>
  <c r="CY42" i="23" s="1"/>
  <c r="DF42" i="23" s="1"/>
  <c r="DD16" i="23"/>
  <c r="DE15" i="23" s="1"/>
  <c r="DC16" i="23" s="1"/>
  <c r="DC15" i="23" s="1"/>
  <c r="CY21" i="23" s="1"/>
  <c r="DJ21" i="23" s="1"/>
  <c r="DD58" i="23"/>
  <c r="DE57" i="23" s="1"/>
  <c r="DC58" i="23" s="1"/>
  <c r="DC57" i="23" s="1"/>
  <c r="CY63" i="23" s="1"/>
  <c r="DF63" i="23" s="1"/>
  <c r="DD100" i="23"/>
  <c r="DE99" i="23" s="1"/>
  <c r="DC100" i="23" s="1"/>
  <c r="DC99" i="23" s="1"/>
  <c r="CY105" i="23" s="1"/>
  <c r="DJ105" i="23" s="1"/>
  <c r="DD79" i="23"/>
  <c r="DE78" i="23" s="1"/>
  <c r="DC79" i="23" s="1"/>
  <c r="DC78" i="23" s="1"/>
  <c r="CY84" i="23" s="1"/>
  <c r="DJ84" i="23" s="1"/>
  <c r="DD79" i="21"/>
  <c r="DE78" i="21" s="1"/>
  <c r="DC79" i="21" s="1"/>
  <c r="DC78" i="21" s="1"/>
  <c r="CY84" i="21" s="1"/>
  <c r="DM84" i="21" s="1"/>
  <c r="DD121" i="21"/>
  <c r="DE120" i="21" s="1"/>
  <c r="DC121" i="21" s="1"/>
  <c r="DC120" i="21" s="1"/>
  <c r="CY126" i="21" s="1"/>
  <c r="DJ126" i="21" s="1"/>
  <c r="DD37" i="21"/>
  <c r="DE36" i="21" s="1"/>
  <c r="DC37" i="21" s="1"/>
  <c r="DC36" i="21" s="1"/>
  <c r="CY42" i="21" s="1"/>
  <c r="CY43" i="21" s="1"/>
  <c r="CY44" i="21" s="1"/>
  <c r="DD100" i="21"/>
  <c r="DE99" i="21" s="1"/>
  <c r="DC100" i="21" s="1"/>
  <c r="DC99" i="21" s="1"/>
  <c r="CY105" i="21" s="1"/>
  <c r="DF105" i="21" s="1"/>
  <c r="DD142" i="21"/>
  <c r="DE141" i="21" s="1"/>
  <c r="DC142" i="21" s="1"/>
  <c r="DC141" i="21" s="1"/>
  <c r="CY147" i="21" s="1"/>
  <c r="DM147" i="21" s="1"/>
  <c r="DD58" i="21"/>
  <c r="DE57" i="21" s="1"/>
  <c r="DC58" i="21" s="1"/>
  <c r="DC57" i="21" s="1"/>
  <c r="CY63" i="21" s="1"/>
  <c r="CY64" i="21" s="1"/>
  <c r="DD16" i="21"/>
  <c r="DE15" i="21" s="1"/>
  <c r="DC16" i="21" s="1"/>
  <c r="DC15" i="21" s="1"/>
  <c r="CY21" i="21" s="1"/>
  <c r="DF21" i="21" s="1"/>
  <c r="D149" i="37"/>
  <c r="I149" i="37" s="1"/>
  <c r="DM106" i="7"/>
  <c r="I124" i="30"/>
  <c r="CY149" i="7"/>
  <c r="DF149" i="7" s="1"/>
  <c r="CY107" i="7"/>
  <c r="DJ107" i="7" s="1"/>
  <c r="I147" i="31"/>
  <c r="DJ106" i="7"/>
  <c r="I124" i="38"/>
  <c r="D80" i="30"/>
  <c r="I80" i="30" s="1"/>
  <c r="D80" i="37"/>
  <c r="D85" i="37" s="1"/>
  <c r="I85" i="37" s="1"/>
  <c r="I124" i="35"/>
  <c r="I124" i="32"/>
  <c r="I32" i="30"/>
  <c r="I147" i="34"/>
  <c r="I32" i="38"/>
  <c r="I55" i="35"/>
  <c r="I124" i="33"/>
  <c r="D57" i="31"/>
  <c r="I57" i="31" s="1"/>
  <c r="D11" i="32"/>
  <c r="D16" i="32" s="1"/>
  <c r="I16" i="32" s="1"/>
  <c r="I32" i="33"/>
  <c r="D11" i="34"/>
  <c r="D16" i="34" s="1"/>
  <c r="I16" i="34" s="1"/>
  <c r="D34" i="34"/>
  <c r="D39" i="34" s="1"/>
  <c r="I39" i="34" s="1"/>
  <c r="I78" i="38"/>
  <c r="D11" i="30"/>
  <c r="D16" i="30" s="1"/>
  <c r="I16" i="30" s="1"/>
  <c r="D149" i="35"/>
  <c r="D154" i="35" s="1"/>
  <c r="I154" i="35" s="1"/>
  <c r="D103" i="37"/>
  <c r="I103" i="37" s="1"/>
  <c r="D103" i="34"/>
  <c r="I103" i="34" s="1"/>
  <c r="I147" i="30"/>
  <c r="I32" i="35"/>
  <c r="D126" i="31"/>
  <c r="I126" i="31" s="1"/>
  <c r="D103" i="30"/>
  <c r="I103" i="30" s="1"/>
  <c r="I55" i="32"/>
  <c r="I55" i="36"/>
  <c r="D103" i="31"/>
  <c r="I103" i="31" s="1"/>
  <c r="D57" i="33"/>
  <c r="D62" i="33" s="1"/>
  <c r="I62" i="33" s="1"/>
  <c r="I78" i="35"/>
  <c r="I78" i="32"/>
  <c r="I55" i="34"/>
  <c r="I9" i="36"/>
  <c r="I55" i="30"/>
  <c r="D34" i="36"/>
  <c r="I34" i="36" s="1"/>
  <c r="D80" i="31"/>
  <c r="I80" i="31" s="1"/>
  <c r="I9" i="33"/>
  <c r="I32" i="31"/>
  <c r="I78" i="34"/>
  <c r="I78" i="33"/>
  <c r="D103" i="32"/>
  <c r="D108" i="32" s="1"/>
  <c r="I108" i="32" s="1"/>
  <c r="I32" i="32"/>
  <c r="I124" i="36"/>
  <c r="I101" i="35"/>
  <c r="CZ57" i="14"/>
  <c r="O54" i="14" s="1"/>
  <c r="DJ148" i="7"/>
  <c r="DF148" i="7"/>
  <c r="DM148" i="7"/>
  <c r="H38" i="14"/>
  <c r="H59" i="14" s="1"/>
  <c r="H80" i="14" s="1"/>
  <c r="H101" i="14" s="1"/>
  <c r="H122" i="14" s="1"/>
  <c r="H143" i="14" s="1"/>
  <c r="H17" i="29"/>
  <c r="H17" i="28" s="1"/>
  <c r="H17" i="27" s="1"/>
  <c r="H17" i="26" s="1"/>
  <c r="H17" i="25" s="1"/>
  <c r="H17" i="24" s="1"/>
  <c r="D62" i="32"/>
  <c r="I62" i="32" s="1"/>
  <c r="I57" i="32"/>
  <c r="D39" i="31"/>
  <c r="I39" i="31" s="1"/>
  <c r="I34" i="31"/>
  <c r="D154" i="36"/>
  <c r="I154" i="36" s="1"/>
  <c r="I149" i="36"/>
  <c r="I34" i="38"/>
  <c r="D39" i="38"/>
  <c r="I39" i="38" s="1"/>
  <c r="I103" i="36"/>
  <c r="D108" i="36"/>
  <c r="I108" i="36" s="1"/>
  <c r="I126" i="37"/>
  <c r="D131" i="37"/>
  <c r="I131" i="37" s="1"/>
  <c r="H103" i="31"/>
  <c r="D131" i="32"/>
  <c r="I131" i="32" s="1"/>
  <c r="I126" i="32"/>
  <c r="I11" i="33"/>
  <c r="D16" i="33"/>
  <c r="I16" i="33" s="1"/>
  <c r="D16" i="37"/>
  <c r="I16" i="37" s="1"/>
  <c r="I11" i="37"/>
  <c r="H103" i="30"/>
  <c r="H80" i="32"/>
  <c r="D85" i="32"/>
  <c r="I85" i="32" s="1"/>
  <c r="I80" i="32"/>
  <c r="H34" i="31"/>
  <c r="D131" i="36"/>
  <c r="I131" i="36" s="1"/>
  <c r="I126" i="36"/>
  <c r="H126" i="32"/>
  <c r="D108" i="38"/>
  <c r="I108" i="38" s="1"/>
  <c r="I103" i="38"/>
  <c r="H57" i="34"/>
  <c r="I126" i="33"/>
  <c r="D131" i="33"/>
  <c r="I131" i="33" s="1"/>
  <c r="H80" i="31"/>
  <c r="D16" i="31"/>
  <c r="I16" i="31" s="1"/>
  <c r="I11" i="31"/>
  <c r="D108" i="33"/>
  <c r="I108" i="33" s="1"/>
  <c r="I103" i="33"/>
  <c r="I103" i="35"/>
  <c r="D108" i="35"/>
  <c r="I108" i="35" s="1"/>
  <c r="D39" i="30"/>
  <c r="I39" i="30" s="1"/>
  <c r="I34" i="30"/>
  <c r="I80" i="38"/>
  <c r="D85" i="38"/>
  <c r="I85" i="38" s="1"/>
  <c r="H149" i="31"/>
  <c r="AO36" i="7"/>
  <c r="H57" i="35"/>
  <c r="I34" i="35"/>
  <c r="D39" i="35"/>
  <c r="I39" i="35" s="1"/>
  <c r="H80" i="37"/>
  <c r="H149" i="37"/>
  <c r="I80" i="33"/>
  <c r="D85" i="33"/>
  <c r="I85" i="33" s="1"/>
  <c r="H103" i="37"/>
  <c r="I80" i="36"/>
  <c r="D85" i="36"/>
  <c r="I85" i="36" s="1"/>
  <c r="H57" i="32"/>
  <c r="I149" i="34"/>
  <c r="D154" i="34"/>
  <c r="I154" i="34" s="1"/>
  <c r="I34" i="32"/>
  <c r="D39" i="32"/>
  <c r="I39" i="32" s="1"/>
  <c r="D16" i="35"/>
  <c r="I16" i="35" s="1"/>
  <c r="I11" i="35"/>
  <c r="H34" i="30"/>
  <c r="D16" i="38"/>
  <c r="I16" i="38" s="1"/>
  <c r="I11" i="38"/>
  <c r="H149" i="30"/>
  <c r="D62" i="38"/>
  <c r="I62" i="38" s="1"/>
  <c r="I57" i="38"/>
  <c r="I11" i="36"/>
  <c r="D16" i="36"/>
  <c r="I16" i="36" s="1"/>
  <c r="D154" i="33"/>
  <c r="I154" i="33" s="1"/>
  <c r="I149" i="33"/>
  <c r="D62" i="30"/>
  <c r="I62" i="30" s="1"/>
  <c r="I57" i="30"/>
  <c r="D62" i="37"/>
  <c r="I62" i="37" s="1"/>
  <c r="I57" i="37"/>
  <c r="I80" i="35"/>
  <c r="D85" i="35"/>
  <c r="I85" i="35" s="1"/>
  <c r="H11" i="33"/>
  <c r="H34" i="35"/>
  <c r="D85" i="34"/>
  <c r="I85" i="34" s="1"/>
  <c r="I80" i="34"/>
  <c r="I149" i="32"/>
  <c r="D154" i="32"/>
  <c r="I154" i="32" s="1"/>
  <c r="H57" i="33"/>
  <c r="D62" i="36"/>
  <c r="I62" i="36" s="1"/>
  <c r="I57" i="36"/>
  <c r="D131" i="30"/>
  <c r="I131" i="30" s="1"/>
  <c r="I126" i="30"/>
  <c r="D62" i="35"/>
  <c r="I62" i="35" s="1"/>
  <c r="I57" i="35"/>
  <c r="D154" i="31"/>
  <c r="I154" i="31" s="1"/>
  <c r="I149" i="31"/>
  <c r="I149" i="30"/>
  <c r="D154" i="30"/>
  <c r="I154" i="30" s="1"/>
  <c r="H11" i="30"/>
  <c r="D39" i="33"/>
  <c r="I39" i="33" s="1"/>
  <c r="I34" i="33"/>
  <c r="D131" i="35"/>
  <c r="I131" i="35" s="1"/>
  <c r="I126" i="35"/>
  <c r="D39" i="37"/>
  <c r="I39" i="37" s="1"/>
  <c r="I34" i="37"/>
  <c r="I126" i="34"/>
  <c r="D131" i="34"/>
  <c r="I131" i="34" s="1"/>
  <c r="I57" i="34"/>
  <c r="D62" i="34"/>
  <c r="I62" i="34" s="1"/>
  <c r="D154" i="38"/>
  <c r="I154" i="38" s="1"/>
  <c r="I149" i="38"/>
  <c r="H103" i="32"/>
  <c r="D131" i="38"/>
  <c r="I131" i="38" s="1"/>
  <c r="I126" i="38"/>
  <c r="AO57" i="7"/>
  <c r="AB61" i="14"/>
  <c r="AQ62" i="7"/>
  <c r="Z40" i="14"/>
  <c r="AQ63" i="14"/>
  <c r="AQ71" i="14" s="1"/>
  <c r="AB63" i="14"/>
  <c r="AA61" i="14"/>
  <c r="Z62" i="14"/>
  <c r="AA62" i="14"/>
  <c r="AB62" i="14"/>
  <c r="AR50" i="14"/>
  <c r="AA41" i="14"/>
  <c r="Z41" i="14"/>
  <c r="Z20" i="14"/>
  <c r="AA20" i="14"/>
  <c r="AA29" i="14" s="1"/>
  <c r="U7" i="13" s="1"/>
  <c r="AQ39" i="14"/>
  <c r="AA39" i="14" s="1"/>
  <c r="AR71" i="14"/>
  <c r="AB60" i="14"/>
  <c r="AA60" i="14"/>
  <c r="AQ61" i="7"/>
  <c r="AR71" i="7"/>
  <c r="S65" i="7" s="1"/>
  <c r="AQ29" i="14"/>
  <c r="Z19" i="14"/>
  <c r="AR29" i="14"/>
  <c r="AR50" i="7"/>
  <c r="S44" i="7" s="1"/>
  <c r="AQ41" i="7"/>
  <c r="AQ43" i="7"/>
  <c r="AQ47" i="7"/>
  <c r="AQ42" i="7"/>
  <c r="AQ48" i="7"/>
  <c r="AQ46" i="7"/>
  <c r="Z39" i="7"/>
  <c r="AA39" i="7"/>
  <c r="AQ45" i="7"/>
  <c r="Z44" i="7"/>
  <c r="AA44" i="7"/>
  <c r="AQ40" i="7"/>
  <c r="CT104" i="6"/>
  <c r="BN19" i="7"/>
  <c r="AO68" i="7" l="1"/>
  <c r="AO66" i="7"/>
  <c r="AO69" i="7"/>
  <c r="AO67" i="7"/>
  <c r="AO65" i="7"/>
  <c r="AO47" i="7"/>
  <c r="AB47" i="7" s="1"/>
  <c r="AO48" i="7"/>
  <c r="AB48" i="7" s="1"/>
  <c r="AO60" i="7"/>
  <c r="AB60" i="7" s="1"/>
  <c r="AC60" i="7" s="1"/>
  <c r="AP60" i="7" s="1"/>
  <c r="AO63" i="7"/>
  <c r="AO64" i="7"/>
  <c r="BJ7" i="1"/>
  <c r="BJ16" i="1"/>
  <c r="BJ11" i="1"/>
  <c r="BJ26" i="1"/>
  <c r="BJ8" i="1"/>
  <c r="BJ20" i="1"/>
  <c r="BJ18" i="1"/>
  <c r="BJ23" i="1"/>
  <c r="BJ12" i="1"/>
  <c r="BJ10" i="1"/>
  <c r="BJ15" i="1"/>
  <c r="BJ19" i="1"/>
  <c r="BJ25" i="1"/>
  <c r="BJ22" i="1"/>
  <c r="BJ17" i="1"/>
  <c r="BJ14" i="1"/>
  <c r="BJ9" i="1"/>
  <c r="BJ21" i="1"/>
  <c r="BJ24" i="1"/>
  <c r="BJ13" i="1"/>
  <c r="BF25" i="1"/>
  <c r="BF22" i="1"/>
  <c r="BF17" i="1"/>
  <c r="BF14" i="1"/>
  <c r="BF9" i="1"/>
  <c r="BF21" i="1"/>
  <c r="BF24" i="1"/>
  <c r="BF13" i="1"/>
  <c r="BF7" i="1"/>
  <c r="BF16" i="1"/>
  <c r="BF11" i="1"/>
  <c r="BF26" i="1"/>
  <c r="BF8" i="1"/>
  <c r="BF20" i="1"/>
  <c r="BF18" i="1"/>
  <c r="BF23" i="1"/>
  <c r="BF12" i="1"/>
  <c r="BF10" i="1"/>
  <c r="BF15" i="1"/>
  <c r="BF19" i="1"/>
  <c r="CT105" i="6"/>
  <c r="CT106" i="6" s="1"/>
  <c r="CT107" i="6" s="1"/>
  <c r="CT108" i="6" s="1"/>
  <c r="AG126" i="11"/>
  <c r="A125" i="11"/>
  <c r="C16" i="9"/>
  <c r="A123" i="10"/>
  <c r="AG125" i="10"/>
  <c r="AO45" i="7"/>
  <c r="AB45" i="7" s="1"/>
  <c r="AO46" i="7"/>
  <c r="AB46" i="7" s="1"/>
  <c r="AO43" i="7"/>
  <c r="AB43" i="7" s="1"/>
  <c r="AO44" i="7"/>
  <c r="AB44" i="7" s="1"/>
  <c r="AO41" i="7"/>
  <c r="AB41" i="7" s="1"/>
  <c r="AO42" i="7"/>
  <c r="AB42" i="7" s="1"/>
  <c r="DF105" i="26"/>
  <c r="CY106" i="26"/>
  <c r="DM106" i="26" s="1"/>
  <c r="DM63" i="22"/>
  <c r="CY43" i="24"/>
  <c r="DM43" i="24" s="1"/>
  <c r="DJ63" i="22"/>
  <c r="CY64" i="22"/>
  <c r="CY65" i="22" s="1"/>
  <c r="DF65" i="22" s="1"/>
  <c r="AO39" i="7"/>
  <c r="AB39" i="7" s="1"/>
  <c r="AO40" i="7"/>
  <c r="AB40" i="7" s="1"/>
  <c r="DF42" i="25"/>
  <c r="DM42" i="24"/>
  <c r="DF42" i="24"/>
  <c r="DJ42" i="20"/>
  <c r="DJ42" i="25"/>
  <c r="DM84" i="27"/>
  <c r="DJ105" i="26"/>
  <c r="CY85" i="28"/>
  <c r="CY86" i="28" s="1"/>
  <c r="DJ86" i="28" s="1"/>
  <c r="CY85" i="27"/>
  <c r="DF85" i="27" s="1"/>
  <c r="DM42" i="20"/>
  <c r="DF42" i="20"/>
  <c r="DF84" i="28"/>
  <c r="DF84" i="23"/>
  <c r="H85" i="34"/>
  <c r="L85" i="34" s="1"/>
  <c r="H39" i="32"/>
  <c r="L39" i="32" s="1"/>
  <c r="H62" i="30"/>
  <c r="L62" i="30" s="1"/>
  <c r="H101" i="34"/>
  <c r="H103" i="34" s="1"/>
  <c r="H124" i="30"/>
  <c r="H126" i="30" s="1"/>
  <c r="H85" i="30"/>
  <c r="L85" i="30" s="1"/>
  <c r="DM84" i="23"/>
  <c r="CY85" i="23"/>
  <c r="DM85" i="23" s="1"/>
  <c r="CY87" i="7"/>
  <c r="DJ87" i="7" s="1"/>
  <c r="CY85" i="26"/>
  <c r="DJ85" i="26" s="1"/>
  <c r="DF42" i="22"/>
  <c r="CY127" i="26"/>
  <c r="CY128" i="26" s="1"/>
  <c r="CY129" i="26" s="1"/>
  <c r="DJ129" i="26" s="1"/>
  <c r="H124" i="33"/>
  <c r="H126" i="33" s="1"/>
  <c r="DM147" i="20"/>
  <c r="DF126" i="26"/>
  <c r="DF147" i="20"/>
  <c r="DJ43" i="22"/>
  <c r="DJ126" i="26"/>
  <c r="CY148" i="20"/>
  <c r="CY149" i="20" s="1"/>
  <c r="DJ149" i="20" s="1"/>
  <c r="DM43" i="22"/>
  <c r="DM42" i="22"/>
  <c r="DF84" i="26"/>
  <c r="A19" i="7"/>
  <c r="H23" i="7"/>
  <c r="DF105" i="22"/>
  <c r="DM21" i="27"/>
  <c r="CY43" i="28"/>
  <c r="CY44" i="28" s="1"/>
  <c r="DF44" i="28" s="1"/>
  <c r="DM42" i="26"/>
  <c r="H124" i="31"/>
  <c r="H126" i="31" s="1"/>
  <c r="H9" i="31"/>
  <c r="H11" i="31" s="1"/>
  <c r="H32" i="34"/>
  <c r="H34" i="34" s="1"/>
  <c r="H85" i="36"/>
  <c r="L85" i="36" s="1"/>
  <c r="H78" i="33"/>
  <c r="H80" i="33" s="1"/>
  <c r="H16" i="38"/>
  <c r="L16" i="38" s="1"/>
  <c r="CY127" i="21"/>
  <c r="DF127" i="21" s="1"/>
  <c r="DF63" i="25"/>
  <c r="DM126" i="21"/>
  <c r="DJ86" i="7"/>
  <c r="DF86" i="7"/>
  <c r="DM85" i="7"/>
  <c r="DJ85" i="7"/>
  <c r="DF85" i="7"/>
  <c r="H39" i="33"/>
  <c r="L39" i="33" s="1"/>
  <c r="H108" i="36"/>
  <c r="L108" i="36" s="1"/>
  <c r="H147" i="32"/>
  <c r="H149" i="32" s="1"/>
  <c r="H147" i="33"/>
  <c r="H149" i="33" s="1"/>
  <c r="H16" i="35"/>
  <c r="L16" i="35" s="1"/>
  <c r="H62" i="31"/>
  <c r="L62" i="31" s="1"/>
  <c r="H55" i="37"/>
  <c r="H57" i="37" s="1"/>
  <c r="AD129" i="6"/>
  <c r="U37" i="13"/>
  <c r="AD130" i="6"/>
  <c r="U60" i="13"/>
  <c r="AR28" i="14"/>
  <c r="AS28" i="14" s="1"/>
  <c r="AD128" i="6"/>
  <c r="U14" i="13"/>
  <c r="DF126" i="21"/>
  <c r="DM63" i="25"/>
  <c r="X128" i="6"/>
  <c r="U12" i="13"/>
  <c r="X130" i="6"/>
  <c r="U58" i="13"/>
  <c r="H16" i="32"/>
  <c r="L16" i="32" s="1"/>
  <c r="H16" i="34"/>
  <c r="L16" i="34" s="1"/>
  <c r="H108" i="33"/>
  <c r="L108" i="33" s="1"/>
  <c r="H147" i="34"/>
  <c r="H149" i="34" s="1"/>
  <c r="H131" i="34"/>
  <c r="L131" i="34" s="1"/>
  <c r="H9" i="36"/>
  <c r="H11" i="36" s="1"/>
  <c r="H9" i="37"/>
  <c r="H11" i="37" s="1"/>
  <c r="H147" i="36"/>
  <c r="H149" i="36" s="1"/>
  <c r="H39" i="37"/>
  <c r="L39" i="37" s="1"/>
  <c r="CY64" i="27"/>
  <c r="DF64" i="27" s="1"/>
  <c r="DM147" i="25"/>
  <c r="DJ147" i="22"/>
  <c r="DJ127" i="7"/>
  <c r="DF42" i="28"/>
  <c r="DF42" i="26"/>
  <c r="DM42" i="28"/>
  <c r="DM42" i="25"/>
  <c r="DF42" i="27"/>
  <c r="DM42" i="27"/>
  <c r="DM127" i="7"/>
  <c r="CY22" i="26"/>
  <c r="CY23" i="26" s="1"/>
  <c r="CY24" i="26" s="1"/>
  <c r="CY25" i="26" s="1"/>
  <c r="DJ25" i="26" s="1"/>
  <c r="DJ147" i="21"/>
  <c r="CY128" i="7"/>
  <c r="CY129" i="7" s="1"/>
  <c r="DJ129" i="7" s="1"/>
  <c r="CY127" i="20"/>
  <c r="DF127" i="20" s="1"/>
  <c r="DM147" i="22"/>
  <c r="DM148" i="25"/>
  <c r="DM63" i="27"/>
  <c r="DJ126" i="25"/>
  <c r="DM126" i="20"/>
  <c r="CY64" i="23"/>
  <c r="CY65" i="23" s="1"/>
  <c r="DJ65" i="23" s="1"/>
  <c r="DF148" i="25"/>
  <c r="DM63" i="23"/>
  <c r="DJ126" i="20"/>
  <c r="DJ105" i="28"/>
  <c r="DJ84" i="24"/>
  <c r="CY127" i="25"/>
  <c r="CY128" i="25" s="1"/>
  <c r="DF128" i="25" s="1"/>
  <c r="DJ126" i="27"/>
  <c r="CY106" i="21"/>
  <c r="CY107" i="21" s="1"/>
  <c r="DM107" i="21" s="1"/>
  <c r="CY149" i="26"/>
  <c r="DF149" i="26" s="1"/>
  <c r="DM84" i="20"/>
  <c r="DJ84" i="20"/>
  <c r="DM105" i="22"/>
  <c r="CY106" i="20"/>
  <c r="DJ106" i="20" s="1"/>
  <c r="DM105" i="21"/>
  <c r="DM21" i="26"/>
  <c r="DM147" i="26"/>
  <c r="DJ42" i="22"/>
  <c r="CY64" i="24"/>
  <c r="CY65" i="24" s="1"/>
  <c r="DF65" i="24" s="1"/>
  <c r="DJ147" i="27"/>
  <c r="DM21" i="24"/>
  <c r="DM42" i="21"/>
  <c r="DF148" i="26"/>
  <c r="DJ84" i="22"/>
  <c r="CY43" i="23"/>
  <c r="CY44" i="23" s="1"/>
  <c r="DF44" i="23" s="1"/>
  <c r="CY85" i="21"/>
  <c r="DF85" i="21" s="1"/>
  <c r="CY44" i="22"/>
  <c r="DF44" i="22" s="1"/>
  <c r="DM126" i="23"/>
  <c r="DJ42" i="21"/>
  <c r="DJ105" i="22"/>
  <c r="DF126" i="23"/>
  <c r="DJ63" i="24"/>
  <c r="DM147" i="27"/>
  <c r="DF21" i="24"/>
  <c r="DF42" i="21"/>
  <c r="DM84" i="25"/>
  <c r="DJ148" i="26"/>
  <c r="DF84" i="22"/>
  <c r="DJ42" i="23"/>
  <c r="DJ84" i="21"/>
  <c r="DJ147" i="26"/>
  <c r="CY64" i="25"/>
  <c r="DF64" i="25" s="1"/>
  <c r="CY148" i="23"/>
  <c r="DF148" i="23" s="1"/>
  <c r="CY127" i="23"/>
  <c r="CY128" i="23" s="1"/>
  <c r="DM128" i="23" s="1"/>
  <c r="DJ105" i="21"/>
  <c r="DJ21" i="26"/>
  <c r="CY85" i="20"/>
  <c r="CY86" i="20" s="1"/>
  <c r="CY87" i="20" s="1"/>
  <c r="DF87" i="20" s="1"/>
  <c r="DF147" i="26"/>
  <c r="DJ21" i="24"/>
  <c r="DM63" i="24"/>
  <c r="DF147" i="27"/>
  <c r="DJ84" i="26"/>
  <c r="DM84" i="22"/>
  <c r="DF84" i="21"/>
  <c r="DF63" i="28"/>
  <c r="DF147" i="23"/>
  <c r="DF21" i="27"/>
  <c r="DF21" i="28"/>
  <c r="DM147" i="23"/>
  <c r="DM84" i="24"/>
  <c r="CY64" i="28"/>
  <c r="DF64" i="28" s="1"/>
  <c r="DF63" i="27"/>
  <c r="CY22" i="27"/>
  <c r="DF22" i="27" s="1"/>
  <c r="CY106" i="28"/>
  <c r="CY107" i="28" s="1"/>
  <c r="DM107" i="28" s="1"/>
  <c r="DF126" i="25"/>
  <c r="DJ63" i="23"/>
  <c r="DJ63" i="21"/>
  <c r="CY22" i="25"/>
  <c r="DM22" i="25" s="1"/>
  <c r="DF43" i="27"/>
  <c r="CY149" i="25"/>
  <c r="DJ149" i="25" s="1"/>
  <c r="DJ42" i="27"/>
  <c r="DJ84" i="28"/>
  <c r="DM63" i="21"/>
  <c r="DJ21" i="25"/>
  <c r="DF126" i="28"/>
  <c r="CY85" i="25"/>
  <c r="CY86" i="25" s="1"/>
  <c r="DM86" i="25" s="1"/>
  <c r="DM21" i="23"/>
  <c r="CY22" i="20"/>
  <c r="CY23" i="20" s="1"/>
  <c r="DJ23" i="20" s="1"/>
  <c r="DJ43" i="27"/>
  <c r="DM105" i="24"/>
  <c r="DJ147" i="25"/>
  <c r="DM105" i="20"/>
  <c r="CY127" i="22"/>
  <c r="DF127" i="22" s="1"/>
  <c r="DJ84" i="27"/>
  <c r="CY43" i="26"/>
  <c r="CY44" i="26" s="1"/>
  <c r="DJ44" i="26" s="1"/>
  <c r="CY44" i="27"/>
  <c r="CY45" i="27" s="1"/>
  <c r="DJ45" i="27" s="1"/>
  <c r="CY85" i="24"/>
  <c r="DF85" i="24" s="1"/>
  <c r="DF147" i="24"/>
  <c r="DJ63" i="20"/>
  <c r="CY148" i="21"/>
  <c r="CY149" i="21" s="1"/>
  <c r="DF149" i="21" s="1"/>
  <c r="CY127" i="24"/>
  <c r="DJ127" i="24" s="1"/>
  <c r="CY127" i="28"/>
  <c r="DM127" i="28" s="1"/>
  <c r="DF63" i="21"/>
  <c r="DM21" i="25"/>
  <c r="DM126" i="28"/>
  <c r="DF84" i="25"/>
  <c r="DF126" i="27"/>
  <c r="DF21" i="23"/>
  <c r="DF21" i="20"/>
  <c r="DF126" i="22"/>
  <c r="DM126" i="22"/>
  <c r="DF147" i="22"/>
  <c r="DM126" i="27"/>
  <c r="CY22" i="23"/>
  <c r="DF22" i="23" s="1"/>
  <c r="DM21" i="20"/>
  <c r="DM42" i="23"/>
  <c r="CY22" i="21"/>
  <c r="DF22" i="21" s="1"/>
  <c r="DF147" i="25"/>
  <c r="DF105" i="20"/>
  <c r="CY106" i="24"/>
  <c r="CY107" i="24" s="1"/>
  <c r="DF107" i="24" s="1"/>
  <c r="DJ105" i="24"/>
  <c r="CY22" i="22"/>
  <c r="DJ22" i="22" s="1"/>
  <c r="DF147" i="21"/>
  <c r="CY148" i="28"/>
  <c r="CY149" i="28" s="1"/>
  <c r="DM149" i="28" s="1"/>
  <c r="DJ63" i="28"/>
  <c r="DF63" i="20"/>
  <c r="DF147" i="28"/>
  <c r="DM105" i="27"/>
  <c r="CY106" i="27"/>
  <c r="CY107" i="27" s="1"/>
  <c r="DJ107" i="27" s="1"/>
  <c r="DJ147" i="24"/>
  <c r="CY148" i="24"/>
  <c r="DF126" i="14"/>
  <c r="DJ126" i="14"/>
  <c r="DM126" i="14"/>
  <c r="CY127" i="14"/>
  <c r="DM105" i="23"/>
  <c r="CY64" i="20"/>
  <c r="CY65" i="20" s="1"/>
  <c r="DM65" i="20" s="1"/>
  <c r="DM147" i="28"/>
  <c r="DJ126" i="24"/>
  <c r="CY106" i="14"/>
  <c r="DJ105" i="14"/>
  <c r="DF105" i="14"/>
  <c r="DM105" i="14"/>
  <c r="DF105" i="23"/>
  <c r="DF105" i="25"/>
  <c r="DM63" i="26"/>
  <c r="DF21" i="22"/>
  <c r="DM105" i="28"/>
  <c r="CY106" i="23"/>
  <c r="CY107" i="23" s="1"/>
  <c r="DF107" i="23" s="1"/>
  <c r="CY106" i="25"/>
  <c r="DM106" i="25" s="1"/>
  <c r="DM21" i="21"/>
  <c r="DJ105" i="27"/>
  <c r="CY22" i="28"/>
  <c r="DM21" i="28"/>
  <c r="DJ105" i="25"/>
  <c r="DJ63" i="26"/>
  <c r="DJ21" i="22"/>
  <c r="DJ21" i="21"/>
  <c r="DM126" i="24"/>
  <c r="CY85" i="14"/>
  <c r="DJ84" i="14"/>
  <c r="DM84" i="14"/>
  <c r="DF84" i="14"/>
  <c r="DF63" i="26"/>
  <c r="CY148" i="14"/>
  <c r="DF147" i="14"/>
  <c r="DJ147" i="14"/>
  <c r="DM147" i="14"/>
  <c r="D85" i="30"/>
  <c r="I85" i="30" s="1"/>
  <c r="DJ149" i="7"/>
  <c r="I80" i="37"/>
  <c r="D154" i="37"/>
  <c r="I154" i="37" s="1"/>
  <c r="DM149" i="7"/>
  <c r="CY65" i="26"/>
  <c r="DJ65" i="26" s="1"/>
  <c r="CY45" i="20"/>
  <c r="DM45" i="20" s="1"/>
  <c r="DF43" i="25"/>
  <c r="DM107" i="7"/>
  <c r="DJ43" i="25"/>
  <c r="DM43" i="25"/>
  <c r="CY151" i="22"/>
  <c r="DM151" i="22" s="1"/>
  <c r="CY108" i="7"/>
  <c r="DJ108" i="7" s="1"/>
  <c r="CY150" i="27"/>
  <c r="CY151" i="27" s="1"/>
  <c r="DF151" i="27" s="1"/>
  <c r="CY24" i="24"/>
  <c r="CY25" i="24" s="1"/>
  <c r="DJ25" i="24" s="1"/>
  <c r="CY107" i="22"/>
  <c r="CY108" i="22" s="1"/>
  <c r="DF108" i="22" s="1"/>
  <c r="CY65" i="21"/>
  <c r="DM65" i="21" s="1"/>
  <c r="CY45" i="21"/>
  <c r="DM45" i="21" s="1"/>
  <c r="CY150" i="7"/>
  <c r="CY151" i="7" s="1"/>
  <c r="CY128" i="27"/>
  <c r="DJ128" i="27" s="1"/>
  <c r="DM44" i="25"/>
  <c r="DJ44" i="25"/>
  <c r="DF44" i="25"/>
  <c r="CY87" i="22"/>
  <c r="CY88" i="22" s="1"/>
  <c r="DF88" i="22" s="1"/>
  <c r="DF107" i="7"/>
  <c r="CY45" i="25"/>
  <c r="DJ64" i="26"/>
  <c r="I11" i="32"/>
  <c r="D62" i="31"/>
  <c r="I62" i="31" s="1"/>
  <c r="I11" i="34"/>
  <c r="I34" i="34"/>
  <c r="I11" i="30"/>
  <c r="D108" i="34"/>
  <c r="I108" i="34" s="1"/>
  <c r="D108" i="37"/>
  <c r="I108" i="37" s="1"/>
  <c r="I149" i="35"/>
  <c r="D108" i="30"/>
  <c r="I108" i="30" s="1"/>
  <c r="D39" i="36"/>
  <c r="I39" i="36" s="1"/>
  <c r="D108" i="31"/>
  <c r="I108" i="31" s="1"/>
  <c r="D131" i="31"/>
  <c r="I131" i="31" s="1"/>
  <c r="DM64" i="26"/>
  <c r="I57" i="33"/>
  <c r="D85" i="31"/>
  <c r="I85" i="31" s="1"/>
  <c r="I103" i="32"/>
  <c r="DJ43" i="20"/>
  <c r="DF43" i="20"/>
  <c r="DM43" i="20"/>
  <c r="DJ149" i="27"/>
  <c r="DM149" i="27"/>
  <c r="DF149" i="27"/>
  <c r="DJ22" i="24"/>
  <c r="DM22" i="24"/>
  <c r="DF22" i="24"/>
  <c r="DM63" i="14"/>
  <c r="DJ63" i="14"/>
  <c r="CY64" i="14"/>
  <c r="CY65" i="14" s="1"/>
  <c r="CY66" i="14" s="1"/>
  <c r="DF63" i="14"/>
  <c r="DF23" i="24"/>
  <c r="DM23" i="24"/>
  <c r="DJ23" i="24"/>
  <c r="DM43" i="21"/>
  <c r="DJ43" i="21"/>
  <c r="DF43" i="21"/>
  <c r="DF64" i="21"/>
  <c r="DM64" i="21"/>
  <c r="DJ64" i="21"/>
  <c r="DF86" i="22"/>
  <c r="DM86" i="22"/>
  <c r="DJ86" i="22"/>
  <c r="DM44" i="21"/>
  <c r="DF44" i="21"/>
  <c r="DJ44" i="21"/>
  <c r="DF150" i="22"/>
  <c r="DM150" i="22"/>
  <c r="DJ150" i="22"/>
  <c r="DJ148" i="22"/>
  <c r="DF148" i="22"/>
  <c r="DM148" i="22"/>
  <c r="DM44" i="20"/>
  <c r="DF44" i="20"/>
  <c r="DJ44" i="20"/>
  <c r="DJ148" i="27"/>
  <c r="DF148" i="27"/>
  <c r="DM148" i="27"/>
  <c r="DF85" i="22"/>
  <c r="DM85" i="22"/>
  <c r="DJ85" i="22"/>
  <c r="DJ149" i="22"/>
  <c r="DF149" i="22"/>
  <c r="DM149" i="22"/>
  <c r="DF127" i="27"/>
  <c r="DM127" i="27"/>
  <c r="DJ127" i="27"/>
  <c r="DF106" i="22"/>
  <c r="DM106" i="22"/>
  <c r="DJ106" i="22"/>
  <c r="H38" i="27"/>
  <c r="H59" i="27" s="1"/>
  <c r="H80" i="27" s="1"/>
  <c r="H101" i="27" s="1"/>
  <c r="H122" i="27" s="1"/>
  <c r="H143" i="27" s="1"/>
  <c r="AO15" i="27"/>
  <c r="AO15" i="26"/>
  <c r="H38" i="28"/>
  <c r="AO15" i="28"/>
  <c r="H38" i="26"/>
  <c r="H38" i="25"/>
  <c r="H59" i="25" s="1"/>
  <c r="H80" i="25" s="1"/>
  <c r="H101" i="25" s="1"/>
  <c r="H122" i="25" s="1"/>
  <c r="H143" i="25" s="1"/>
  <c r="AO15" i="25"/>
  <c r="AO57" i="14"/>
  <c r="H38" i="24"/>
  <c r="H17" i="23"/>
  <c r="H17" i="22" s="1"/>
  <c r="H17" i="21" s="1"/>
  <c r="H17" i="20" s="1"/>
  <c r="AO15" i="24"/>
  <c r="AO78" i="14"/>
  <c r="F170" i="6"/>
  <c r="AO78" i="7"/>
  <c r="AC61" i="14"/>
  <c r="AP61" i="14" s="1"/>
  <c r="AO62" i="7"/>
  <c r="AB62" i="7" s="1"/>
  <c r="AO61" i="7"/>
  <c r="AB61" i="7" s="1"/>
  <c r="Z29" i="14"/>
  <c r="U6" i="13" s="1"/>
  <c r="AB71" i="14"/>
  <c r="U56" i="13" s="1"/>
  <c r="AA62" i="7"/>
  <c r="Z62" i="7"/>
  <c r="AC62" i="14"/>
  <c r="AP62" i="14" s="1"/>
  <c r="AQ50" i="14"/>
  <c r="Z39" i="14"/>
  <c r="Z50" i="14" s="1"/>
  <c r="U29" i="13" s="1"/>
  <c r="AR49" i="14"/>
  <c r="AA63" i="14"/>
  <c r="AA71" i="14" s="1"/>
  <c r="U53" i="13" s="1"/>
  <c r="Z63" i="14"/>
  <c r="Z71" i="14" s="1"/>
  <c r="U52" i="13" s="1"/>
  <c r="AA50" i="14"/>
  <c r="U30" i="13" s="1"/>
  <c r="H177" i="6"/>
  <c r="E184" i="6"/>
  <c r="F191" i="6"/>
  <c r="AC60" i="14"/>
  <c r="AR70" i="14"/>
  <c r="AR70" i="7"/>
  <c r="S66" i="7" s="1"/>
  <c r="AA61" i="7"/>
  <c r="Z61" i="7"/>
  <c r="AQ71" i="7"/>
  <c r="AR49" i="7"/>
  <c r="S45" i="7" s="1"/>
  <c r="Z48" i="7"/>
  <c r="AA48" i="7"/>
  <c r="AA43" i="7"/>
  <c r="Z43" i="7"/>
  <c r="AA40" i="7"/>
  <c r="Z40" i="7"/>
  <c r="AQ50" i="7"/>
  <c r="Z42" i="7"/>
  <c r="AA42" i="7"/>
  <c r="AA41" i="7"/>
  <c r="Z41" i="7"/>
  <c r="AA45" i="7"/>
  <c r="Z45" i="7"/>
  <c r="AA46" i="7"/>
  <c r="Z46" i="7"/>
  <c r="AA47" i="7"/>
  <c r="Z47" i="7"/>
  <c r="G156" i="6"/>
  <c r="C156" i="6"/>
  <c r="F156" i="6"/>
  <c r="M156" i="6"/>
  <c r="B156" i="6"/>
  <c r="I156" i="6"/>
  <c r="H156" i="6"/>
  <c r="E156" i="6"/>
  <c r="D156" i="6"/>
  <c r="E142" i="6"/>
  <c r="H142" i="6"/>
  <c r="M142" i="6"/>
  <c r="D142" i="6"/>
  <c r="B142" i="6"/>
  <c r="C142" i="6"/>
  <c r="I142" i="6"/>
  <c r="G142" i="6"/>
  <c r="F142" i="6"/>
  <c r="M121" i="6"/>
  <c r="C121" i="6"/>
  <c r="I121" i="6"/>
  <c r="G121" i="6"/>
  <c r="H121" i="6"/>
  <c r="E121" i="6"/>
  <c r="D121" i="6"/>
  <c r="B121" i="6"/>
  <c r="F121" i="6"/>
  <c r="H198" i="6"/>
  <c r="C198" i="6"/>
  <c r="D198" i="6"/>
  <c r="M198" i="6"/>
  <c r="I198" i="6"/>
  <c r="G198" i="6"/>
  <c r="B198" i="6"/>
  <c r="E198" i="6"/>
  <c r="F198" i="6"/>
  <c r="I149" i="6"/>
  <c r="G149" i="6"/>
  <c r="H149" i="6"/>
  <c r="F149" i="6"/>
  <c r="M149" i="6"/>
  <c r="E149" i="6"/>
  <c r="D149" i="6"/>
  <c r="B149" i="6"/>
  <c r="C149" i="6"/>
  <c r="E163" i="6"/>
  <c r="G163" i="6"/>
  <c r="F163" i="6"/>
  <c r="M163" i="6"/>
  <c r="D163" i="6"/>
  <c r="I163" i="6"/>
  <c r="C163" i="6"/>
  <c r="H163" i="6"/>
  <c r="B163" i="6"/>
  <c r="BN20" i="7"/>
  <c r="AC44" i="7" l="1"/>
  <c r="AP44" i="7" s="1"/>
  <c r="CY66" i="22"/>
  <c r="CY67" i="22" s="1"/>
  <c r="DM67" i="22" s="1"/>
  <c r="AB67" i="7"/>
  <c r="AC67" i="7" s="1"/>
  <c r="AP67" i="7" s="1"/>
  <c r="AB69" i="7"/>
  <c r="AC69" i="7" s="1"/>
  <c r="AP69" i="7" s="1"/>
  <c r="AB66" i="7"/>
  <c r="AC66" i="7" s="1"/>
  <c r="AP66" i="7" s="1"/>
  <c r="AB65" i="7"/>
  <c r="AC65" i="7" s="1"/>
  <c r="AP65" i="7" s="1"/>
  <c r="AB68" i="7"/>
  <c r="AC68" i="7" s="1"/>
  <c r="AP68" i="7" s="1"/>
  <c r="AC47" i="7"/>
  <c r="AP47" i="7" s="1"/>
  <c r="CY46" i="27"/>
  <c r="CY47" i="27" s="1"/>
  <c r="DF47" i="27" s="1"/>
  <c r="CY107" i="26"/>
  <c r="DJ107" i="26" s="1"/>
  <c r="DM87" i="7"/>
  <c r="CY86" i="26"/>
  <c r="DM86" i="26" s="1"/>
  <c r="CY128" i="20"/>
  <c r="DJ128" i="20" s="1"/>
  <c r="CY66" i="24"/>
  <c r="CY67" i="24" s="1"/>
  <c r="DJ67" i="24" s="1"/>
  <c r="CY130" i="26"/>
  <c r="CY131" i="26" s="1"/>
  <c r="DF131" i="26" s="1"/>
  <c r="CY65" i="27"/>
  <c r="CY66" i="27" s="1"/>
  <c r="DF66" i="27" s="1"/>
  <c r="CY45" i="23"/>
  <c r="CY46" i="23" s="1"/>
  <c r="DJ46" i="23" s="1"/>
  <c r="CY86" i="27"/>
  <c r="DM86" i="27" s="1"/>
  <c r="CY86" i="23"/>
  <c r="CY87" i="23" s="1"/>
  <c r="DJ87" i="23" s="1"/>
  <c r="DJ85" i="27"/>
  <c r="AB64" i="7"/>
  <c r="AC64" i="7" s="1"/>
  <c r="AP64" i="7" s="1"/>
  <c r="AB63" i="7"/>
  <c r="AC63" i="7" s="1"/>
  <c r="AP63" i="7" s="1"/>
  <c r="CY149" i="23"/>
  <c r="DF149" i="23" s="1"/>
  <c r="CY128" i="21"/>
  <c r="DF128" i="21" s="1"/>
  <c r="CY107" i="25"/>
  <c r="CY108" i="25" s="1"/>
  <c r="DJ108" i="25" s="1"/>
  <c r="CY44" i="24"/>
  <c r="DF44" i="24" s="1"/>
  <c r="CY87" i="28"/>
  <c r="DM87" i="28" s="1"/>
  <c r="CY26" i="26"/>
  <c r="DM26" i="26" s="1"/>
  <c r="CY45" i="28"/>
  <c r="DJ45" i="28" s="1"/>
  <c r="CY23" i="25"/>
  <c r="DJ23" i="25" s="1"/>
  <c r="CY150" i="20"/>
  <c r="DM150" i="20" s="1"/>
  <c r="Z71" i="7"/>
  <c r="AC42" i="7"/>
  <c r="AP42" i="7" s="1"/>
  <c r="DF106" i="26"/>
  <c r="CT109" i="6"/>
  <c r="CT96" i="6" s="1"/>
  <c r="AC46" i="7"/>
  <c r="AP46" i="7" s="1"/>
  <c r="DF43" i="24"/>
  <c r="DJ106" i="26"/>
  <c r="BR26" i="25"/>
  <c r="A125" i="10"/>
  <c r="AG126" i="10"/>
  <c r="AG127" i="11"/>
  <c r="A126" i="11"/>
  <c r="AO53" i="7"/>
  <c r="AO54" i="7"/>
  <c r="DJ43" i="24"/>
  <c r="DJ64" i="22"/>
  <c r="DJ65" i="22"/>
  <c r="DM64" i="22"/>
  <c r="DM65" i="22"/>
  <c r="DF64" i="22"/>
  <c r="DC38" i="7"/>
  <c r="DC36" i="7" s="1"/>
  <c r="CY42" i="7" s="1"/>
  <c r="AO50" i="7"/>
  <c r="AB50" i="7"/>
  <c r="AO33" i="7"/>
  <c r="AO32" i="7"/>
  <c r="AC39" i="7"/>
  <c r="AP39" i="7" s="1"/>
  <c r="DF85" i="28"/>
  <c r="DF87" i="7"/>
  <c r="CY88" i="7"/>
  <c r="DF88" i="7" s="1"/>
  <c r="DM86" i="28"/>
  <c r="DF86" i="28"/>
  <c r="DJ85" i="28"/>
  <c r="DM85" i="28"/>
  <c r="DM85" i="27"/>
  <c r="DJ44" i="22"/>
  <c r="DM127" i="20"/>
  <c r="DM85" i="26"/>
  <c r="DF85" i="23"/>
  <c r="DJ85" i="23"/>
  <c r="DF85" i="26"/>
  <c r="DF148" i="20"/>
  <c r="DJ148" i="20"/>
  <c r="DM149" i="20"/>
  <c r="DF149" i="20"/>
  <c r="DM148" i="20"/>
  <c r="DF127" i="26"/>
  <c r="DJ127" i="26"/>
  <c r="DM129" i="26"/>
  <c r="DJ128" i="26"/>
  <c r="DF129" i="26"/>
  <c r="DM128" i="26"/>
  <c r="DF128" i="26"/>
  <c r="DM127" i="26"/>
  <c r="DJ127" i="20"/>
  <c r="DM44" i="22"/>
  <c r="DM148" i="23"/>
  <c r="DJ43" i="28"/>
  <c r="DM43" i="28"/>
  <c r="DJ44" i="28"/>
  <c r="DM44" i="28"/>
  <c r="DJ127" i="21"/>
  <c r="DM127" i="21"/>
  <c r="DF43" i="28"/>
  <c r="DM64" i="27"/>
  <c r="DM24" i="26"/>
  <c r="DF23" i="26"/>
  <c r="A20" i="7"/>
  <c r="H24" i="7"/>
  <c r="DJ148" i="23"/>
  <c r="DF64" i="24"/>
  <c r="DJ107" i="23"/>
  <c r="DF129" i="7"/>
  <c r="DJ128" i="7"/>
  <c r="CY130" i="7"/>
  <c r="DJ130" i="7" s="1"/>
  <c r="DM128" i="7"/>
  <c r="DF106" i="20"/>
  <c r="DJ107" i="24"/>
  <c r="DM106" i="20"/>
  <c r="DF44" i="27"/>
  <c r="DJ106" i="28"/>
  <c r="DM25" i="26"/>
  <c r="DF25" i="26"/>
  <c r="DF22" i="26"/>
  <c r="DJ22" i="26"/>
  <c r="DM22" i="26"/>
  <c r="DJ24" i="26"/>
  <c r="DJ23" i="26"/>
  <c r="DF24" i="26"/>
  <c r="DM23" i="26"/>
  <c r="DM129" i="7"/>
  <c r="DF128" i="7"/>
  <c r="X129" i="6"/>
  <c r="U35" i="13"/>
  <c r="AE128" i="6"/>
  <c r="C19" i="13"/>
  <c r="AE130" i="6"/>
  <c r="C65" i="13"/>
  <c r="AS49" i="14"/>
  <c r="AE129" i="6"/>
  <c r="C42" i="13"/>
  <c r="DJ88" i="22"/>
  <c r="DF106" i="25"/>
  <c r="AO36" i="26"/>
  <c r="H59" i="26"/>
  <c r="H80" i="26" s="1"/>
  <c r="H101" i="26" s="1"/>
  <c r="H122" i="26" s="1"/>
  <c r="H143" i="26" s="1"/>
  <c r="AO36" i="24"/>
  <c r="H59" i="24"/>
  <c r="H80" i="24" s="1"/>
  <c r="H101" i="24" s="1"/>
  <c r="H122" i="24" s="1"/>
  <c r="H143" i="24" s="1"/>
  <c r="AO36" i="28"/>
  <c r="H59" i="28"/>
  <c r="H80" i="28" s="1"/>
  <c r="H101" i="28" s="1"/>
  <c r="H122" i="28" s="1"/>
  <c r="H143" i="28" s="1"/>
  <c r="DF127" i="24"/>
  <c r="DM127" i="23"/>
  <c r="DF106" i="21"/>
  <c r="DF64" i="23"/>
  <c r="DM43" i="23"/>
  <c r="DF65" i="23"/>
  <c r="DF43" i="23"/>
  <c r="DM65" i="23"/>
  <c r="DJ43" i="26"/>
  <c r="DJ106" i="21"/>
  <c r="DJ64" i="27"/>
  <c r="CY107" i="20"/>
  <c r="CY108" i="20" s="1"/>
  <c r="DF108" i="20" s="1"/>
  <c r="DJ128" i="25"/>
  <c r="CY108" i="24"/>
  <c r="DM108" i="24" s="1"/>
  <c r="DM23" i="20"/>
  <c r="DM128" i="25"/>
  <c r="DJ127" i="25"/>
  <c r="DF23" i="20"/>
  <c r="DM45" i="27"/>
  <c r="DM127" i="25"/>
  <c r="DJ44" i="27"/>
  <c r="DM107" i="24"/>
  <c r="DM149" i="25"/>
  <c r="DM106" i="24"/>
  <c r="DM149" i="26"/>
  <c r="DJ64" i="25"/>
  <c r="DJ43" i="23"/>
  <c r="DJ149" i="26"/>
  <c r="DJ44" i="23"/>
  <c r="DJ149" i="28"/>
  <c r="CY66" i="23"/>
  <c r="CY67" i="23" s="1"/>
  <c r="DF67" i="23" s="1"/>
  <c r="CY150" i="26"/>
  <c r="DJ150" i="26" s="1"/>
  <c r="CY129" i="25"/>
  <c r="DF129" i="25" s="1"/>
  <c r="DM44" i="23"/>
  <c r="DJ85" i="20"/>
  <c r="DF149" i="28"/>
  <c r="DF45" i="27"/>
  <c r="DM148" i="21"/>
  <c r="DJ64" i="23"/>
  <c r="DF86" i="20"/>
  <c r="CY150" i="28"/>
  <c r="DF150" i="28" s="1"/>
  <c r="DF127" i="25"/>
  <c r="DM64" i="23"/>
  <c r="DJ86" i="20"/>
  <c r="DM106" i="21"/>
  <c r="DM85" i="20"/>
  <c r="DF106" i="28"/>
  <c r="DJ22" i="27"/>
  <c r="DF85" i="20"/>
  <c r="DJ87" i="20"/>
  <c r="CY23" i="27"/>
  <c r="DF23" i="27" s="1"/>
  <c r="DJ107" i="28"/>
  <c r="DF107" i="28"/>
  <c r="DM106" i="28"/>
  <c r="DJ22" i="23"/>
  <c r="DM87" i="20"/>
  <c r="DF106" i="27"/>
  <c r="CY108" i="28"/>
  <c r="CY109" i="28" s="1"/>
  <c r="DF109" i="28" s="1"/>
  <c r="CY108" i="27"/>
  <c r="CY109" i="27" s="1"/>
  <c r="CY110" i="27" s="1"/>
  <c r="DM110" i="27" s="1"/>
  <c r="DM86" i="20"/>
  <c r="CY88" i="20"/>
  <c r="DJ88" i="20" s="1"/>
  <c r="CY86" i="24"/>
  <c r="CY87" i="24" s="1"/>
  <c r="DM87" i="24" s="1"/>
  <c r="DM22" i="27"/>
  <c r="DJ64" i="28"/>
  <c r="CY128" i="22"/>
  <c r="CY129" i="22" s="1"/>
  <c r="DF129" i="22" s="1"/>
  <c r="CY45" i="22"/>
  <c r="DJ45" i="22" s="1"/>
  <c r="CY129" i="23"/>
  <c r="CY130" i="23" s="1"/>
  <c r="DM130" i="23" s="1"/>
  <c r="DM85" i="25"/>
  <c r="DM107" i="23"/>
  <c r="DJ65" i="24"/>
  <c r="DM64" i="24"/>
  <c r="DJ127" i="22"/>
  <c r="DM64" i="25"/>
  <c r="DM64" i="28"/>
  <c r="DM127" i="22"/>
  <c r="DJ148" i="28"/>
  <c r="CY150" i="21"/>
  <c r="CY151" i="21" s="1"/>
  <c r="CY152" i="21" s="1"/>
  <c r="DJ85" i="21"/>
  <c r="DJ127" i="23"/>
  <c r="DJ85" i="25"/>
  <c r="CY23" i="21"/>
  <c r="DM23" i="21" s="1"/>
  <c r="DJ128" i="23"/>
  <c r="DM106" i="23"/>
  <c r="DF85" i="25"/>
  <c r="DM65" i="24"/>
  <c r="DJ127" i="28"/>
  <c r="DJ22" i="25"/>
  <c r="DM22" i="21"/>
  <c r="DJ148" i="21"/>
  <c r="DM44" i="26"/>
  <c r="DF128" i="23"/>
  <c r="CY128" i="28"/>
  <c r="CY129" i="28" s="1"/>
  <c r="DJ129" i="28" s="1"/>
  <c r="DJ64" i="24"/>
  <c r="DF44" i="26"/>
  <c r="DJ106" i="23"/>
  <c r="DJ106" i="25"/>
  <c r="DF127" i="28"/>
  <c r="DF22" i="25"/>
  <c r="DM85" i="21"/>
  <c r="DM148" i="28"/>
  <c r="DJ22" i="21"/>
  <c r="CY86" i="21"/>
  <c r="DM86" i="21" s="1"/>
  <c r="DF43" i="26"/>
  <c r="DM43" i="26"/>
  <c r="DF127" i="23"/>
  <c r="DF106" i="23"/>
  <c r="DF148" i="28"/>
  <c r="CY45" i="26"/>
  <c r="CY46" i="26" s="1"/>
  <c r="CY65" i="25"/>
  <c r="DJ65" i="25" s="1"/>
  <c r="CY65" i="28"/>
  <c r="DJ65" i="28" s="1"/>
  <c r="DF148" i="21"/>
  <c r="DM127" i="24"/>
  <c r="CY66" i="20"/>
  <c r="CY67" i="20" s="1"/>
  <c r="DM67" i="20" s="1"/>
  <c r="DF64" i="20"/>
  <c r="DF65" i="20"/>
  <c r="DF149" i="25"/>
  <c r="CY23" i="22"/>
  <c r="DJ23" i="22" s="1"/>
  <c r="CY23" i="23"/>
  <c r="DJ23" i="23" s="1"/>
  <c r="DM149" i="21"/>
  <c r="DJ149" i="21"/>
  <c r="DM85" i="24"/>
  <c r="DJ65" i="20"/>
  <c r="DM107" i="27"/>
  <c r="DJ64" i="20"/>
  <c r="DJ22" i="20"/>
  <c r="DM22" i="22"/>
  <c r="DM44" i="27"/>
  <c r="CY150" i="25"/>
  <c r="DM150" i="25" s="1"/>
  <c r="CY128" i="24"/>
  <c r="DF128" i="24" s="1"/>
  <c r="DF107" i="27"/>
  <c r="DM22" i="23"/>
  <c r="DM64" i="20"/>
  <c r="DM22" i="20"/>
  <c r="CY24" i="20"/>
  <c r="CY25" i="20" s="1"/>
  <c r="DM25" i="20" s="1"/>
  <c r="DF22" i="22"/>
  <c r="DJ106" i="24"/>
  <c r="DJ106" i="27"/>
  <c r="DF22" i="20"/>
  <c r="DF106" i="24"/>
  <c r="DJ85" i="24"/>
  <c r="DM106" i="27"/>
  <c r="DF148" i="14"/>
  <c r="DJ148" i="14"/>
  <c r="DM148" i="14"/>
  <c r="CY149" i="14"/>
  <c r="DF106" i="14"/>
  <c r="DM106" i="14"/>
  <c r="CY107" i="14"/>
  <c r="DJ106" i="14"/>
  <c r="DF22" i="28"/>
  <c r="DJ22" i="28"/>
  <c r="DM22" i="28"/>
  <c r="CY23" i="28"/>
  <c r="CY86" i="14"/>
  <c r="CY87" i="14" s="1"/>
  <c r="DJ85" i="14"/>
  <c r="DF85" i="14"/>
  <c r="DM85" i="14"/>
  <c r="DM148" i="24"/>
  <c r="CY149" i="24"/>
  <c r="DJ148" i="24"/>
  <c r="DF148" i="24"/>
  <c r="CY108" i="23"/>
  <c r="CY109" i="23" s="1"/>
  <c r="DJ109" i="23" s="1"/>
  <c r="DM127" i="14"/>
  <c r="DJ127" i="14"/>
  <c r="DF127" i="14"/>
  <c r="CY128" i="14"/>
  <c r="CY66" i="26"/>
  <c r="CY67" i="26" s="1"/>
  <c r="DM67" i="26" s="1"/>
  <c r="DM65" i="26"/>
  <c r="DF65" i="26"/>
  <c r="DM88" i="22"/>
  <c r="DF23" i="25"/>
  <c r="DF87" i="22"/>
  <c r="DJ107" i="22"/>
  <c r="DF107" i="22"/>
  <c r="DM108" i="7"/>
  <c r="DF151" i="22"/>
  <c r="DM107" i="22"/>
  <c r="DF24" i="24"/>
  <c r="DM25" i="24"/>
  <c r="DJ24" i="24"/>
  <c r="DJ151" i="22"/>
  <c r="DF107" i="21"/>
  <c r="DF45" i="20"/>
  <c r="DJ45" i="21"/>
  <c r="DJ87" i="22"/>
  <c r="DM24" i="24"/>
  <c r="DJ150" i="27"/>
  <c r="DF25" i="24"/>
  <c r="DM87" i="22"/>
  <c r="CY108" i="21"/>
  <c r="CY109" i="21" s="1"/>
  <c r="DM150" i="27"/>
  <c r="DJ151" i="27"/>
  <c r="DF150" i="27"/>
  <c r="DJ86" i="25"/>
  <c r="DM128" i="27"/>
  <c r="DF45" i="21"/>
  <c r="CY109" i="7"/>
  <c r="DF109" i="7" s="1"/>
  <c r="CY129" i="27"/>
  <c r="DF86" i="25"/>
  <c r="DM151" i="27"/>
  <c r="DF65" i="21"/>
  <c r="DF128" i="27"/>
  <c r="CY46" i="20"/>
  <c r="DJ65" i="21"/>
  <c r="DJ107" i="21"/>
  <c r="DJ45" i="20"/>
  <c r="CY67" i="14"/>
  <c r="CY68" i="14" s="1"/>
  <c r="CY69" i="14" s="1"/>
  <c r="CY152" i="22"/>
  <c r="CY153" i="22" s="1"/>
  <c r="DF108" i="7"/>
  <c r="CY152" i="27"/>
  <c r="CY153" i="27" s="1"/>
  <c r="DM108" i="22"/>
  <c r="DJ108" i="22"/>
  <c r="CY89" i="22"/>
  <c r="CY90" i="22" s="1"/>
  <c r="CY46" i="21"/>
  <c r="CY109" i="22"/>
  <c r="CY110" i="22" s="1"/>
  <c r="CY26" i="24"/>
  <c r="DJ151" i="7"/>
  <c r="DF151" i="7"/>
  <c r="DM151" i="7"/>
  <c r="DJ45" i="25"/>
  <c r="DM45" i="25"/>
  <c r="DF45" i="25"/>
  <c r="CY87" i="25"/>
  <c r="CY46" i="25"/>
  <c r="CY66" i="21"/>
  <c r="CY152" i="7"/>
  <c r="DF150" i="7"/>
  <c r="DM150" i="7"/>
  <c r="DJ150" i="7"/>
  <c r="AO36" i="27"/>
  <c r="DM65" i="14"/>
  <c r="DJ65" i="14"/>
  <c r="DF65" i="14"/>
  <c r="DF66" i="14"/>
  <c r="DM66" i="14"/>
  <c r="DJ66" i="14"/>
  <c r="DF64" i="14"/>
  <c r="DM64" i="14"/>
  <c r="DJ64" i="14"/>
  <c r="DC59" i="7"/>
  <c r="AO36" i="25"/>
  <c r="H38" i="20"/>
  <c r="H59" i="20" s="1"/>
  <c r="H80" i="20" s="1"/>
  <c r="H101" i="20" s="1"/>
  <c r="H122" i="20" s="1"/>
  <c r="H143" i="20" s="1"/>
  <c r="AO15" i="20"/>
  <c r="AO15" i="21"/>
  <c r="H38" i="21"/>
  <c r="H59" i="21" s="1"/>
  <c r="H80" i="21" s="1"/>
  <c r="H101" i="21" s="1"/>
  <c r="H122" i="21" s="1"/>
  <c r="H143" i="21" s="1"/>
  <c r="AO15" i="22"/>
  <c r="H38" i="22"/>
  <c r="H59" i="22" s="1"/>
  <c r="H80" i="22" s="1"/>
  <c r="H101" i="22" s="1"/>
  <c r="H122" i="22" s="1"/>
  <c r="H143" i="22" s="1"/>
  <c r="AO15" i="23"/>
  <c r="H38" i="23"/>
  <c r="H59" i="23" s="1"/>
  <c r="H80" i="23" s="1"/>
  <c r="H101" i="23" s="1"/>
  <c r="H122" i="23" s="1"/>
  <c r="H143" i="23" s="1"/>
  <c r="AO57" i="27"/>
  <c r="AO57" i="25"/>
  <c r="E170" i="6"/>
  <c r="AO99" i="14"/>
  <c r="H170" i="6"/>
  <c r="G170" i="6"/>
  <c r="C170" i="6"/>
  <c r="I170" i="6"/>
  <c r="D170" i="6"/>
  <c r="B170" i="6"/>
  <c r="M170" i="6"/>
  <c r="AO71" i="7"/>
  <c r="AO99" i="7"/>
  <c r="AC62" i="7"/>
  <c r="AP62" i="7" s="1"/>
  <c r="AC41" i="7"/>
  <c r="AP41" i="7" s="1"/>
  <c r="AC63" i="14"/>
  <c r="AP63" i="14" s="1"/>
  <c r="AP60" i="14"/>
  <c r="I177" i="6"/>
  <c r="M177" i="6"/>
  <c r="C177" i="6"/>
  <c r="G177" i="6"/>
  <c r="F177" i="6"/>
  <c r="E177" i="6"/>
  <c r="B177" i="6"/>
  <c r="D177" i="6"/>
  <c r="M184" i="6"/>
  <c r="I184" i="6"/>
  <c r="B184" i="6"/>
  <c r="I191" i="6"/>
  <c r="H191" i="6"/>
  <c r="H184" i="6"/>
  <c r="C191" i="6"/>
  <c r="D191" i="6"/>
  <c r="B191" i="6"/>
  <c r="C184" i="6"/>
  <c r="E191" i="6"/>
  <c r="M191" i="6"/>
  <c r="D184" i="6"/>
  <c r="F184" i="6"/>
  <c r="G191" i="6"/>
  <c r="G184" i="6"/>
  <c r="AS70" i="14"/>
  <c r="AC61" i="7"/>
  <c r="AA71" i="7"/>
  <c r="AS70" i="7"/>
  <c r="AS49" i="7"/>
  <c r="AC40" i="7"/>
  <c r="AP40" i="7" s="1"/>
  <c r="AC45" i="7"/>
  <c r="AP45" i="7" s="1"/>
  <c r="Z50" i="7"/>
  <c r="AC48" i="7"/>
  <c r="AP48" i="7" s="1"/>
  <c r="AC43" i="7"/>
  <c r="AP43" i="7" s="1"/>
  <c r="AA50" i="7"/>
  <c r="K121" i="6"/>
  <c r="L121" i="6" s="1"/>
  <c r="X21" i="1"/>
  <c r="A293" i="6" s="1"/>
  <c r="M293" i="6" s="1"/>
  <c r="BN21" i="7"/>
  <c r="DJ67" i="22" l="1"/>
  <c r="CY68" i="22"/>
  <c r="DM68" i="22" s="1"/>
  <c r="DF67" i="22"/>
  <c r="DM66" i="22"/>
  <c r="DJ66" i="22"/>
  <c r="DF66" i="22"/>
  <c r="CY48" i="27"/>
  <c r="CY49" i="27" s="1"/>
  <c r="DM49" i="27" s="1"/>
  <c r="DF46" i="27"/>
  <c r="DJ47" i="27"/>
  <c r="DM47" i="27"/>
  <c r="DJ46" i="27"/>
  <c r="DM46" i="27"/>
  <c r="DM107" i="26"/>
  <c r="CY108" i="26"/>
  <c r="DM108" i="26" s="1"/>
  <c r="DF107" i="26"/>
  <c r="CY67" i="27"/>
  <c r="CY68" i="27" s="1"/>
  <c r="CY69" i="27" s="1"/>
  <c r="DJ66" i="24"/>
  <c r="DM65" i="27"/>
  <c r="DF108" i="25"/>
  <c r="CY129" i="20"/>
  <c r="CY130" i="20" s="1"/>
  <c r="DJ130" i="20" s="1"/>
  <c r="DF45" i="28"/>
  <c r="DM46" i="23"/>
  <c r="DJ107" i="25"/>
  <c r="CY109" i="25"/>
  <c r="CY110" i="25" s="1"/>
  <c r="DJ110" i="25" s="1"/>
  <c r="DM128" i="20"/>
  <c r="DF45" i="23"/>
  <c r="DM107" i="25"/>
  <c r="DM108" i="25"/>
  <c r="DF46" i="23"/>
  <c r="DM45" i="23"/>
  <c r="CY47" i="23"/>
  <c r="CY48" i="23" s="1"/>
  <c r="DF48" i="23" s="1"/>
  <c r="DF107" i="25"/>
  <c r="DF128" i="20"/>
  <c r="DJ45" i="23"/>
  <c r="DM66" i="24"/>
  <c r="DM67" i="24"/>
  <c r="CY68" i="24"/>
  <c r="CY69" i="24" s="1"/>
  <c r="CY70" i="24" s="1"/>
  <c r="DF70" i="24" s="1"/>
  <c r="DM66" i="27"/>
  <c r="DF65" i="27"/>
  <c r="DJ66" i="27"/>
  <c r="DJ86" i="26"/>
  <c r="DJ65" i="27"/>
  <c r="CY87" i="26"/>
  <c r="DM87" i="26" s="1"/>
  <c r="DF86" i="26"/>
  <c r="CY109" i="24"/>
  <c r="DF109" i="24" s="1"/>
  <c r="DF67" i="24"/>
  <c r="DJ44" i="24"/>
  <c r="DF66" i="24"/>
  <c r="DJ86" i="23"/>
  <c r="DM149" i="23"/>
  <c r="DM130" i="26"/>
  <c r="DM131" i="26"/>
  <c r="DF130" i="26"/>
  <c r="DF87" i="28"/>
  <c r="DJ131" i="26"/>
  <c r="CY132" i="26"/>
  <c r="CY133" i="26" s="1"/>
  <c r="DJ133" i="26" s="1"/>
  <c r="DJ130" i="26"/>
  <c r="DJ87" i="28"/>
  <c r="AB71" i="7"/>
  <c r="DF86" i="27"/>
  <c r="CY150" i="23"/>
  <c r="DJ150" i="23" s="1"/>
  <c r="DM87" i="23"/>
  <c r="CY24" i="25"/>
  <c r="DJ24" i="25" s="1"/>
  <c r="DJ149" i="23"/>
  <c r="CY87" i="27"/>
  <c r="CY88" i="27" s="1"/>
  <c r="DM88" i="27" s="1"/>
  <c r="DF86" i="23"/>
  <c r="DF87" i="23"/>
  <c r="DJ86" i="27"/>
  <c r="DJ150" i="20"/>
  <c r="DM86" i="23"/>
  <c r="CY88" i="28"/>
  <c r="CY89" i="28" s="1"/>
  <c r="CY90" i="28" s="1"/>
  <c r="DM90" i="28" s="1"/>
  <c r="CY88" i="23"/>
  <c r="DF88" i="23" s="1"/>
  <c r="CY129" i="24"/>
  <c r="DJ129" i="24" s="1"/>
  <c r="DM128" i="21"/>
  <c r="CY129" i="21"/>
  <c r="CY130" i="21" s="1"/>
  <c r="DM130" i="21" s="1"/>
  <c r="DF26" i="26"/>
  <c r="DJ128" i="21"/>
  <c r="CY45" i="24"/>
  <c r="CY46" i="24" s="1"/>
  <c r="DM46" i="24" s="1"/>
  <c r="DM44" i="24"/>
  <c r="DM23" i="25"/>
  <c r="CY111" i="27"/>
  <c r="DF111" i="27" s="1"/>
  <c r="CY151" i="20"/>
  <c r="DM151" i="20" s="1"/>
  <c r="DF150" i="20"/>
  <c r="CY109" i="20"/>
  <c r="DF109" i="20" s="1"/>
  <c r="CY130" i="22"/>
  <c r="CY131" i="22" s="1"/>
  <c r="DM131" i="22" s="1"/>
  <c r="CY151" i="28"/>
  <c r="CY152" i="28" s="1"/>
  <c r="CY153" i="28" s="1"/>
  <c r="DF153" i="28" s="1"/>
  <c r="CY27" i="26"/>
  <c r="CY28" i="26" s="1"/>
  <c r="DF28" i="26" s="1"/>
  <c r="CY24" i="21"/>
  <c r="CY25" i="21" s="1"/>
  <c r="DF25" i="21" s="1"/>
  <c r="CY68" i="20"/>
  <c r="CY69" i="20" s="1"/>
  <c r="CY130" i="25"/>
  <c r="CY131" i="25" s="1"/>
  <c r="DM131" i="25" s="1"/>
  <c r="DJ26" i="26"/>
  <c r="CY66" i="28"/>
  <c r="CY67" i="28" s="1"/>
  <c r="CY68" i="28" s="1"/>
  <c r="DF68" i="28" s="1"/>
  <c r="DM45" i="28"/>
  <c r="CY88" i="24"/>
  <c r="CY89" i="24" s="1"/>
  <c r="DJ89" i="24" s="1"/>
  <c r="CY110" i="23"/>
  <c r="DJ110" i="23" s="1"/>
  <c r="CY46" i="28"/>
  <c r="DM46" i="28" s="1"/>
  <c r="CY87" i="21"/>
  <c r="CY88" i="21" s="1"/>
  <c r="CP1" i="26"/>
  <c r="CP1" i="27"/>
  <c r="CP1" i="24"/>
  <c r="CP1" i="25"/>
  <c r="CP1" i="22"/>
  <c r="CP1" i="23"/>
  <c r="CP1" i="28"/>
  <c r="CP1" i="20"/>
  <c r="CP1" i="14"/>
  <c r="CP1" i="29"/>
  <c r="CP1" i="21"/>
  <c r="CP1" i="7"/>
  <c r="AG128" i="11"/>
  <c r="A127" i="11"/>
  <c r="A126" i="10"/>
  <c r="AG127" i="10"/>
  <c r="BR27" i="25"/>
  <c r="BQ27" i="25"/>
  <c r="BQ26" i="25"/>
  <c r="DJ88" i="7"/>
  <c r="CY89" i="7"/>
  <c r="DF89" i="7" s="1"/>
  <c r="DM88" i="7"/>
  <c r="CZ36" i="7"/>
  <c r="O33" i="7" s="1"/>
  <c r="DF109" i="23"/>
  <c r="DJ150" i="28"/>
  <c r="DM107" i="20"/>
  <c r="DF107" i="20"/>
  <c r="DJ108" i="20"/>
  <c r="DM108" i="20"/>
  <c r="AO57" i="26"/>
  <c r="DF45" i="26"/>
  <c r="DJ107" i="20"/>
  <c r="A21" i="7"/>
  <c r="H25" i="7"/>
  <c r="DF108" i="24"/>
  <c r="DM130" i="7"/>
  <c r="CY131" i="7"/>
  <c r="DF131" i="7" s="1"/>
  <c r="DF130" i="7"/>
  <c r="AO57" i="28"/>
  <c r="DM108" i="27"/>
  <c r="DM128" i="22"/>
  <c r="DF66" i="23"/>
  <c r="DM66" i="23"/>
  <c r="DM109" i="28"/>
  <c r="DF67" i="20"/>
  <c r="DF128" i="28"/>
  <c r="DJ128" i="28"/>
  <c r="DF86" i="24"/>
  <c r="DM129" i="25"/>
  <c r="DJ128" i="24"/>
  <c r="DJ86" i="21"/>
  <c r="DJ128" i="22"/>
  <c r="DM150" i="28"/>
  <c r="DF87" i="24"/>
  <c r="DM86" i="24"/>
  <c r="DF23" i="21"/>
  <c r="DF128" i="22"/>
  <c r="DJ23" i="21"/>
  <c r="DM65" i="28"/>
  <c r="DM129" i="22"/>
  <c r="DJ129" i="25"/>
  <c r="DM66" i="20"/>
  <c r="DJ66" i="20"/>
  <c r="DJ129" i="22"/>
  <c r="DF66" i="20"/>
  <c r="DJ87" i="24"/>
  <c r="DJ67" i="20"/>
  <c r="DJ86" i="24"/>
  <c r="DJ108" i="24"/>
  <c r="DF108" i="27"/>
  <c r="DM108" i="28"/>
  <c r="DJ109" i="28"/>
  <c r="DF45" i="22"/>
  <c r="CY46" i="22"/>
  <c r="DM46" i="22" s="1"/>
  <c r="DF130" i="23"/>
  <c r="DM129" i="23"/>
  <c r="DF108" i="28"/>
  <c r="CY24" i="27"/>
  <c r="DM24" i="27" s="1"/>
  <c r="DF109" i="27"/>
  <c r="DF108" i="23"/>
  <c r="CY131" i="23"/>
  <c r="CY132" i="23" s="1"/>
  <c r="DM132" i="23" s="1"/>
  <c r="DJ23" i="27"/>
  <c r="DJ108" i="28"/>
  <c r="DJ109" i="27"/>
  <c r="DM109" i="23"/>
  <c r="DJ110" i="27"/>
  <c r="DM23" i="27"/>
  <c r="DM109" i="27"/>
  <c r="DM108" i="23"/>
  <c r="DJ129" i="23"/>
  <c r="DF110" i="27"/>
  <c r="DJ108" i="23"/>
  <c r="DJ130" i="23"/>
  <c r="CY110" i="28"/>
  <c r="DF110" i="28" s="1"/>
  <c r="DM45" i="22"/>
  <c r="DJ108" i="27"/>
  <c r="DF129" i="23"/>
  <c r="CY151" i="25"/>
  <c r="CY152" i="25" s="1"/>
  <c r="DF152" i="25" s="1"/>
  <c r="DM150" i="26"/>
  <c r="DJ67" i="23"/>
  <c r="CY151" i="26"/>
  <c r="DJ151" i="26" s="1"/>
  <c r="DM67" i="23"/>
  <c r="CY68" i="23"/>
  <c r="DF68" i="23" s="1"/>
  <c r="DJ66" i="23"/>
  <c r="DF150" i="26"/>
  <c r="DM23" i="22"/>
  <c r="DF88" i="20"/>
  <c r="DM129" i="28"/>
  <c r="DF23" i="22"/>
  <c r="DM128" i="28"/>
  <c r="CY89" i="20"/>
  <c r="CY90" i="20" s="1"/>
  <c r="DM90" i="20" s="1"/>
  <c r="DM88" i="20"/>
  <c r="DJ45" i="26"/>
  <c r="DM45" i="26"/>
  <c r="CY130" i="28"/>
  <c r="CY131" i="28" s="1"/>
  <c r="DJ150" i="21"/>
  <c r="DF65" i="28"/>
  <c r="DF25" i="20"/>
  <c r="DF24" i="20"/>
  <c r="DF150" i="21"/>
  <c r="DF129" i="28"/>
  <c r="DM128" i="24"/>
  <c r="DM150" i="21"/>
  <c r="CY66" i="25"/>
  <c r="DF66" i="25" s="1"/>
  <c r="DF86" i="21"/>
  <c r="DM65" i="25"/>
  <c r="CY24" i="22"/>
  <c r="CY25" i="22" s="1"/>
  <c r="DM25" i="22" s="1"/>
  <c r="DM24" i="20"/>
  <c r="DF65" i="25"/>
  <c r="DM23" i="23"/>
  <c r="CY24" i="23"/>
  <c r="CY25" i="23" s="1"/>
  <c r="DJ24" i="20"/>
  <c r="DJ25" i="20"/>
  <c r="CY26" i="20"/>
  <c r="DM26" i="20" s="1"/>
  <c r="DF150" i="25"/>
  <c r="DF23" i="23"/>
  <c r="DJ150" i="25"/>
  <c r="DF87" i="14"/>
  <c r="DM87" i="14"/>
  <c r="DJ87" i="14"/>
  <c r="DM107" i="14"/>
  <c r="DF107" i="14"/>
  <c r="CY108" i="14"/>
  <c r="DJ107" i="14"/>
  <c r="DJ86" i="14"/>
  <c r="DM86" i="14"/>
  <c r="DF86" i="14"/>
  <c r="CY88" i="14"/>
  <c r="DF23" i="28"/>
  <c r="DM23" i="28"/>
  <c r="CY24" i="28"/>
  <c r="DJ23" i="28"/>
  <c r="CY150" i="14"/>
  <c r="CY151" i="14" s="1"/>
  <c r="DJ149" i="14"/>
  <c r="DF149" i="14"/>
  <c r="DM149" i="14"/>
  <c r="DJ149" i="24"/>
  <c r="DM149" i="24"/>
  <c r="DF149" i="24"/>
  <c r="CY150" i="24"/>
  <c r="DF128" i="14"/>
  <c r="CY129" i="14"/>
  <c r="DJ128" i="14"/>
  <c r="DM128" i="14"/>
  <c r="DM67" i="14"/>
  <c r="CY68" i="26"/>
  <c r="CY69" i="26" s="1"/>
  <c r="DM69" i="26" s="1"/>
  <c r="DM66" i="26"/>
  <c r="DJ67" i="26"/>
  <c r="DF66" i="26"/>
  <c r="DF67" i="26"/>
  <c r="DJ66" i="26"/>
  <c r="DJ67" i="14"/>
  <c r="DF67" i="14"/>
  <c r="CY111" i="22"/>
  <c r="DJ111" i="22" s="1"/>
  <c r="CY110" i="7"/>
  <c r="DF110" i="7" s="1"/>
  <c r="DM109" i="7"/>
  <c r="DJ109" i="7"/>
  <c r="CY154" i="27"/>
  <c r="DF154" i="27" s="1"/>
  <c r="DM152" i="21"/>
  <c r="DJ152" i="21"/>
  <c r="DF152" i="21"/>
  <c r="DM69" i="14"/>
  <c r="DF69" i="14"/>
  <c r="DJ69" i="14"/>
  <c r="CY154" i="22"/>
  <c r="DJ153" i="22"/>
  <c r="DF153" i="22"/>
  <c r="DM153" i="22"/>
  <c r="DF68" i="14"/>
  <c r="DJ68" i="14"/>
  <c r="DF46" i="20"/>
  <c r="DM46" i="20"/>
  <c r="DJ46" i="20"/>
  <c r="CY130" i="27"/>
  <c r="DF129" i="27"/>
  <c r="DM129" i="27"/>
  <c r="DJ129" i="27"/>
  <c r="DM68" i="14"/>
  <c r="CY153" i="21"/>
  <c r="DM153" i="21" s="1"/>
  <c r="CY47" i="20"/>
  <c r="DF152" i="22"/>
  <c r="DM152" i="22"/>
  <c r="DJ152" i="22"/>
  <c r="DJ153" i="27"/>
  <c r="DF153" i="27"/>
  <c r="DM153" i="27"/>
  <c r="DJ151" i="21"/>
  <c r="DF151" i="21"/>
  <c r="DM151" i="21"/>
  <c r="CY70" i="14"/>
  <c r="DM152" i="27"/>
  <c r="DJ152" i="27"/>
  <c r="DF152" i="27"/>
  <c r="DM108" i="21"/>
  <c r="DJ108" i="21"/>
  <c r="DF108" i="21"/>
  <c r="DJ110" i="22"/>
  <c r="DM110" i="22"/>
  <c r="DF110" i="22"/>
  <c r="DF46" i="26"/>
  <c r="DM46" i="26"/>
  <c r="DJ46" i="26"/>
  <c r="CY47" i="26"/>
  <c r="DM87" i="25"/>
  <c r="DJ87" i="25"/>
  <c r="DF87" i="25"/>
  <c r="CY88" i="25"/>
  <c r="CY89" i="25" s="1"/>
  <c r="DM26" i="24"/>
  <c r="DF26" i="24"/>
  <c r="DJ26" i="24"/>
  <c r="CY27" i="24"/>
  <c r="CY28" i="24" s="1"/>
  <c r="DJ66" i="21"/>
  <c r="DF66" i="21"/>
  <c r="DM66" i="21"/>
  <c r="CY67" i="21"/>
  <c r="DF90" i="22"/>
  <c r="DM90" i="22"/>
  <c r="DJ90" i="22"/>
  <c r="DM46" i="25"/>
  <c r="DF46" i="25"/>
  <c r="DJ46" i="25"/>
  <c r="CY47" i="25"/>
  <c r="CY48" i="25" s="1"/>
  <c r="CY49" i="25" s="1"/>
  <c r="DM46" i="21"/>
  <c r="DJ46" i="21"/>
  <c r="DF46" i="21"/>
  <c r="CY47" i="21"/>
  <c r="CY48" i="21" s="1"/>
  <c r="CY110" i="21"/>
  <c r="DF109" i="21"/>
  <c r="DM109" i="21"/>
  <c r="DJ109" i="21"/>
  <c r="DM109" i="22"/>
  <c r="DF109" i="22"/>
  <c r="DJ109" i="22"/>
  <c r="DJ89" i="22"/>
  <c r="DF89" i="22"/>
  <c r="DM89" i="22"/>
  <c r="DF152" i="7"/>
  <c r="DJ152" i="7"/>
  <c r="DM152" i="7"/>
  <c r="CY153" i="7"/>
  <c r="CY154" i="7" s="1"/>
  <c r="CY91" i="22"/>
  <c r="AO78" i="26"/>
  <c r="DF42" i="7"/>
  <c r="DJ42" i="7"/>
  <c r="DM42" i="7"/>
  <c r="CY43" i="7"/>
  <c r="CY44" i="7" s="1"/>
  <c r="CY45" i="7" s="1"/>
  <c r="CY46" i="7" s="1"/>
  <c r="DC57" i="7"/>
  <c r="CY63" i="7" s="1"/>
  <c r="AO57" i="24"/>
  <c r="AO36" i="20"/>
  <c r="AO36" i="21"/>
  <c r="AO36" i="22"/>
  <c r="AO36" i="23"/>
  <c r="AO78" i="24"/>
  <c r="AO78" i="25"/>
  <c r="AO78" i="27"/>
  <c r="AO141" i="14"/>
  <c r="AO120" i="14"/>
  <c r="AO120" i="7"/>
  <c r="AO141" i="7"/>
  <c r="AP71" i="14"/>
  <c r="AP56" i="14"/>
  <c r="X62" i="14"/>
  <c r="AC71" i="14"/>
  <c r="AP61" i="7"/>
  <c r="AC71" i="7"/>
  <c r="AC50" i="7"/>
  <c r="AP50" i="7"/>
  <c r="X41" i="7"/>
  <c r="AP35" i="7"/>
  <c r="B293" i="6"/>
  <c r="D293" i="6"/>
  <c r="C293" i="6"/>
  <c r="E293" i="6"/>
  <c r="G293" i="6"/>
  <c r="F293" i="6"/>
  <c r="H293" i="6"/>
  <c r="I293" i="6"/>
  <c r="AN24" i="7"/>
  <c r="AN27" i="7"/>
  <c r="AN25" i="7"/>
  <c r="AN26" i="7"/>
  <c r="AN19" i="7"/>
  <c r="AN20" i="7"/>
  <c r="AN21" i="7"/>
  <c r="AN22" i="7"/>
  <c r="AN23" i="7"/>
  <c r="P21" i="1"/>
  <c r="A292" i="6" s="1"/>
  <c r="M292" i="6" s="1"/>
  <c r="H21" i="1"/>
  <c r="A291" i="6" s="1"/>
  <c r="M291" i="6" s="1"/>
  <c r="BN22" i="7"/>
  <c r="DJ68" i="22" l="1"/>
  <c r="CY69" i="22"/>
  <c r="DJ69" i="22" s="1"/>
  <c r="DF68" i="22"/>
  <c r="DJ49" i="27"/>
  <c r="DF48" i="27"/>
  <c r="DM48" i="27"/>
  <c r="DM39" i="27" s="1"/>
  <c r="AJ39" i="27" s="1"/>
  <c r="DF49" i="27"/>
  <c r="DJ48" i="27"/>
  <c r="DJ108" i="26"/>
  <c r="CY109" i="26"/>
  <c r="CY110" i="26" s="1"/>
  <c r="DJ110" i="26" s="1"/>
  <c r="DF108" i="26"/>
  <c r="DF130" i="20"/>
  <c r="DJ67" i="27"/>
  <c r="DM67" i="27"/>
  <c r="DF67" i="27"/>
  <c r="DJ109" i="25"/>
  <c r="DJ89" i="28"/>
  <c r="CY88" i="26"/>
  <c r="CY89" i="26" s="1"/>
  <c r="DF89" i="26" s="1"/>
  <c r="DM130" i="20"/>
  <c r="DM109" i="25"/>
  <c r="DJ129" i="20"/>
  <c r="DM110" i="25"/>
  <c r="DF110" i="25"/>
  <c r="DF129" i="20"/>
  <c r="CY111" i="25"/>
  <c r="CY112" i="25" s="1"/>
  <c r="DM112" i="25" s="1"/>
  <c r="DF109" i="25"/>
  <c r="DM129" i="20"/>
  <c r="CY131" i="20"/>
  <c r="DF131" i="20" s="1"/>
  <c r="CY131" i="21"/>
  <c r="CY132" i="21" s="1"/>
  <c r="CY133" i="21" s="1"/>
  <c r="DM133" i="21" s="1"/>
  <c r="DF130" i="21"/>
  <c r="DM70" i="24"/>
  <c r="DM47" i="23"/>
  <c r="DF27" i="26"/>
  <c r="DF18" i="26" s="1"/>
  <c r="DE16" i="26" s="1"/>
  <c r="DI17" i="26" s="1"/>
  <c r="DF24" i="25"/>
  <c r="CY49" i="23"/>
  <c r="DF49" i="23" s="1"/>
  <c r="DM88" i="28"/>
  <c r="DF90" i="28"/>
  <c r="DJ48" i="23"/>
  <c r="DJ70" i="24"/>
  <c r="DM69" i="24"/>
  <c r="DF68" i="24"/>
  <c r="CY110" i="24"/>
  <c r="CY111" i="24" s="1"/>
  <c r="DM111" i="24" s="1"/>
  <c r="DJ68" i="24"/>
  <c r="CY25" i="25"/>
  <c r="DF25" i="25" s="1"/>
  <c r="DM129" i="21"/>
  <c r="DJ130" i="21"/>
  <c r="DM48" i="23"/>
  <c r="DJ87" i="26"/>
  <c r="DF89" i="28"/>
  <c r="DJ88" i="28"/>
  <c r="DJ90" i="28"/>
  <c r="DM27" i="26"/>
  <c r="DF47" i="23"/>
  <c r="DM24" i="25"/>
  <c r="DF129" i="21"/>
  <c r="DF87" i="26"/>
  <c r="DF88" i="28"/>
  <c r="DJ47" i="23"/>
  <c r="DJ129" i="21"/>
  <c r="DM89" i="28"/>
  <c r="CY91" i="28"/>
  <c r="DM91" i="28" s="1"/>
  <c r="DF69" i="24"/>
  <c r="DM68" i="24"/>
  <c r="DJ69" i="24"/>
  <c r="DM109" i="24"/>
  <c r="DJ109" i="24"/>
  <c r="DF133" i="26"/>
  <c r="DM133" i="26"/>
  <c r="DF132" i="26"/>
  <c r="DJ132" i="26"/>
  <c r="DJ123" i="26" s="1"/>
  <c r="AG123" i="26" s="1"/>
  <c r="DJ87" i="27"/>
  <c r="DM150" i="23"/>
  <c r="DM132" i="26"/>
  <c r="DJ111" i="27"/>
  <c r="DF88" i="27"/>
  <c r="DM87" i="27"/>
  <c r="DF150" i="23"/>
  <c r="DF129" i="24"/>
  <c r="DJ88" i="27"/>
  <c r="DF87" i="27"/>
  <c r="CY151" i="23"/>
  <c r="CY152" i="23" s="1"/>
  <c r="DF152" i="23" s="1"/>
  <c r="DM129" i="24"/>
  <c r="CY130" i="24"/>
  <c r="CY131" i="24" s="1"/>
  <c r="DM131" i="24" s="1"/>
  <c r="CY89" i="27"/>
  <c r="DF89" i="27" s="1"/>
  <c r="CY89" i="23"/>
  <c r="DJ89" i="23" s="1"/>
  <c r="DJ45" i="24"/>
  <c r="DJ151" i="20"/>
  <c r="DJ131" i="25"/>
  <c r="DM130" i="25"/>
  <c r="DJ151" i="28"/>
  <c r="DM152" i="28"/>
  <c r="DJ153" i="28"/>
  <c r="DF89" i="24"/>
  <c r="DF46" i="24"/>
  <c r="DF152" i="28"/>
  <c r="DF45" i="24"/>
  <c r="DJ88" i="24"/>
  <c r="DM153" i="28"/>
  <c r="CY132" i="25"/>
  <c r="CY133" i="25" s="1"/>
  <c r="DJ46" i="24"/>
  <c r="DF151" i="20"/>
  <c r="DJ130" i="25"/>
  <c r="DJ152" i="28"/>
  <c r="DM88" i="24"/>
  <c r="DF131" i="25"/>
  <c r="DM89" i="24"/>
  <c r="CY152" i="20"/>
  <c r="DF152" i="20" s="1"/>
  <c r="DF151" i="28"/>
  <c r="CY154" i="28"/>
  <c r="DF154" i="28" s="1"/>
  <c r="DM151" i="28"/>
  <c r="DM45" i="24"/>
  <c r="DF88" i="24"/>
  <c r="CY90" i="24"/>
  <c r="DM90" i="24" s="1"/>
  <c r="CY47" i="24"/>
  <c r="CY48" i="24" s="1"/>
  <c r="DF48" i="24" s="1"/>
  <c r="DF130" i="25"/>
  <c r="CY90" i="7"/>
  <c r="DM90" i="7" s="1"/>
  <c r="DM88" i="23"/>
  <c r="DJ109" i="20"/>
  <c r="DJ88" i="23"/>
  <c r="CY152" i="26"/>
  <c r="DJ152" i="26" s="1"/>
  <c r="DM67" i="28"/>
  <c r="DF66" i="28"/>
  <c r="CY110" i="20"/>
  <c r="DM110" i="20" s="1"/>
  <c r="DJ46" i="28"/>
  <c r="CZ57" i="7"/>
  <c r="O54" i="7" s="1"/>
  <c r="DF24" i="21"/>
  <c r="DM68" i="20"/>
  <c r="DM109" i="20"/>
  <c r="DM25" i="21"/>
  <c r="DJ131" i="22"/>
  <c r="DF87" i="21"/>
  <c r="CY112" i="27"/>
  <c r="DJ112" i="27" s="1"/>
  <c r="CY132" i="22"/>
  <c r="CY133" i="22" s="1"/>
  <c r="DM111" i="27"/>
  <c r="DJ28" i="26"/>
  <c r="DM28" i="26"/>
  <c r="DJ27" i="26"/>
  <c r="CY133" i="23"/>
  <c r="DJ133" i="23" s="1"/>
  <c r="DF130" i="22"/>
  <c r="DF131" i="22"/>
  <c r="DJ87" i="21"/>
  <c r="DJ68" i="20"/>
  <c r="DJ130" i="22"/>
  <c r="DM87" i="21"/>
  <c r="DF68" i="20"/>
  <c r="DM130" i="22"/>
  <c r="DF67" i="28"/>
  <c r="DM24" i="21"/>
  <c r="DM68" i="28"/>
  <c r="CY69" i="28"/>
  <c r="DF69" i="28" s="1"/>
  <c r="CY26" i="21"/>
  <c r="CY27" i="21" s="1"/>
  <c r="DJ27" i="21" s="1"/>
  <c r="DJ25" i="21"/>
  <c r="DJ68" i="28"/>
  <c r="DJ66" i="28"/>
  <c r="CY47" i="28"/>
  <c r="CY48" i="28" s="1"/>
  <c r="DM48" i="28" s="1"/>
  <c r="DJ67" i="28"/>
  <c r="DJ24" i="21"/>
  <c r="DM66" i="28"/>
  <c r="DF46" i="28"/>
  <c r="DM110" i="23"/>
  <c r="CY47" i="22"/>
  <c r="CY48" i="22" s="1"/>
  <c r="CY49" i="22" s="1"/>
  <c r="DJ49" i="22" s="1"/>
  <c r="CY25" i="27"/>
  <c r="DJ25" i="27" s="1"/>
  <c r="DF110" i="23"/>
  <c r="CY153" i="25"/>
  <c r="DJ153" i="25" s="1"/>
  <c r="CY111" i="28"/>
  <c r="CY112" i="28" s="1"/>
  <c r="DJ112" i="28" s="1"/>
  <c r="CY111" i="23"/>
  <c r="CY112" i="23" s="1"/>
  <c r="DM112" i="23" s="1"/>
  <c r="DJ89" i="7"/>
  <c r="DM89" i="7"/>
  <c r="CQ4" i="20"/>
  <c r="CQ11" i="20"/>
  <c r="CQ10" i="20"/>
  <c r="CQ7" i="20"/>
  <c r="CQ8" i="20"/>
  <c r="CQ3" i="20"/>
  <c r="CQ20" i="20"/>
  <c r="CQ15" i="20"/>
  <c r="CQ12" i="20"/>
  <c r="CQ5" i="20"/>
  <c r="CQ19" i="20"/>
  <c r="CQ14" i="20"/>
  <c r="CQ18" i="20"/>
  <c r="CQ6" i="20"/>
  <c r="CQ17" i="20"/>
  <c r="CQ2" i="20"/>
  <c r="CQ21" i="20"/>
  <c r="CQ16" i="20"/>
  <c r="CQ9" i="20"/>
  <c r="CQ13" i="20"/>
  <c r="CQ9" i="28"/>
  <c r="CQ10" i="28"/>
  <c r="CQ12" i="28"/>
  <c r="CQ5" i="28"/>
  <c r="CQ7" i="28"/>
  <c r="CQ4" i="28"/>
  <c r="CQ21" i="28"/>
  <c r="CQ19" i="28"/>
  <c r="CQ18" i="28"/>
  <c r="CQ11" i="28"/>
  <c r="CQ15" i="28"/>
  <c r="CQ2" i="28"/>
  <c r="CQ8" i="28"/>
  <c r="CQ14" i="28"/>
  <c r="CQ3" i="28"/>
  <c r="CQ16" i="28"/>
  <c r="CQ6" i="28"/>
  <c r="CQ17" i="28"/>
  <c r="CQ13" i="28"/>
  <c r="CQ20" i="28"/>
  <c r="CQ8" i="23"/>
  <c r="CQ16" i="23"/>
  <c r="CQ9" i="23"/>
  <c r="CQ17" i="23"/>
  <c r="CQ3" i="23"/>
  <c r="CQ10" i="23"/>
  <c r="CQ18" i="23"/>
  <c r="CQ2" i="23"/>
  <c r="CQ11" i="23"/>
  <c r="CQ19" i="23"/>
  <c r="CQ6" i="23"/>
  <c r="CQ12" i="23"/>
  <c r="CQ20" i="23"/>
  <c r="CQ4" i="23"/>
  <c r="CQ13" i="23"/>
  <c r="CQ21" i="23"/>
  <c r="CQ5" i="23"/>
  <c r="CQ14" i="23"/>
  <c r="CQ7" i="23"/>
  <c r="CQ15" i="23"/>
  <c r="CQ5" i="22"/>
  <c r="CQ16" i="22"/>
  <c r="CQ3" i="22"/>
  <c r="CQ15" i="22"/>
  <c r="CQ20" i="22"/>
  <c r="CQ7" i="22"/>
  <c r="CQ13" i="22"/>
  <c r="CQ8" i="22"/>
  <c r="CQ6" i="22"/>
  <c r="CQ21" i="22"/>
  <c r="CQ2" i="22"/>
  <c r="CQ4" i="22"/>
  <c r="CQ12" i="22"/>
  <c r="CQ14" i="22"/>
  <c r="CQ18" i="22"/>
  <c r="CQ11" i="22"/>
  <c r="CQ19" i="22"/>
  <c r="CQ10" i="22"/>
  <c r="CQ17" i="22"/>
  <c r="CQ9" i="22"/>
  <c r="CQ12" i="7"/>
  <c r="CQ3" i="7"/>
  <c r="CQ21" i="7"/>
  <c r="CQ9" i="7"/>
  <c r="CQ14" i="7"/>
  <c r="CQ16" i="7"/>
  <c r="CQ7" i="7"/>
  <c r="CQ13" i="7"/>
  <c r="CQ20" i="7"/>
  <c r="CQ17" i="7"/>
  <c r="CQ11" i="7"/>
  <c r="CQ5" i="7"/>
  <c r="CQ2" i="7"/>
  <c r="CQ19" i="7"/>
  <c r="CQ8" i="7"/>
  <c r="CQ15" i="7"/>
  <c r="CQ4" i="7"/>
  <c r="CQ18" i="7"/>
  <c r="CQ6" i="7"/>
  <c r="CQ10" i="7"/>
  <c r="CQ5" i="25"/>
  <c r="CQ13" i="25"/>
  <c r="CQ21" i="25"/>
  <c r="CQ6" i="25"/>
  <c r="CQ14" i="25"/>
  <c r="CQ7" i="25"/>
  <c r="CQ15" i="25"/>
  <c r="CQ8" i="25"/>
  <c r="CQ16" i="25"/>
  <c r="CQ9" i="25"/>
  <c r="CQ17" i="25"/>
  <c r="CQ3" i="25"/>
  <c r="CQ10" i="25"/>
  <c r="CQ18" i="25"/>
  <c r="CQ2" i="25"/>
  <c r="CQ11" i="25"/>
  <c r="CQ19" i="25"/>
  <c r="CQ4" i="25"/>
  <c r="CQ12" i="25"/>
  <c r="CQ20" i="25"/>
  <c r="CQ7" i="21"/>
  <c r="CQ15" i="21"/>
  <c r="CQ8" i="21"/>
  <c r="CQ16" i="21"/>
  <c r="CQ9" i="21"/>
  <c r="CQ17" i="21"/>
  <c r="CQ3" i="21"/>
  <c r="CQ10" i="21"/>
  <c r="CQ18" i="21"/>
  <c r="CQ4" i="21"/>
  <c r="CQ11" i="21"/>
  <c r="CQ19" i="21"/>
  <c r="CQ2" i="21"/>
  <c r="CQ12" i="21"/>
  <c r="CQ20" i="21"/>
  <c r="CQ5" i="21"/>
  <c r="CQ13" i="21"/>
  <c r="CQ21" i="21"/>
  <c r="CQ6" i="21"/>
  <c r="CQ14" i="21"/>
  <c r="CQ4" i="24"/>
  <c r="CQ13" i="24"/>
  <c r="CQ9" i="24"/>
  <c r="CQ2" i="24"/>
  <c r="CQ14" i="24"/>
  <c r="CQ16" i="24"/>
  <c r="CQ6" i="24"/>
  <c r="CQ12" i="24"/>
  <c r="CQ7" i="24"/>
  <c r="CQ8" i="24"/>
  <c r="CQ19" i="24"/>
  <c r="CQ3" i="24"/>
  <c r="CQ11" i="24"/>
  <c r="CQ5" i="24"/>
  <c r="CQ18" i="24"/>
  <c r="CQ21" i="24"/>
  <c r="CQ10" i="24"/>
  <c r="CQ20" i="24"/>
  <c r="CQ17" i="24"/>
  <c r="CQ15" i="24"/>
  <c r="CQ6" i="29"/>
  <c r="CQ14" i="29"/>
  <c r="CQ7" i="29"/>
  <c r="CQ15" i="29"/>
  <c r="CQ8" i="29"/>
  <c r="CQ16" i="29"/>
  <c r="CQ9" i="29"/>
  <c r="CQ17" i="29"/>
  <c r="CQ3" i="29"/>
  <c r="CQ10" i="29"/>
  <c r="CQ18" i="29"/>
  <c r="CQ2" i="29"/>
  <c r="CQ11" i="29"/>
  <c r="CQ19" i="29"/>
  <c r="CQ5" i="29"/>
  <c r="CQ12" i="29"/>
  <c r="CQ20" i="29"/>
  <c r="CQ4" i="29"/>
  <c r="CQ13" i="29"/>
  <c r="CQ21" i="29"/>
  <c r="CQ7" i="27"/>
  <c r="CQ15" i="27"/>
  <c r="CQ8" i="27"/>
  <c r="CQ16" i="27"/>
  <c r="CQ9" i="27"/>
  <c r="CQ17" i="27"/>
  <c r="CQ3" i="27"/>
  <c r="CQ10" i="27"/>
  <c r="CQ18" i="27"/>
  <c r="CQ2" i="27"/>
  <c r="CQ11" i="27"/>
  <c r="CQ19" i="27"/>
  <c r="CQ4" i="27"/>
  <c r="CQ12" i="27"/>
  <c r="CQ20" i="27"/>
  <c r="CQ5" i="27"/>
  <c r="CQ13" i="27"/>
  <c r="CQ21" i="27"/>
  <c r="CQ6" i="27"/>
  <c r="CQ14" i="27"/>
  <c r="CQ20" i="14"/>
  <c r="CQ21" i="14"/>
  <c r="CQ9" i="14"/>
  <c r="CQ11" i="14"/>
  <c r="CQ8" i="14"/>
  <c r="CQ3" i="14"/>
  <c r="CQ2" i="14"/>
  <c r="CQ15" i="14"/>
  <c r="CQ10" i="14"/>
  <c r="CQ7" i="14"/>
  <c r="CQ17" i="14"/>
  <c r="CQ16" i="14"/>
  <c r="CQ14" i="14"/>
  <c r="CQ4" i="14"/>
  <c r="CQ18" i="14"/>
  <c r="CQ6" i="14"/>
  <c r="CQ19" i="14"/>
  <c r="CQ12" i="14"/>
  <c r="CQ13" i="14"/>
  <c r="CQ5" i="14"/>
  <c r="CQ4" i="26"/>
  <c r="CQ20" i="26"/>
  <c r="CQ17" i="26"/>
  <c r="CQ15" i="26"/>
  <c r="CQ13" i="26"/>
  <c r="CQ9" i="26"/>
  <c r="CQ3" i="26"/>
  <c r="CQ12" i="26"/>
  <c r="CQ16" i="26"/>
  <c r="CQ2" i="26"/>
  <c r="CQ14" i="26"/>
  <c r="CQ8" i="26"/>
  <c r="CQ7" i="26"/>
  <c r="CQ19" i="26"/>
  <c r="CQ6" i="26"/>
  <c r="CQ11" i="26"/>
  <c r="CQ5" i="26"/>
  <c r="CQ18" i="26"/>
  <c r="CQ21" i="26"/>
  <c r="CQ10" i="26"/>
  <c r="A127" i="10"/>
  <c r="AG128" i="10"/>
  <c r="AG129" i="11"/>
  <c r="A128" i="11"/>
  <c r="DM152" i="25"/>
  <c r="DF151" i="25"/>
  <c r="DJ151" i="25"/>
  <c r="DJ46" i="22"/>
  <c r="DF46" i="22"/>
  <c r="DJ152" i="25"/>
  <c r="DM131" i="7"/>
  <c r="DM151" i="25"/>
  <c r="CY132" i="7"/>
  <c r="CY133" i="7" s="1"/>
  <c r="DJ131" i="7"/>
  <c r="DJ66" i="25"/>
  <c r="DJ131" i="23"/>
  <c r="DF132" i="23"/>
  <c r="DM130" i="28"/>
  <c r="DJ130" i="28"/>
  <c r="A22" i="7"/>
  <c r="H26" i="7"/>
  <c r="DF24" i="27"/>
  <c r="DJ24" i="27"/>
  <c r="DF151" i="26"/>
  <c r="DM131" i="23"/>
  <c r="DM66" i="25"/>
  <c r="AP34" i="7"/>
  <c r="AP55" i="14"/>
  <c r="C52" i="13" s="1"/>
  <c r="AA130" i="6"/>
  <c r="M52" i="13"/>
  <c r="K10" i="18"/>
  <c r="V67" i="13"/>
  <c r="DJ132" i="23"/>
  <c r="DF131" i="23"/>
  <c r="DM110" i="28"/>
  <c r="DJ110" i="28"/>
  <c r="DJ24" i="22"/>
  <c r="DM151" i="26"/>
  <c r="DF24" i="22"/>
  <c r="DM68" i="23"/>
  <c r="DF130" i="28"/>
  <c r="DJ24" i="23"/>
  <c r="DF24" i="23"/>
  <c r="DM24" i="23"/>
  <c r="CY67" i="25"/>
  <c r="DM67" i="25" s="1"/>
  <c r="DJ68" i="23"/>
  <c r="DF90" i="20"/>
  <c r="DJ25" i="22"/>
  <c r="CY69" i="23"/>
  <c r="CY70" i="23" s="1"/>
  <c r="DJ70" i="23" s="1"/>
  <c r="CY26" i="22"/>
  <c r="CY27" i="22" s="1"/>
  <c r="DJ27" i="22" s="1"/>
  <c r="DM24" i="22"/>
  <c r="DF25" i="22"/>
  <c r="DJ89" i="20"/>
  <c r="DJ90" i="20"/>
  <c r="DM89" i="20"/>
  <c r="DF89" i="20"/>
  <c r="CY91" i="20"/>
  <c r="DF91" i="20" s="1"/>
  <c r="CY27" i="20"/>
  <c r="DF27" i="20" s="1"/>
  <c r="DF26" i="20"/>
  <c r="DJ26" i="20"/>
  <c r="DM24" i="28"/>
  <c r="DJ24" i="28"/>
  <c r="CY25" i="28"/>
  <c r="DF24" i="28"/>
  <c r="DJ108" i="14"/>
  <c r="DM108" i="14"/>
  <c r="DF108" i="14"/>
  <c r="CY109" i="14"/>
  <c r="DJ129" i="14"/>
  <c r="DM129" i="14"/>
  <c r="CY130" i="14"/>
  <c r="DF129" i="14"/>
  <c r="DF151" i="14"/>
  <c r="DM151" i="14"/>
  <c r="DJ151" i="14"/>
  <c r="CY89" i="14"/>
  <c r="DJ88" i="14"/>
  <c r="DF88" i="14"/>
  <c r="DM88" i="14"/>
  <c r="DJ150" i="24"/>
  <c r="DF150" i="24"/>
  <c r="CY151" i="24"/>
  <c r="DM150" i="24"/>
  <c r="DF150" i="14"/>
  <c r="DJ150" i="14"/>
  <c r="DM150" i="14"/>
  <c r="CY152" i="14"/>
  <c r="DJ68" i="26"/>
  <c r="DF69" i="26"/>
  <c r="DJ69" i="26"/>
  <c r="DF68" i="26"/>
  <c r="CY70" i="26"/>
  <c r="DM70" i="26" s="1"/>
  <c r="DM68" i="26"/>
  <c r="DF153" i="21"/>
  <c r="DJ110" i="7"/>
  <c r="DF111" i="22"/>
  <c r="CY112" i="22"/>
  <c r="DM112" i="22" s="1"/>
  <c r="DM154" i="27"/>
  <c r="DM144" i="27" s="1"/>
  <c r="AJ144" i="27" s="1"/>
  <c r="DM111" i="22"/>
  <c r="DJ154" i="27"/>
  <c r="DJ144" i="27" s="1"/>
  <c r="AG144" i="27" s="1"/>
  <c r="DM110" i="7"/>
  <c r="CY111" i="7"/>
  <c r="DF111" i="7" s="1"/>
  <c r="DF144" i="27"/>
  <c r="DE142" i="27" s="1"/>
  <c r="DG143" i="27" s="1"/>
  <c r="AK144" i="27" s="1"/>
  <c r="C145" i="37" s="1"/>
  <c r="DF69" i="20"/>
  <c r="DJ69" i="20"/>
  <c r="DM69" i="20"/>
  <c r="CY70" i="20"/>
  <c r="DJ153" i="21"/>
  <c r="DF154" i="22"/>
  <c r="DF144" i="22" s="1"/>
  <c r="DE142" i="22" s="1"/>
  <c r="DM154" i="22"/>
  <c r="DM144" i="22" s="1"/>
  <c r="AJ144" i="22" s="1"/>
  <c r="DJ154" i="22"/>
  <c r="DJ144" i="22" s="1"/>
  <c r="AG144" i="22" s="1"/>
  <c r="DM131" i="28"/>
  <c r="DJ131" i="28"/>
  <c r="DF131" i="28"/>
  <c r="DJ130" i="27"/>
  <c r="DM130" i="27"/>
  <c r="DF130" i="27"/>
  <c r="CY154" i="21"/>
  <c r="DF154" i="21" s="1"/>
  <c r="CY131" i="27"/>
  <c r="DM70" i="14"/>
  <c r="DM60" i="14" s="1"/>
  <c r="AJ60" i="14" s="1"/>
  <c r="C55" i="13" s="1"/>
  <c r="DF70" i="14"/>
  <c r="DF60" i="14" s="1"/>
  <c r="DE58" i="14" s="1"/>
  <c r="DH59" i="14" s="1"/>
  <c r="DJ70" i="14"/>
  <c r="DJ60" i="14" s="1"/>
  <c r="AG60" i="14" s="1"/>
  <c r="C57" i="13" s="1"/>
  <c r="DM47" i="20"/>
  <c r="DJ47" i="20"/>
  <c r="DF47" i="20"/>
  <c r="CY48" i="20"/>
  <c r="CY132" i="28"/>
  <c r="CY47" i="7"/>
  <c r="DM47" i="7" s="1"/>
  <c r="DM69" i="27"/>
  <c r="DJ69" i="27"/>
  <c r="DF69" i="27"/>
  <c r="DF49" i="25"/>
  <c r="DM49" i="25"/>
  <c r="DJ49" i="25"/>
  <c r="DF89" i="25"/>
  <c r="DM89" i="25"/>
  <c r="DJ89" i="25"/>
  <c r="CY90" i="25"/>
  <c r="DM28" i="24"/>
  <c r="DF28" i="24"/>
  <c r="DJ28" i="24"/>
  <c r="DF154" i="7"/>
  <c r="DJ154" i="7"/>
  <c r="DM154" i="7"/>
  <c r="DF47" i="26"/>
  <c r="DM47" i="26"/>
  <c r="DJ47" i="26"/>
  <c r="CY89" i="21"/>
  <c r="CY90" i="21" s="1"/>
  <c r="DM47" i="21"/>
  <c r="DF47" i="21"/>
  <c r="DJ47" i="21"/>
  <c r="CY48" i="26"/>
  <c r="DJ88" i="21"/>
  <c r="DM88" i="21"/>
  <c r="DF88" i="21"/>
  <c r="DM91" i="22"/>
  <c r="DM81" i="22" s="1"/>
  <c r="AJ81" i="22" s="1"/>
  <c r="DJ91" i="22"/>
  <c r="DJ81" i="22" s="1"/>
  <c r="AG81" i="22" s="1"/>
  <c r="DF91" i="22"/>
  <c r="DF81" i="22" s="1"/>
  <c r="DE79" i="22" s="1"/>
  <c r="DJ110" i="21"/>
  <c r="DF110" i="21"/>
  <c r="DM110" i="21"/>
  <c r="DJ48" i="21"/>
  <c r="DM48" i="21"/>
  <c r="DF48" i="21"/>
  <c r="DJ67" i="21"/>
  <c r="DM67" i="21"/>
  <c r="DF67" i="21"/>
  <c r="CY49" i="21"/>
  <c r="DF68" i="27"/>
  <c r="DJ68" i="27"/>
  <c r="DM68" i="27"/>
  <c r="DM25" i="23"/>
  <c r="DF25" i="23"/>
  <c r="DJ25" i="23"/>
  <c r="CY26" i="23"/>
  <c r="CY27" i="23" s="1"/>
  <c r="DJ131" i="21"/>
  <c r="CY68" i="21"/>
  <c r="CY69" i="21" s="1"/>
  <c r="CY70" i="27"/>
  <c r="DF48" i="25"/>
  <c r="DJ48" i="25"/>
  <c r="DM48" i="25"/>
  <c r="DM153" i="7"/>
  <c r="DJ153" i="7"/>
  <c r="DF153" i="7"/>
  <c r="DF47" i="25"/>
  <c r="DJ47" i="25"/>
  <c r="DM47" i="25"/>
  <c r="DJ27" i="24"/>
  <c r="DF27" i="24"/>
  <c r="DM27" i="24"/>
  <c r="DM88" i="25"/>
  <c r="DJ88" i="25"/>
  <c r="DF88" i="25"/>
  <c r="CY111" i="21"/>
  <c r="AO78" i="28"/>
  <c r="AO99" i="26"/>
  <c r="DF43" i="7"/>
  <c r="DM43" i="7"/>
  <c r="DJ43" i="7"/>
  <c r="DF63" i="7"/>
  <c r="CY64" i="7"/>
  <c r="CY65" i="7" s="1"/>
  <c r="DJ63" i="7"/>
  <c r="DM63" i="7"/>
  <c r="DM46" i="7"/>
  <c r="DJ46" i="7"/>
  <c r="DF46" i="7"/>
  <c r="DF44" i="7"/>
  <c r="DM44" i="7"/>
  <c r="DJ44" i="7"/>
  <c r="DJ45" i="7"/>
  <c r="DM45" i="7"/>
  <c r="DF45" i="7"/>
  <c r="AO57" i="20"/>
  <c r="AO57" i="21"/>
  <c r="AO57" i="22"/>
  <c r="AO57" i="23"/>
  <c r="AO99" i="27"/>
  <c r="AO99" i="25"/>
  <c r="AO99" i="28"/>
  <c r="AO99" i="24"/>
  <c r="BZ61" i="14"/>
  <c r="BZ60" i="14" s="1"/>
  <c r="BV63" i="14" s="1"/>
  <c r="E59" i="14"/>
  <c r="BZ40" i="7"/>
  <c r="AP71" i="7"/>
  <c r="AP56" i="7"/>
  <c r="X62" i="7"/>
  <c r="H292" i="6"/>
  <c r="I292" i="6"/>
  <c r="F292" i="6"/>
  <c r="G292" i="6"/>
  <c r="E292" i="6"/>
  <c r="B292" i="6"/>
  <c r="C292" i="6"/>
  <c r="D292" i="6"/>
  <c r="B291" i="6"/>
  <c r="D291" i="6"/>
  <c r="G291" i="6"/>
  <c r="K291" i="6" s="1"/>
  <c r="E291" i="6"/>
  <c r="F291" i="6"/>
  <c r="H291" i="6"/>
  <c r="C291" i="6"/>
  <c r="I291" i="6"/>
  <c r="AE25" i="7"/>
  <c r="AH27" i="7"/>
  <c r="AH26" i="7"/>
  <c r="AE21" i="7"/>
  <c r="AE24" i="7"/>
  <c r="AD23" i="7"/>
  <c r="AE26" i="7"/>
  <c r="AH21" i="7"/>
  <c r="AE27" i="7"/>
  <c r="AH24" i="7"/>
  <c r="AD19" i="7"/>
  <c r="AH22" i="7"/>
  <c r="AE23" i="7"/>
  <c r="AI19" i="7"/>
  <c r="AF25" i="7"/>
  <c r="AD25" i="7"/>
  <c r="AF27" i="7"/>
  <c r="AF26" i="7"/>
  <c r="AF23" i="7"/>
  <c r="AF21" i="7"/>
  <c r="AD27" i="7"/>
  <c r="AI24" i="7"/>
  <c r="AF19" i="7"/>
  <c r="AI23" i="7"/>
  <c r="AH19" i="7"/>
  <c r="AD21" i="7"/>
  <c r="AF24" i="7"/>
  <c r="AH20" i="7"/>
  <c r="AD24" i="7"/>
  <c r="AE19" i="7"/>
  <c r="AI25" i="7"/>
  <c r="AH25" i="7"/>
  <c r="AH23" i="7"/>
  <c r="AI21" i="7"/>
  <c r="AI27" i="7"/>
  <c r="AI26" i="7"/>
  <c r="AD22" i="7"/>
  <c r="AI20" i="7"/>
  <c r="AD26" i="7"/>
  <c r="AD20" i="7"/>
  <c r="AI22" i="7"/>
  <c r="AF20" i="7"/>
  <c r="AF22" i="7"/>
  <c r="AE22" i="7"/>
  <c r="AE20" i="7"/>
  <c r="BL18" i="7"/>
  <c r="A206" i="6" s="1"/>
  <c r="J206" i="6" s="1"/>
  <c r="L18" i="8"/>
  <c r="BN23" i="7"/>
  <c r="DF110" i="26" l="1"/>
  <c r="DJ39" i="27"/>
  <c r="AG39" i="27" s="1"/>
  <c r="CY70" i="22"/>
  <c r="DM70" i="22" s="1"/>
  <c r="DF111" i="25"/>
  <c r="DF109" i="26"/>
  <c r="DJ88" i="26"/>
  <c r="DF69" i="22"/>
  <c r="DM89" i="26"/>
  <c r="DF88" i="26"/>
  <c r="DM109" i="26"/>
  <c r="DM69" i="22"/>
  <c r="DM110" i="26"/>
  <c r="DJ89" i="26"/>
  <c r="CY111" i="26"/>
  <c r="DF111" i="26" s="1"/>
  <c r="DF112" i="25"/>
  <c r="DM111" i="25"/>
  <c r="DM102" i="25" s="1"/>
  <c r="AJ102" i="25" s="1"/>
  <c r="CY90" i="26"/>
  <c r="CY91" i="26" s="1"/>
  <c r="DJ91" i="26" s="1"/>
  <c r="DJ109" i="26"/>
  <c r="DM88" i="26"/>
  <c r="DF39" i="27"/>
  <c r="DE37" i="27" s="1"/>
  <c r="DH38" i="27" s="1"/>
  <c r="DF132" i="21"/>
  <c r="DF133" i="21"/>
  <c r="CY132" i="20"/>
  <c r="DJ132" i="20" s="1"/>
  <c r="DM131" i="21"/>
  <c r="DJ133" i="21"/>
  <c r="DF91" i="28"/>
  <c r="DF81" i="28" s="1"/>
  <c r="DE79" i="28" s="1"/>
  <c r="DG80" i="28" s="1"/>
  <c r="AK81" i="28" s="1"/>
  <c r="C76" i="38" s="1"/>
  <c r="DJ112" i="25"/>
  <c r="DJ132" i="21"/>
  <c r="DJ111" i="25"/>
  <c r="DF131" i="21"/>
  <c r="DM132" i="21"/>
  <c r="DJ91" i="28"/>
  <c r="DJ81" i="28" s="1"/>
  <c r="AG81" i="28" s="1"/>
  <c r="C80" i="38" s="1"/>
  <c r="DF60" i="24"/>
  <c r="DE58" i="24" s="1"/>
  <c r="DI59" i="24" s="1"/>
  <c r="DJ131" i="20"/>
  <c r="DM131" i="20"/>
  <c r="DJ49" i="23"/>
  <c r="DJ39" i="23" s="1"/>
  <c r="AG39" i="23" s="1"/>
  <c r="C34" i="33" s="1"/>
  <c r="L34" i="33" s="1"/>
  <c r="CY153" i="20"/>
  <c r="CY154" i="20" s="1"/>
  <c r="DF154" i="20" s="1"/>
  <c r="DF130" i="24"/>
  <c r="CY132" i="24"/>
  <c r="DJ132" i="24" s="1"/>
  <c r="DJ60" i="24"/>
  <c r="AG60" i="24" s="1"/>
  <c r="C57" i="34" s="1"/>
  <c r="L57" i="34" s="1"/>
  <c r="DF39" i="23"/>
  <c r="DE37" i="23" s="1"/>
  <c r="DH38" i="23" s="1"/>
  <c r="DJ131" i="24"/>
  <c r="DF132" i="25"/>
  <c r="DM152" i="20"/>
  <c r="DF131" i="24"/>
  <c r="DM49" i="23"/>
  <c r="DM39" i="23" s="1"/>
  <c r="AJ39" i="23" s="1"/>
  <c r="C32" i="33" s="1"/>
  <c r="L32" i="33" s="1"/>
  <c r="DM132" i="25"/>
  <c r="CY26" i="25"/>
  <c r="DJ26" i="25" s="1"/>
  <c r="DM60" i="24"/>
  <c r="AJ60" i="24" s="1"/>
  <c r="C55" i="34" s="1"/>
  <c r="L55" i="34" s="1"/>
  <c r="DJ25" i="25"/>
  <c r="DM25" i="25"/>
  <c r="DM81" i="28"/>
  <c r="AJ81" i="28" s="1"/>
  <c r="C78" i="38" s="1"/>
  <c r="DM18" i="26"/>
  <c r="AJ18" i="26" s="1"/>
  <c r="C9" i="36" s="1"/>
  <c r="L9" i="36" s="1"/>
  <c r="DM110" i="24"/>
  <c r="DF111" i="24"/>
  <c r="DJ110" i="24"/>
  <c r="DJ111" i="24"/>
  <c r="DF110" i="24"/>
  <c r="DM48" i="22"/>
  <c r="CY112" i="24"/>
  <c r="DM112" i="24" s="1"/>
  <c r="DF151" i="23"/>
  <c r="DJ132" i="25"/>
  <c r="DJ152" i="20"/>
  <c r="DH17" i="26"/>
  <c r="DM130" i="24"/>
  <c r="DG17" i="26"/>
  <c r="AK18" i="26" s="1"/>
  <c r="C7" i="36" s="1"/>
  <c r="DF133" i="23"/>
  <c r="DF123" i="23" s="1"/>
  <c r="DE121" i="23" s="1"/>
  <c r="DG122" i="23" s="1"/>
  <c r="AK123" i="23" s="1"/>
  <c r="C122" i="33" s="1"/>
  <c r="DJ130" i="24"/>
  <c r="CY90" i="27"/>
  <c r="CY91" i="27" s="1"/>
  <c r="DM89" i="27"/>
  <c r="DM123" i="26"/>
  <c r="AJ123" i="26" s="1"/>
  <c r="C124" i="36" s="1"/>
  <c r="DF123" i="26"/>
  <c r="DE121" i="26" s="1"/>
  <c r="DI122" i="26" s="1"/>
  <c r="DM153" i="25"/>
  <c r="DF89" i="23"/>
  <c r="DM89" i="23"/>
  <c r="DJ152" i="23"/>
  <c r="DJ102" i="27"/>
  <c r="AG102" i="27" s="1"/>
  <c r="C103" i="37" s="1"/>
  <c r="L103" i="37" s="1"/>
  <c r="DJ89" i="27"/>
  <c r="DF90" i="7"/>
  <c r="CY90" i="23"/>
  <c r="CY91" i="23" s="1"/>
  <c r="DJ91" i="23" s="1"/>
  <c r="DM152" i="23"/>
  <c r="CY153" i="23"/>
  <c r="CY154" i="23" s="1"/>
  <c r="DF154" i="23" s="1"/>
  <c r="DJ151" i="23"/>
  <c r="DM151" i="23"/>
  <c r="DJ47" i="24"/>
  <c r="DJ48" i="24"/>
  <c r="DM47" i="24"/>
  <c r="DM48" i="24"/>
  <c r="CY49" i="24"/>
  <c r="DF49" i="24" s="1"/>
  <c r="DF47" i="24"/>
  <c r="DM26" i="21"/>
  <c r="DJ90" i="7"/>
  <c r="DF27" i="21"/>
  <c r="DM152" i="26"/>
  <c r="CY111" i="20"/>
  <c r="DJ111" i="20" s="1"/>
  <c r="CY91" i="7"/>
  <c r="DJ91" i="7" s="1"/>
  <c r="DM154" i="28"/>
  <c r="DM144" i="28" s="1"/>
  <c r="AJ144" i="28" s="1"/>
  <c r="C147" i="38" s="1"/>
  <c r="DF90" i="24"/>
  <c r="DF144" i="28"/>
  <c r="DE142" i="28" s="1"/>
  <c r="DH143" i="28" s="1"/>
  <c r="DJ154" i="28"/>
  <c r="DJ144" i="28" s="1"/>
  <c r="AG144" i="28" s="1"/>
  <c r="C149" i="38" s="1"/>
  <c r="CY91" i="24"/>
  <c r="DJ91" i="24" s="1"/>
  <c r="DJ90" i="24"/>
  <c r="DM133" i="23"/>
  <c r="DM123" i="23" s="1"/>
  <c r="AJ123" i="23" s="1"/>
  <c r="C124" i="33" s="1"/>
  <c r="L124" i="33" s="1"/>
  <c r="DJ48" i="28"/>
  <c r="CY49" i="28"/>
  <c r="DJ49" i="28" s="1"/>
  <c r="DM47" i="28"/>
  <c r="DF26" i="21"/>
  <c r="CY153" i="26"/>
  <c r="DF153" i="26" s="1"/>
  <c r="DF110" i="20"/>
  <c r="DM27" i="21"/>
  <c r="DJ110" i="20"/>
  <c r="DF152" i="26"/>
  <c r="DF47" i="28"/>
  <c r="CY28" i="21"/>
  <c r="DM28" i="21" s="1"/>
  <c r="DJ26" i="21"/>
  <c r="DJ47" i="28"/>
  <c r="DF48" i="28"/>
  <c r="DJ18" i="26"/>
  <c r="AG18" i="26" s="1"/>
  <c r="C11" i="36" s="1"/>
  <c r="L11" i="36" s="1"/>
  <c r="DF112" i="27"/>
  <c r="DF102" i="27" s="1"/>
  <c r="DE100" i="27" s="1"/>
  <c r="DH101" i="27" s="1"/>
  <c r="CY154" i="25"/>
  <c r="DF154" i="25" s="1"/>
  <c r="DF153" i="25"/>
  <c r="DM112" i="27"/>
  <c r="DM102" i="27" s="1"/>
  <c r="AJ102" i="27" s="1"/>
  <c r="C101" i="37" s="1"/>
  <c r="L101" i="37" s="1"/>
  <c r="DF132" i="22"/>
  <c r="DF111" i="28"/>
  <c r="DF112" i="28"/>
  <c r="DJ47" i="22"/>
  <c r="DM112" i="28"/>
  <c r="DM47" i="22"/>
  <c r="DM132" i="22"/>
  <c r="DF47" i="22"/>
  <c r="DF49" i="22"/>
  <c r="DJ132" i="22"/>
  <c r="DJ111" i="28"/>
  <c r="DJ102" i="28" s="1"/>
  <c r="AG102" i="28" s="1"/>
  <c r="DJ48" i="22"/>
  <c r="DM111" i="28"/>
  <c r="CY68" i="25"/>
  <c r="CY69" i="25" s="1"/>
  <c r="DM69" i="25" s="1"/>
  <c r="DF48" i="22"/>
  <c r="DM49" i="22"/>
  <c r="DJ123" i="23"/>
  <c r="AG123" i="23" s="1"/>
  <c r="C126" i="33" s="1"/>
  <c r="L126" i="33" s="1"/>
  <c r="DM69" i="28"/>
  <c r="DF25" i="27"/>
  <c r="DJ112" i="23"/>
  <c r="CY28" i="20"/>
  <c r="DM28" i="20" s="1"/>
  <c r="DJ69" i="28"/>
  <c r="CY26" i="27"/>
  <c r="CY27" i="27" s="1"/>
  <c r="DF27" i="27" s="1"/>
  <c r="DJ111" i="23"/>
  <c r="DM25" i="27"/>
  <c r="DM111" i="23"/>
  <c r="DM102" i="23" s="1"/>
  <c r="AJ102" i="23" s="1"/>
  <c r="C101" i="33" s="1"/>
  <c r="L101" i="33" s="1"/>
  <c r="DF111" i="23"/>
  <c r="CY70" i="28"/>
  <c r="DJ70" i="28" s="1"/>
  <c r="CY28" i="22"/>
  <c r="DF28" i="22" s="1"/>
  <c r="DF112" i="23"/>
  <c r="AG130" i="11"/>
  <c r="A129" i="11"/>
  <c r="A128" i="10"/>
  <c r="AG129" i="10"/>
  <c r="DF132" i="7"/>
  <c r="DM132" i="7"/>
  <c r="DJ132" i="7"/>
  <c r="DF27" i="22"/>
  <c r="DJ26" i="22"/>
  <c r="DM27" i="20"/>
  <c r="DM27" i="22"/>
  <c r="DJ27" i="20"/>
  <c r="A23" i="7"/>
  <c r="H27" i="7"/>
  <c r="DM26" i="22"/>
  <c r="DF26" i="22"/>
  <c r="AP55" i="7"/>
  <c r="C32" i="37"/>
  <c r="L32" i="37" s="1"/>
  <c r="C34" i="37"/>
  <c r="L34" i="37" s="1"/>
  <c r="C149" i="32"/>
  <c r="L149" i="32" s="1"/>
  <c r="C149" i="37"/>
  <c r="L149" i="37" s="1"/>
  <c r="C147" i="37"/>
  <c r="L147" i="37" s="1"/>
  <c r="C80" i="32"/>
  <c r="L80" i="32" s="1"/>
  <c r="C147" i="32"/>
  <c r="L147" i="32" s="1"/>
  <c r="C78" i="32"/>
  <c r="L78" i="32" s="1"/>
  <c r="C126" i="36"/>
  <c r="G59" i="14"/>
  <c r="AE110" i="16"/>
  <c r="AA110" i="16" s="1"/>
  <c r="DF69" i="23"/>
  <c r="DF67" i="25"/>
  <c r="DM69" i="23"/>
  <c r="DJ67" i="25"/>
  <c r="DF81" i="20"/>
  <c r="DE79" i="20" s="1"/>
  <c r="DG80" i="20" s="1"/>
  <c r="AK81" i="20" s="1"/>
  <c r="C76" i="30" s="1"/>
  <c r="DJ69" i="23"/>
  <c r="DJ60" i="23" s="1"/>
  <c r="AG60" i="23" s="1"/>
  <c r="DM70" i="23"/>
  <c r="DJ91" i="20"/>
  <c r="DJ81" i="20" s="1"/>
  <c r="AG81" i="20" s="1"/>
  <c r="DF70" i="23"/>
  <c r="DM91" i="20"/>
  <c r="DM81" i="20" s="1"/>
  <c r="AJ81" i="20" s="1"/>
  <c r="CY152" i="24"/>
  <c r="CY153" i="24" s="1"/>
  <c r="DM151" i="24"/>
  <c r="DJ151" i="24"/>
  <c r="DF151" i="24"/>
  <c r="DJ109" i="14"/>
  <c r="DM109" i="14"/>
  <c r="CY110" i="14"/>
  <c r="DF109" i="14"/>
  <c r="DM89" i="14"/>
  <c r="DF89" i="14"/>
  <c r="DJ89" i="14"/>
  <c r="DM152" i="14"/>
  <c r="DJ152" i="14"/>
  <c r="DF152" i="14"/>
  <c r="CY153" i="14"/>
  <c r="CY90" i="14"/>
  <c r="DF130" i="14"/>
  <c r="DJ130" i="14"/>
  <c r="CY131" i="14"/>
  <c r="DM130" i="14"/>
  <c r="CY26" i="28"/>
  <c r="DM25" i="28"/>
  <c r="DF25" i="28"/>
  <c r="DJ25" i="28"/>
  <c r="DJ70" i="26"/>
  <c r="DJ60" i="26" s="1"/>
  <c r="AG60" i="26" s="1"/>
  <c r="DM60" i="26"/>
  <c r="AJ60" i="26" s="1"/>
  <c r="DF70" i="26"/>
  <c r="DF60" i="26" s="1"/>
  <c r="DE58" i="26" s="1"/>
  <c r="DI59" i="26" s="1"/>
  <c r="DF112" i="22"/>
  <c r="DF102" i="22" s="1"/>
  <c r="DE100" i="22" s="1"/>
  <c r="DI101" i="22" s="1"/>
  <c r="CY48" i="7"/>
  <c r="CY49" i="7" s="1"/>
  <c r="DJ49" i="7" s="1"/>
  <c r="CY112" i="7"/>
  <c r="DF112" i="7" s="1"/>
  <c r="DF102" i="7" s="1"/>
  <c r="DE100" i="7" s="1"/>
  <c r="DJ18" i="24"/>
  <c r="AG18" i="24" s="1"/>
  <c r="DF144" i="21"/>
  <c r="DE142" i="21" s="1"/>
  <c r="DH143" i="21" s="1"/>
  <c r="DM102" i="22"/>
  <c r="AJ102" i="22" s="1"/>
  <c r="DF47" i="7"/>
  <c r="DJ111" i="7"/>
  <c r="DM111" i="7"/>
  <c r="DJ47" i="7"/>
  <c r="DJ112" i="22"/>
  <c r="DJ102" i="22" s="1"/>
  <c r="AG102" i="22" s="1"/>
  <c r="DG59" i="14"/>
  <c r="AK60" i="14" s="1"/>
  <c r="DI143" i="27"/>
  <c r="DH143" i="27"/>
  <c r="AL144" i="27" s="1"/>
  <c r="G145" i="37" s="1"/>
  <c r="DI59" i="14"/>
  <c r="DM18" i="24"/>
  <c r="AJ18" i="24" s="1"/>
  <c r="DF39" i="25"/>
  <c r="DE37" i="25" s="1"/>
  <c r="DI38" i="25" s="1"/>
  <c r="DF133" i="7"/>
  <c r="DM133" i="7"/>
  <c r="DJ133" i="7"/>
  <c r="DI143" i="22"/>
  <c r="DH143" i="22"/>
  <c r="DG143" i="22"/>
  <c r="AK144" i="22" s="1"/>
  <c r="C145" i="32" s="1"/>
  <c r="DF70" i="20"/>
  <c r="DF60" i="20" s="1"/>
  <c r="DE58" i="20" s="1"/>
  <c r="DJ70" i="20"/>
  <c r="DJ60" i="20" s="1"/>
  <c r="AG60" i="20" s="1"/>
  <c r="DM70" i="20"/>
  <c r="DM60" i="20" s="1"/>
  <c r="AJ60" i="20" s="1"/>
  <c r="DJ154" i="21"/>
  <c r="DJ144" i="21" s="1"/>
  <c r="AG144" i="21" s="1"/>
  <c r="CY28" i="23"/>
  <c r="DJ28" i="23" s="1"/>
  <c r="CY91" i="21"/>
  <c r="DM91" i="21" s="1"/>
  <c r="DF18" i="24"/>
  <c r="DE16" i="24" s="1"/>
  <c r="DG17" i="24" s="1"/>
  <c r="AK18" i="24" s="1"/>
  <c r="C7" i="34" s="1"/>
  <c r="CY132" i="27"/>
  <c r="CY66" i="7"/>
  <c r="CY67" i="7" s="1"/>
  <c r="DM154" i="21"/>
  <c r="DM144" i="21" s="1"/>
  <c r="AJ144" i="21" s="1"/>
  <c r="CY133" i="28"/>
  <c r="DM132" i="28"/>
  <c r="DJ132" i="28"/>
  <c r="DF132" i="28"/>
  <c r="DM39" i="25"/>
  <c r="AJ39" i="25" s="1"/>
  <c r="DJ131" i="27"/>
  <c r="DF131" i="27"/>
  <c r="DM131" i="27"/>
  <c r="CY49" i="20"/>
  <c r="DM48" i="20"/>
  <c r="DJ48" i="20"/>
  <c r="DF48" i="20"/>
  <c r="DM69" i="21"/>
  <c r="DF69" i="21"/>
  <c r="DJ69" i="21"/>
  <c r="DF90" i="21"/>
  <c r="DJ90" i="21"/>
  <c r="DM90" i="21"/>
  <c r="DF144" i="7"/>
  <c r="DE142" i="7" s="1"/>
  <c r="DF90" i="25"/>
  <c r="DJ90" i="25"/>
  <c r="DM90" i="25"/>
  <c r="DJ48" i="26"/>
  <c r="DM48" i="26"/>
  <c r="DF48" i="26"/>
  <c r="CY49" i="26"/>
  <c r="DJ49" i="21"/>
  <c r="DJ39" i="21" s="1"/>
  <c r="AG39" i="21" s="1"/>
  <c r="DF49" i="21"/>
  <c r="DF39" i="21" s="1"/>
  <c r="DE37" i="21" s="1"/>
  <c r="DM49" i="21"/>
  <c r="DM39" i="21" s="1"/>
  <c r="AJ39" i="21" s="1"/>
  <c r="DJ111" i="21"/>
  <c r="DM111" i="21"/>
  <c r="DF111" i="21"/>
  <c r="CY70" i="21"/>
  <c r="DG80" i="22"/>
  <c r="AK81" i="22" s="1"/>
  <c r="C76" i="32" s="1"/>
  <c r="DI80" i="22"/>
  <c r="DH80" i="22"/>
  <c r="DF70" i="27"/>
  <c r="DF60" i="27" s="1"/>
  <c r="DE58" i="27" s="1"/>
  <c r="DM70" i="27"/>
  <c r="DM60" i="27" s="1"/>
  <c r="AJ60" i="27" s="1"/>
  <c r="DJ70" i="27"/>
  <c r="DJ60" i="27" s="1"/>
  <c r="AG60" i="27" s="1"/>
  <c r="DJ39" i="25"/>
  <c r="AG39" i="25" s="1"/>
  <c r="DJ70" i="22"/>
  <c r="DJ60" i="22" s="1"/>
  <c r="AG60" i="22" s="1"/>
  <c r="DF70" i="22"/>
  <c r="DF68" i="21"/>
  <c r="DM68" i="21"/>
  <c r="DJ68" i="21"/>
  <c r="DJ27" i="23"/>
  <c r="DF27" i="23"/>
  <c r="DM27" i="23"/>
  <c r="DJ133" i="25"/>
  <c r="DM133" i="25"/>
  <c r="DF133" i="25"/>
  <c r="DM144" i="7"/>
  <c r="AJ144" i="7" s="1"/>
  <c r="CY112" i="21"/>
  <c r="AO120" i="26"/>
  <c r="DJ26" i="23"/>
  <c r="DF26" i="23"/>
  <c r="DM26" i="23"/>
  <c r="DJ133" i="22"/>
  <c r="DM133" i="22"/>
  <c r="DF133" i="22"/>
  <c r="DJ89" i="21"/>
  <c r="DM89" i="21"/>
  <c r="DF89" i="21"/>
  <c r="DJ144" i="7"/>
  <c r="AG144" i="7" s="1"/>
  <c r="CY91" i="25"/>
  <c r="DM64" i="7"/>
  <c r="DJ64" i="7"/>
  <c r="DF64" i="7"/>
  <c r="DM65" i="7"/>
  <c r="DF65" i="7"/>
  <c r="DJ65" i="7"/>
  <c r="AO78" i="20"/>
  <c r="AO78" i="21"/>
  <c r="AO78" i="22"/>
  <c r="AO78" i="23"/>
  <c r="AO120" i="24"/>
  <c r="AO141" i="24"/>
  <c r="AO120" i="28"/>
  <c r="AO141" i="28"/>
  <c r="AO120" i="27"/>
  <c r="AO141" i="27"/>
  <c r="AO120" i="25"/>
  <c r="AO141" i="25"/>
  <c r="BV62" i="14"/>
  <c r="BV60" i="14" s="1"/>
  <c r="B65" i="14" s="1"/>
  <c r="BV61" i="14"/>
  <c r="BZ61" i="7"/>
  <c r="BZ60" i="7" s="1"/>
  <c r="BZ39" i="7"/>
  <c r="K292" i="6"/>
  <c r="L292" i="6" s="1"/>
  <c r="L291" i="6"/>
  <c r="M206" i="6"/>
  <c r="BL21" i="7"/>
  <c r="BL24" i="7"/>
  <c r="BL23" i="7"/>
  <c r="BL27" i="7"/>
  <c r="BL26" i="7"/>
  <c r="BL25" i="7"/>
  <c r="BL22" i="7"/>
  <c r="L20" i="8"/>
  <c r="L19" i="8"/>
  <c r="BN24" i="7"/>
  <c r="A24" i="7" s="1"/>
  <c r="BL19" i="7"/>
  <c r="BL20" i="7"/>
  <c r="AS18" i="7"/>
  <c r="V38" i="1"/>
  <c r="W38" i="1" s="1"/>
  <c r="DJ102" i="23" l="1"/>
  <c r="AG102" i="23" s="1"/>
  <c r="DF102" i="25"/>
  <c r="DE100" i="25" s="1"/>
  <c r="DH101" i="25" s="1"/>
  <c r="CY112" i="26"/>
  <c r="DF112" i="26" s="1"/>
  <c r="DF102" i="26" s="1"/>
  <c r="DE100" i="26" s="1"/>
  <c r="DI101" i="26" s="1"/>
  <c r="DM111" i="26"/>
  <c r="DJ111" i="26"/>
  <c r="DM60" i="22"/>
  <c r="AJ60" i="22" s="1"/>
  <c r="DF60" i="22"/>
  <c r="DE58" i="22" s="1"/>
  <c r="DH59" i="22" s="1"/>
  <c r="DF90" i="26"/>
  <c r="DF91" i="26"/>
  <c r="DJ90" i="26"/>
  <c r="DJ81" i="26" s="1"/>
  <c r="AG81" i="26" s="1"/>
  <c r="DM91" i="26"/>
  <c r="DM90" i="26"/>
  <c r="DG38" i="27"/>
  <c r="AK39" i="27" s="1"/>
  <c r="AL39" i="27" s="1"/>
  <c r="G30" i="37" s="1"/>
  <c r="F30" i="37" s="1"/>
  <c r="DI38" i="27"/>
  <c r="DM102" i="28"/>
  <c r="AJ102" i="28" s="1"/>
  <c r="C101" i="38" s="1"/>
  <c r="DJ81" i="7"/>
  <c r="AG81" i="7" s="1"/>
  <c r="DG59" i="24"/>
  <c r="AK60" i="24" s="1"/>
  <c r="C53" i="34" s="1"/>
  <c r="DF123" i="21"/>
  <c r="DE121" i="21" s="1"/>
  <c r="DI122" i="21" s="1"/>
  <c r="DF132" i="20"/>
  <c r="DM132" i="20"/>
  <c r="CY133" i="20"/>
  <c r="DJ133" i="20" s="1"/>
  <c r="DJ123" i="20" s="1"/>
  <c r="AG123" i="20" s="1"/>
  <c r="C126" i="30" s="1"/>
  <c r="L126" i="30" s="1"/>
  <c r="DJ123" i="21"/>
  <c r="AG123" i="21" s="1"/>
  <c r="C126" i="31" s="1"/>
  <c r="L126" i="31" s="1"/>
  <c r="DM123" i="21"/>
  <c r="AJ123" i="21" s="1"/>
  <c r="C124" i="31" s="1"/>
  <c r="L124" i="31" s="1"/>
  <c r="DI80" i="28"/>
  <c r="DH59" i="24"/>
  <c r="DH80" i="28"/>
  <c r="AL81" i="28" s="1"/>
  <c r="G76" i="38" s="1"/>
  <c r="F76" i="38" s="1"/>
  <c r="DJ102" i="25"/>
  <c r="AG102" i="25" s="1"/>
  <c r="C103" i="35" s="1"/>
  <c r="DJ123" i="25"/>
  <c r="AG123" i="25" s="1"/>
  <c r="C126" i="35" s="1"/>
  <c r="DF153" i="23"/>
  <c r="DF144" i="23" s="1"/>
  <c r="DE142" i="23" s="1"/>
  <c r="CY27" i="25"/>
  <c r="DF27" i="25" s="1"/>
  <c r="DM26" i="25"/>
  <c r="DF26" i="25"/>
  <c r="DJ154" i="20"/>
  <c r="DF153" i="20"/>
  <c r="DF144" i="20" s="1"/>
  <c r="DE142" i="20" s="1"/>
  <c r="DI38" i="23"/>
  <c r="DG38" i="23"/>
  <c r="AK39" i="23" s="1"/>
  <c r="C30" i="33" s="1"/>
  <c r="DM154" i="20"/>
  <c r="DJ153" i="20"/>
  <c r="DM153" i="20"/>
  <c r="DF132" i="24"/>
  <c r="DM123" i="25"/>
  <c r="AJ123" i="25" s="1"/>
  <c r="C124" i="35" s="1"/>
  <c r="DM132" i="24"/>
  <c r="CY133" i="24"/>
  <c r="DJ133" i="24" s="1"/>
  <c r="DJ123" i="24" s="1"/>
  <c r="AG123" i="24" s="1"/>
  <c r="C126" i="34" s="1"/>
  <c r="L126" i="34" s="1"/>
  <c r="DF123" i="25"/>
  <c r="DE121" i="25" s="1"/>
  <c r="DI122" i="25" s="1"/>
  <c r="DM154" i="23"/>
  <c r="DM70" i="28"/>
  <c r="DM60" i="28" s="1"/>
  <c r="AJ60" i="28" s="1"/>
  <c r="C55" i="38" s="1"/>
  <c r="DF112" i="24"/>
  <c r="DF102" i="24" s="1"/>
  <c r="DE100" i="24" s="1"/>
  <c r="DH101" i="24" s="1"/>
  <c r="DJ112" i="24"/>
  <c r="DJ102" i="24" s="1"/>
  <c r="AG102" i="24" s="1"/>
  <c r="C103" i="34" s="1"/>
  <c r="L103" i="34" s="1"/>
  <c r="DM102" i="24"/>
  <c r="AJ102" i="24" s="1"/>
  <c r="C101" i="34" s="1"/>
  <c r="L101" i="34" s="1"/>
  <c r="DM91" i="24"/>
  <c r="DM81" i="24" s="1"/>
  <c r="AJ81" i="24" s="1"/>
  <c r="C78" i="34" s="1"/>
  <c r="L78" i="34" s="1"/>
  <c r="DF90" i="27"/>
  <c r="DJ153" i="23"/>
  <c r="DJ154" i="23"/>
  <c r="DM153" i="23"/>
  <c r="DJ81" i="24"/>
  <c r="AG81" i="24" s="1"/>
  <c r="C80" i="34" s="1"/>
  <c r="L80" i="34" s="1"/>
  <c r="DG122" i="26"/>
  <c r="AK123" i="26" s="1"/>
  <c r="C122" i="36" s="1"/>
  <c r="DH122" i="26"/>
  <c r="AL18" i="26"/>
  <c r="G7" i="36" s="1"/>
  <c r="F7" i="36" s="1"/>
  <c r="DJ90" i="27"/>
  <c r="DF91" i="24"/>
  <c r="DF81" i="24" s="1"/>
  <c r="DE79" i="24" s="1"/>
  <c r="DI80" i="24" s="1"/>
  <c r="DM90" i="27"/>
  <c r="DM49" i="24"/>
  <c r="DM39" i="24" s="1"/>
  <c r="AJ39" i="24" s="1"/>
  <c r="C32" i="34" s="1"/>
  <c r="L32" i="34" s="1"/>
  <c r="DJ90" i="23"/>
  <c r="DJ81" i="23" s="1"/>
  <c r="AG81" i="23" s="1"/>
  <c r="C80" i="33" s="1"/>
  <c r="L80" i="33" s="1"/>
  <c r="DF39" i="24"/>
  <c r="DE37" i="24" s="1"/>
  <c r="DI38" i="24" s="1"/>
  <c r="DF91" i="23"/>
  <c r="DJ153" i="26"/>
  <c r="DM91" i="23"/>
  <c r="DM90" i="23"/>
  <c r="DF90" i="23"/>
  <c r="DM49" i="28"/>
  <c r="DM39" i="28" s="1"/>
  <c r="AJ39" i="28" s="1"/>
  <c r="C32" i="38" s="1"/>
  <c r="DJ49" i="24"/>
  <c r="DJ39" i="24" s="1"/>
  <c r="AG39" i="24" s="1"/>
  <c r="C34" i="34" s="1"/>
  <c r="L34" i="34" s="1"/>
  <c r="DF49" i="28"/>
  <c r="DF39" i="28" s="1"/>
  <c r="DE37" i="28" s="1"/>
  <c r="DG38" i="28" s="1"/>
  <c r="AK39" i="28" s="1"/>
  <c r="C30" i="38" s="1"/>
  <c r="DG143" i="28"/>
  <c r="AK144" i="28" s="1"/>
  <c r="C145" i="38" s="1"/>
  <c r="CY112" i="20"/>
  <c r="DF112" i="20" s="1"/>
  <c r="DM18" i="21"/>
  <c r="AJ18" i="21" s="1"/>
  <c r="C9" i="31" s="1"/>
  <c r="L9" i="31" s="1"/>
  <c r="DI143" i="28"/>
  <c r="DF111" i="20"/>
  <c r="DM111" i="20"/>
  <c r="DF91" i="7"/>
  <c r="DF81" i="7" s="1"/>
  <c r="DE79" i="7" s="1"/>
  <c r="DI80" i="7" s="1"/>
  <c r="DM91" i="7"/>
  <c r="DM81" i="7" s="1"/>
  <c r="AJ81" i="7" s="1"/>
  <c r="DM154" i="25"/>
  <c r="DM144" i="25" s="1"/>
  <c r="AJ144" i="25" s="1"/>
  <c r="C147" i="35" s="1"/>
  <c r="DM153" i="26"/>
  <c r="DJ39" i="28"/>
  <c r="AG39" i="28" s="1"/>
  <c r="C34" i="38" s="1"/>
  <c r="DJ39" i="22"/>
  <c r="AG39" i="22" s="1"/>
  <c r="C34" i="32" s="1"/>
  <c r="L34" i="32" s="1"/>
  <c r="DF28" i="21"/>
  <c r="DF18" i="21" s="1"/>
  <c r="DE16" i="21" s="1"/>
  <c r="DH17" i="21" s="1"/>
  <c r="CY154" i="26"/>
  <c r="DF154" i="26" s="1"/>
  <c r="DF144" i="26" s="1"/>
  <c r="DE142" i="26" s="1"/>
  <c r="DG143" i="26" s="1"/>
  <c r="AK144" i="26" s="1"/>
  <c r="C145" i="36" s="1"/>
  <c r="DJ69" i="25"/>
  <c r="DM68" i="25"/>
  <c r="DJ68" i="25"/>
  <c r="CY70" i="25"/>
  <c r="DF70" i="25" s="1"/>
  <c r="DI101" i="27"/>
  <c r="DJ28" i="21"/>
  <c r="DJ18" i="21" s="1"/>
  <c r="AG18" i="21" s="1"/>
  <c r="C11" i="31" s="1"/>
  <c r="L11" i="31" s="1"/>
  <c r="DF123" i="22"/>
  <c r="DE121" i="22" s="1"/>
  <c r="DG122" i="22" s="1"/>
  <c r="AK123" i="22" s="1"/>
  <c r="C122" i="32" s="1"/>
  <c r="DG101" i="27"/>
  <c r="AK102" i="27" s="1"/>
  <c r="C99" i="37" s="1"/>
  <c r="DM39" i="22"/>
  <c r="AJ39" i="22" s="1"/>
  <c r="C32" i="32" s="1"/>
  <c r="L32" i="32" s="1"/>
  <c r="DF102" i="28"/>
  <c r="DE100" i="28" s="1"/>
  <c r="DI101" i="28" s="1"/>
  <c r="DF144" i="25"/>
  <c r="DE142" i="25" s="1"/>
  <c r="DH143" i="25" s="1"/>
  <c r="DM123" i="22"/>
  <c r="AJ123" i="22" s="1"/>
  <c r="C124" i="32" s="1"/>
  <c r="L124" i="32" s="1"/>
  <c r="DJ154" i="25"/>
  <c r="DJ144" i="25" s="1"/>
  <c r="AG144" i="25" s="1"/>
  <c r="C149" i="35" s="1"/>
  <c r="DF69" i="25"/>
  <c r="DJ60" i="28"/>
  <c r="AG60" i="28" s="1"/>
  <c r="C57" i="38" s="1"/>
  <c r="DJ123" i="22"/>
  <c r="AG123" i="22" s="1"/>
  <c r="C126" i="32" s="1"/>
  <c r="L126" i="32" s="1"/>
  <c r="DF68" i="25"/>
  <c r="DF102" i="23"/>
  <c r="DE100" i="23" s="1"/>
  <c r="DH101" i="23" s="1"/>
  <c r="DM60" i="23"/>
  <c r="AJ60" i="23" s="1"/>
  <c r="C55" i="33" s="1"/>
  <c r="L55" i="33" s="1"/>
  <c r="DJ27" i="27"/>
  <c r="DH80" i="20"/>
  <c r="AL81" i="20" s="1"/>
  <c r="G76" i="30" s="1"/>
  <c r="DF60" i="23"/>
  <c r="DE58" i="23" s="1"/>
  <c r="DI59" i="23" s="1"/>
  <c r="CY28" i="27"/>
  <c r="DM28" i="27" s="1"/>
  <c r="DF39" i="22"/>
  <c r="DE37" i="22" s="1"/>
  <c r="DG38" i="22" s="1"/>
  <c r="AK39" i="22" s="1"/>
  <c r="C30" i="32" s="1"/>
  <c r="DM26" i="27"/>
  <c r="DM27" i="27"/>
  <c r="DI122" i="23"/>
  <c r="DJ26" i="27"/>
  <c r="DH122" i="23"/>
  <c r="AL123" i="23" s="1"/>
  <c r="G122" i="33" s="1"/>
  <c r="F122" i="33" s="1"/>
  <c r="DF26" i="27"/>
  <c r="DF28" i="20"/>
  <c r="DF18" i="20" s="1"/>
  <c r="DE16" i="20" s="1"/>
  <c r="DG17" i="20" s="1"/>
  <c r="AK18" i="20" s="1"/>
  <c r="C7" i="30" s="1"/>
  <c r="DF18" i="22"/>
  <c r="DE16" i="22" s="1"/>
  <c r="DG17" i="22" s="1"/>
  <c r="AK18" i="22" s="1"/>
  <c r="C7" i="32" s="1"/>
  <c r="DM18" i="20"/>
  <c r="AJ18" i="20" s="1"/>
  <c r="C9" i="30" s="1"/>
  <c r="L9" i="30" s="1"/>
  <c r="DJ28" i="20"/>
  <c r="DJ18" i="20" s="1"/>
  <c r="AG18" i="20" s="1"/>
  <c r="C11" i="30" s="1"/>
  <c r="L11" i="30" s="1"/>
  <c r="DM123" i="7"/>
  <c r="AJ123" i="7" s="1"/>
  <c r="DJ28" i="22"/>
  <c r="DJ18" i="22" s="1"/>
  <c r="AG18" i="22" s="1"/>
  <c r="C11" i="32" s="1"/>
  <c r="L11" i="32" s="1"/>
  <c r="DM28" i="22"/>
  <c r="DM18" i="22" s="1"/>
  <c r="AJ18" i="22" s="1"/>
  <c r="C9" i="32" s="1"/>
  <c r="L9" i="32" s="1"/>
  <c r="DF70" i="28"/>
  <c r="DF60" i="28" s="1"/>
  <c r="DE58" i="28" s="1"/>
  <c r="DG59" i="28" s="1"/>
  <c r="AK60" i="28" s="1"/>
  <c r="C53" i="38" s="1"/>
  <c r="DF123" i="7"/>
  <c r="DE121" i="7" s="1"/>
  <c r="DG122" i="7" s="1"/>
  <c r="AK123" i="7" s="1"/>
  <c r="A129" i="10"/>
  <c r="AG130" i="10"/>
  <c r="AG131" i="11"/>
  <c r="A130" i="11"/>
  <c r="DJ123" i="7"/>
  <c r="AG123" i="7" s="1"/>
  <c r="DI80" i="20"/>
  <c r="C57" i="32"/>
  <c r="L57" i="32" s="1"/>
  <c r="C32" i="35"/>
  <c r="L32" i="35" s="1"/>
  <c r="C57" i="36"/>
  <c r="C9" i="34"/>
  <c r="L9" i="34" s="1"/>
  <c r="C103" i="32"/>
  <c r="L103" i="32" s="1"/>
  <c r="C101" i="32"/>
  <c r="L101" i="32" s="1"/>
  <c r="C57" i="33"/>
  <c r="L57" i="33" s="1"/>
  <c r="C101" i="35"/>
  <c r="C55" i="30"/>
  <c r="L55" i="30" s="1"/>
  <c r="C103" i="38"/>
  <c r="C34" i="35"/>
  <c r="L34" i="35" s="1"/>
  <c r="C32" i="31"/>
  <c r="L32" i="31" s="1"/>
  <c r="C57" i="30"/>
  <c r="L57" i="30" s="1"/>
  <c r="C11" i="34"/>
  <c r="L11" i="34" s="1"/>
  <c r="C78" i="30"/>
  <c r="L78" i="30" s="1"/>
  <c r="C57" i="37"/>
  <c r="L57" i="37" s="1"/>
  <c r="C55" i="37"/>
  <c r="L55" i="37" s="1"/>
  <c r="C34" i="31"/>
  <c r="L34" i="31" s="1"/>
  <c r="C147" i="31"/>
  <c r="L147" i="31" s="1"/>
  <c r="C149" i="31"/>
  <c r="L149" i="31" s="1"/>
  <c r="C103" i="33"/>
  <c r="L103" i="33" s="1"/>
  <c r="C55" i="36"/>
  <c r="C55" i="32"/>
  <c r="L55" i="32" s="1"/>
  <c r="AL60" i="14"/>
  <c r="G53" i="13" s="1"/>
  <c r="C53" i="13"/>
  <c r="C80" i="30"/>
  <c r="L80" i="30" s="1"/>
  <c r="DJ26" i="28"/>
  <c r="DM26" i="28"/>
  <c r="DF26" i="28"/>
  <c r="DF131" i="14"/>
  <c r="DJ131" i="14"/>
  <c r="CY132" i="14"/>
  <c r="DM131" i="14"/>
  <c r="DF153" i="24"/>
  <c r="DM153" i="24"/>
  <c r="DJ153" i="24"/>
  <c r="CY27" i="28"/>
  <c r="CY91" i="14"/>
  <c r="DJ90" i="14"/>
  <c r="DM90" i="14"/>
  <c r="DF90" i="14"/>
  <c r="DJ152" i="24"/>
  <c r="DF152" i="24"/>
  <c r="DM152" i="24"/>
  <c r="CY154" i="24"/>
  <c r="DJ153" i="14"/>
  <c r="CY154" i="14"/>
  <c r="DF153" i="14"/>
  <c r="DM153" i="14"/>
  <c r="CY111" i="14"/>
  <c r="DF110" i="14"/>
  <c r="DJ110" i="14"/>
  <c r="DM110" i="14"/>
  <c r="DG59" i="26"/>
  <c r="AK60" i="26" s="1"/>
  <c r="C53" i="36" s="1"/>
  <c r="DH59" i="26"/>
  <c r="DH101" i="22"/>
  <c r="DG101" i="22"/>
  <c r="AK102" i="22" s="1"/>
  <c r="C99" i="32" s="1"/>
  <c r="DG143" i="21"/>
  <c r="AK144" i="21" s="1"/>
  <c r="DI143" i="21"/>
  <c r="DJ66" i="7"/>
  <c r="DF66" i="7"/>
  <c r="DM66" i="7"/>
  <c r="DJ48" i="7"/>
  <c r="DJ39" i="7" s="1"/>
  <c r="AG39" i="7" s="1"/>
  <c r="DM49" i="7"/>
  <c r="DJ112" i="7"/>
  <c r="DJ102" i="7" s="1"/>
  <c r="AG102" i="7" s="1"/>
  <c r="DM112" i="7"/>
  <c r="DM102" i="7" s="1"/>
  <c r="AJ102" i="7" s="1"/>
  <c r="DM48" i="7"/>
  <c r="DF49" i="7"/>
  <c r="DF48" i="7"/>
  <c r="DH101" i="26"/>
  <c r="DF91" i="21"/>
  <c r="DF81" i="21" s="1"/>
  <c r="DE79" i="21" s="1"/>
  <c r="DH80" i="21" s="1"/>
  <c r="DJ91" i="21"/>
  <c r="DJ81" i="21" s="1"/>
  <c r="AG81" i="21" s="1"/>
  <c r="DF28" i="23"/>
  <c r="DF18" i="23" s="1"/>
  <c r="DE16" i="23" s="1"/>
  <c r="F145" i="37"/>
  <c r="AM144" i="27"/>
  <c r="M145" i="37" s="1"/>
  <c r="DM28" i="23"/>
  <c r="DM18" i="23" s="1"/>
  <c r="AJ18" i="23" s="1"/>
  <c r="CY68" i="7"/>
  <c r="DM68" i="7" s="1"/>
  <c r="DF67" i="7"/>
  <c r="DH38" i="25"/>
  <c r="DG38" i="25"/>
  <c r="AK39" i="25" s="1"/>
  <c r="C30" i="35" s="1"/>
  <c r="AO141" i="26"/>
  <c r="DH17" i="24"/>
  <c r="AL18" i="24" s="1"/>
  <c r="G7" i="34" s="1"/>
  <c r="DJ49" i="20"/>
  <c r="DJ39" i="20" s="1"/>
  <c r="AG39" i="20" s="1"/>
  <c r="DF49" i="20"/>
  <c r="DF39" i="20" s="1"/>
  <c r="DE37" i="20" s="1"/>
  <c r="DM49" i="20"/>
  <c r="DM39" i="20" s="1"/>
  <c r="AJ39" i="20" s="1"/>
  <c r="AL144" i="22"/>
  <c r="G145" i="32" s="1"/>
  <c r="DI17" i="24"/>
  <c r="DJ132" i="27"/>
  <c r="DF132" i="27"/>
  <c r="DM132" i="27"/>
  <c r="DJ67" i="7"/>
  <c r="DM67" i="7"/>
  <c r="DJ133" i="28"/>
  <c r="DJ123" i="28" s="1"/>
  <c r="AG123" i="28" s="1"/>
  <c r="DM133" i="28"/>
  <c r="DM123" i="28" s="1"/>
  <c r="AJ123" i="28" s="1"/>
  <c r="DF133" i="28"/>
  <c r="DF123" i="28" s="1"/>
  <c r="DE121" i="28" s="1"/>
  <c r="DG59" i="20"/>
  <c r="AK60" i="20" s="1"/>
  <c r="C53" i="30" s="1"/>
  <c r="DI59" i="20"/>
  <c r="DH59" i="20"/>
  <c r="CY133" i="27"/>
  <c r="DJ18" i="23"/>
  <c r="AG18" i="23" s="1"/>
  <c r="DM112" i="21"/>
  <c r="DM102" i="21" s="1"/>
  <c r="AJ102" i="21" s="1"/>
  <c r="DJ112" i="21"/>
  <c r="DJ102" i="21" s="1"/>
  <c r="AG102" i="21" s="1"/>
  <c r="DF112" i="21"/>
  <c r="DF102" i="21" s="1"/>
  <c r="DE100" i="21" s="1"/>
  <c r="DG59" i="27"/>
  <c r="AK60" i="27" s="1"/>
  <c r="C53" i="37" s="1"/>
  <c r="DH59" i="27"/>
  <c r="DI59" i="27"/>
  <c r="DM70" i="21"/>
  <c r="DM60" i="21" s="1"/>
  <c r="AJ60" i="21" s="1"/>
  <c r="DF70" i="21"/>
  <c r="DF60" i="21" s="1"/>
  <c r="DE58" i="21" s="1"/>
  <c r="DJ70" i="21"/>
  <c r="DJ60" i="21" s="1"/>
  <c r="AG60" i="21" s="1"/>
  <c r="DH38" i="21"/>
  <c r="DG38" i="21"/>
  <c r="AK39" i="21" s="1"/>
  <c r="C30" i="31" s="1"/>
  <c r="DI38" i="21"/>
  <c r="DM49" i="26"/>
  <c r="DM39" i="26" s="1"/>
  <c r="AJ39" i="26" s="1"/>
  <c r="DF49" i="26"/>
  <c r="DF39" i="26" s="1"/>
  <c r="DE37" i="26" s="1"/>
  <c r="DJ49" i="26"/>
  <c r="DJ39" i="26" s="1"/>
  <c r="AG39" i="26" s="1"/>
  <c r="DM91" i="25"/>
  <c r="DM81" i="25" s="1"/>
  <c r="AJ81" i="25" s="1"/>
  <c r="DJ91" i="25"/>
  <c r="DJ81" i="25" s="1"/>
  <c r="AG81" i="25" s="1"/>
  <c r="DF91" i="25"/>
  <c r="DF81" i="25" s="1"/>
  <c r="DE79" i="25" s="1"/>
  <c r="AL81" i="22"/>
  <c r="G76" i="32" s="1"/>
  <c r="DM91" i="27"/>
  <c r="DF91" i="27"/>
  <c r="DJ91" i="27"/>
  <c r="DH101" i="7"/>
  <c r="DG101" i="7"/>
  <c r="AK102" i="7" s="1"/>
  <c r="DI101" i="7"/>
  <c r="DI143" i="7"/>
  <c r="DG143" i="7"/>
  <c r="AK144" i="7" s="1"/>
  <c r="DH143" i="7"/>
  <c r="DM81" i="21"/>
  <c r="AJ81" i="21" s="1"/>
  <c r="AO99" i="20"/>
  <c r="AO99" i="21"/>
  <c r="AO99" i="22"/>
  <c r="AO99" i="23"/>
  <c r="CA63" i="14"/>
  <c r="CB63" i="14" s="1"/>
  <c r="CB64" i="14" s="1"/>
  <c r="BZ65" i="14" s="1"/>
  <c r="AO56" i="14" s="1"/>
  <c r="Q50" i="13" s="1"/>
  <c r="BZ63" i="14"/>
  <c r="BV42" i="7"/>
  <c r="BV41" i="7"/>
  <c r="BV40" i="7"/>
  <c r="BV62" i="7"/>
  <c r="BV63" i="7"/>
  <c r="BV61" i="7"/>
  <c r="K293" i="6"/>
  <c r="L293" i="6" s="1"/>
  <c r="B220" i="6"/>
  <c r="F220" i="6"/>
  <c r="E220" i="6"/>
  <c r="D220" i="6"/>
  <c r="M220" i="6"/>
  <c r="C220" i="6"/>
  <c r="I220" i="6"/>
  <c r="H220" i="6"/>
  <c r="G220" i="6"/>
  <c r="F276" i="6"/>
  <c r="E276" i="6"/>
  <c r="D276" i="6"/>
  <c r="B276" i="6"/>
  <c r="M276" i="6"/>
  <c r="C276" i="6"/>
  <c r="I276" i="6"/>
  <c r="H276" i="6"/>
  <c r="G276" i="6"/>
  <c r="H262" i="6"/>
  <c r="G262" i="6"/>
  <c r="F262" i="6"/>
  <c r="B262" i="6"/>
  <c r="E262" i="6"/>
  <c r="D262" i="6"/>
  <c r="M262" i="6"/>
  <c r="C262" i="6"/>
  <c r="I262" i="6"/>
  <c r="G255" i="6"/>
  <c r="F255" i="6"/>
  <c r="B255" i="6"/>
  <c r="E255" i="6"/>
  <c r="M255" i="6"/>
  <c r="D255" i="6"/>
  <c r="C255" i="6"/>
  <c r="I255" i="6"/>
  <c r="H255" i="6"/>
  <c r="M234" i="6"/>
  <c r="C234" i="6"/>
  <c r="I234" i="6"/>
  <c r="H234" i="6"/>
  <c r="E234" i="6"/>
  <c r="G234" i="6"/>
  <c r="F234" i="6"/>
  <c r="B234" i="6"/>
  <c r="D234" i="6"/>
  <c r="E227" i="6"/>
  <c r="D227" i="6"/>
  <c r="H227" i="6"/>
  <c r="M227" i="6"/>
  <c r="C227" i="6"/>
  <c r="I227" i="6"/>
  <c r="B227" i="6"/>
  <c r="G227" i="6"/>
  <c r="F227" i="6"/>
  <c r="H248" i="6"/>
  <c r="D248" i="6"/>
  <c r="G248" i="6"/>
  <c r="F248" i="6"/>
  <c r="B248" i="6"/>
  <c r="E248" i="6"/>
  <c r="M248" i="6"/>
  <c r="C248" i="6"/>
  <c r="I248" i="6"/>
  <c r="G269" i="6"/>
  <c r="M269" i="6"/>
  <c r="B269" i="6"/>
  <c r="C269" i="6"/>
  <c r="F269" i="6"/>
  <c r="E269" i="6"/>
  <c r="D269" i="6"/>
  <c r="I269" i="6"/>
  <c r="H269" i="6"/>
  <c r="D283" i="6"/>
  <c r="G283" i="6"/>
  <c r="M283" i="6"/>
  <c r="C283" i="6"/>
  <c r="I283" i="6"/>
  <c r="H283" i="6"/>
  <c r="B283" i="6"/>
  <c r="F283" i="6"/>
  <c r="E283" i="6"/>
  <c r="I241" i="6"/>
  <c r="H241" i="6"/>
  <c r="E241" i="6"/>
  <c r="G241" i="6"/>
  <c r="B241" i="6"/>
  <c r="F241" i="6"/>
  <c r="D241" i="6"/>
  <c r="M241" i="6"/>
  <c r="C241" i="6"/>
  <c r="I206" i="6"/>
  <c r="D206" i="6"/>
  <c r="C206" i="6"/>
  <c r="H206" i="6"/>
  <c r="G206" i="6"/>
  <c r="F206" i="6"/>
  <c r="E206" i="6"/>
  <c r="B206" i="6"/>
  <c r="M213" i="6"/>
  <c r="B213" i="6"/>
  <c r="C213" i="6"/>
  <c r="I213" i="6"/>
  <c r="H213" i="6"/>
  <c r="G213" i="6"/>
  <c r="F213" i="6"/>
  <c r="E213" i="6"/>
  <c r="D213" i="6"/>
  <c r="AS25" i="7"/>
  <c r="AS26" i="7"/>
  <c r="AS27" i="7"/>
  <c r="AS23" i="7"/>
  <c r="AS24" i="7"/>
  <c r="AS21" i="7"/>
  <c r="C7" i="8"/>
  <c r="L7" i="8" s="1"/>
  <c r="AS22" i="7"/>
  <c r="V42" i="1"/>
  <c r="W36" i="1" s="1"/>
  <c r="AG24" i="16" s="1"/>
  <c r="AS19" i="7"/>
  <c r="BN25" i="7"/>
  <c r="A25" i="7" s="1"/>
  <c r="AS20" i="7"/>
  <c r="F38" i="1"/>
  <c r="G38" i="1" s="1"/>
  <c r="AT18" i="7"/>
  <c r="N38" i="1"/>
  <c r="O38" i="1" s="1"/>
  <c r="V41" i="1"/>
  <c r="W41" i="1" s="1"/>
  <c r="AL60" i="24" l="1"/>
  <c r="DI101" i="25"/>
  <c r="DG101" i="25"/>
  <c r="AK102" i="25" s="1"/>
  <c r="C99" i="35" s="1"/>
  <c r="DM112" i="26"/>
  <c r="DM102" i="26" s="1"/>
  <c r="AJ102" i="26" s="1"/>
  <c r="C101" i="36" s="1"/>
  <c r="L101" i="36" s="1"/>
  <c r="DG59" i="22"/>
  <c r="AK60" i="22" s="1"/>
  <c r="C53" i="32" s="1"/>
  <c r="DJ112" i="26"/>
  <c r="DJ102" i="26" s="1"/>
  <c r="AG102" i="26" s="1"/>
  <c r="C103" i="36" s="1"/>
  <c r="L103" i="36" s="1"/>
  <c r="DI59" i="22"/>
  <c r="DG101" i="26"/>
  <c r="AK102" i="26" s="1"/>
  <c r="C99" i="36" s="1"/>
  <c r="C30" i="37"/>
  <c r="L30" i="37" s="1"/>
  <c r="DF81" i="26"/>
  <c r="DE79" i="26" s="1"/>
  <c r="DH80" i="26" s="1"/>
  <c r="DM81" i="26"/>
  <c r="AJ81" i="26" s="1"/>
  <c r="C78" i="36" s="1"/>
  <c r="L78" i="36" s="1"/>
  <c r="DH122" i="21"/>
  <c r="DG122" i="21"/>
  <c r="AK123" i="21" s="1"/>
  <c r="C122" i="31" s="1"/>
  <c r="DF81" i="23"/>
  <c r="DE79" i="23" s="1"/>
  <c r="DG80" i="23" s="1"/>
  <c r="AK81" i="23" s="1"/>
  <c r="C76" i="33" s="1"/>
  <c r="DF133" i="20"/>
  <c r="DF123" i="20" s="1"/>
  <c r="DE121" i="20" s="1"/>
  <c r="DI122" i="20" s="1"/>
  <c r="DM133" i="20"/>
  <c r="DM123" i="20" s="1"/>
  <c r="AJ123" i="20" s="1"/>
  <c r="C124" i="30" s="1"/>
  <c r="L124" i="30" s="1"/>
  <c r="AM81" i="28"/>
  <c r="M76" i="38" s="1"/>
  <c r="CY28" i="25"/>
  <c r="DJ28" i="25" s="1"/>
  <c r="DM27" i="25"/>
  <c r="DJ27" i="25"/>
  <c r="AG46" i="7"/>
  <c r="AG47" i="7"/>
  <c r="AG48" i="7"/>
  <c r="DJ144" i="20"/>
  <c r="AG144" i="20" s="1"/>
  <c r="C149" i="30" s="1"/>
  <c r="L149" i="30" s="1"/>
  <c r="DM144" i="20"/>
  <c r="AJ144" i="20" s="1"/>
  <c r="C147" i="30" s="1"/>
  <c r="L147" i="30" s="1"/>
  <c r="AL39" i="23"/>
  <c r="G30" i="33" s="1"/>
  <c r="F30" i="33" s="1"/>
  <c r="DH122" i="25"/>
  <c r="DI101" i="24"/>
  <c r="DM133" i="24"/>
  <c r="DM123" i="24" s="1"/>
  <c r="AJ123" i="24" s="1"/>
  <c r="C124" i="34" s="1"/>
  <c r="L124" i="34" s="1"/>
  <c r="DG122" i="25"/>
  <c r="AK123" i="25" s="1"/>
  <c r="C122" i="35" s="1"/>
  <c r="DF133" i="24"/>
  <c r="DF123" i="24" s="1"/>
  <c r="DE121" i="24" s="1"/>
  <c r="DI122" i="24" s="1"/>
  <c r="DM144" i="23"/>
  <c r="AJ144" i="23" s="1"/>
  <c r="C147" i="33" s="1"/>
  <c r="L147" i="33" s="1"/>
  <c r="DG101" i="24"/>
  <c r="AK102" i="24" s="1"/>
  <c r="AL102" i="24" s="1"/>
  <c r="G99" i="34" s="1"/>
  <c r="F99" i="34" s="1"/>
  <c r="DF81" i="27"/>
  <c r="DE79" i="27" s="1"/>
  <c r="DH80" i="27" s="1"/>
  <c r="DJ144" i="23"/>
  <c r="AG144" i="23" s="1"/>
  <c r="C149" i="33" s="1"/>
  <c r="L149" i="33" s="1"/>
  <c r="DG38" i="24"/>
  <c r="AK39" i="24" s="1"/>
  <c r="C30" i="34" s="1"/>
  <c r="AL123" i="26"/>
  <c r="G122" i="36" s="1"/>
  <c r="DM81" i="27"/>
  <c r="AJ81" i="27" s="1"/>
  <c r="C78" i="37" s="1"/>
  <c r="L78" i="37" s="1"/>
  <c r="AL144" i="28"/>
  <c r="G145" i="38" s="1"/>
  <c r="F145" i="38" s="1"/>
  <c r="L7" i="36"/>
  <c r="L21" i="36" s="1"/>
  <c r="DJ154" i="26"/>
  <c r="DJ144" i="26" s="1"/>
  <c r="AG144" i="26" s="1"/>
  <c r="C149" i="36" s="1"/>
  <c r="L149" i="36" s="1"/>
  <c r="AM18" i="26"/>
  <c r="M7" i="36" s="1"/>
  <c r="DI143" i="26"/>
  <c r="DJ81" i="27"/>
  <c r="AG81" i="27" s="1"/>
  <c r="C80" i="37" s="1"/>
  <c r="L80" i="37" s="1"/>
  <c r="DM81" i="23"/>
  <c r="AJ81" i="23" s="1"/>
  <c r="C78" i="33" s="1"/>
  <c r="L78" i="33" s="1"/>
  <c r="DJ70" i="25"/>
  <c r="DJ60" i="25" s="1"/>
  <c r="AG60" i="25" s="1"/>
  <c r="C57" i="35" s="1"/>
  <c r="L57" i="35" s="1"/>
  <c r="DH38" i="28"/>
  <c r="AL39" i="28" s="1"/>
  <c r="G30" i="38" s="1"/>
  <c r="F30" i="38" s="1"/>
  <c r="DM154" i="26"/>
  <c r="DM144" i="26" s="1"/>
  <c r="AJ144" i="26" s="1"/>
  <c r="C147" i="36" s="1"/>
  <c r="L147" i="36" s="1"/>
  <c r="DM70" i="25"/>
  <c r="DM60" i="25" s="1"/>
  <c r="AJ60" i="25" s="1"/>
  <c r="C55" i="35" s="1"/>
  <c r="L55" i="35" s="1"/>
  <c r="DH143" i="26"/>
  <c r="AL144" i="26" s="1"/>
  <c r="G145" i="36" s="1"/>
  <c r="DJ28" i="27"/>
  <c r="DJ18" i="27" s="1"/>
  <c r="AG18" i="27" s="1"/>
  <c r="C11" i="37" s="1"/>
  <c r="L11" i="37" s="1"/>
  <c r="DH38" i="24"/>
  <c r="DG80" i="7"/>
  <c r="AK81" i="7" s="1"/>
  <c r="DI38" i="28"/>
  <c r="DM112" i="20"/>
  <c r="DM102" i="20" s="1"/>
  <c r="AJ102" i="20" s="1"/>
  <c r="C101" i="30" s="1"/>
  <c r="L101" i="30" s="1"/>
  <c r="DF102" i="20"/>
  <c r="DE100" i="20" s="1"/>
  <c r="DG101" i="20" s="1"/>
  <c r="AK102" i="20" s="1"/>
  <c r="C99" i="30" s="1"/>
  <c r="DJ112" i="20"/>
  <c r="DJ102" i="20" s="1"/>
  <c r="AG102" i="20" s="1"/>
  <c r="C103" i="30" s="1"/>
  <c r="L103" i="30" s="1"/>
  <c r="DH80" i="7"/>
  <c r="DF60" i="25"/>
  <c r="DE58" i="25" s="1"/>
  <c r="DH59" i="25" s="1"/>
  <c r="DI101" i="23"/>
  <c r="DI17" i="22"/>
  <c r="DG80" i="24"/>
  <c r="AK81" i="24" s="1"/>
  <c r="C76" i="34" s="1"/>
  <c r="DI38" i="22"/>
  <c r="DH80" i="24"/>
  <c r="DH38" i="22"/>
  <c r="AL39" i="22" s="1"/>
  <c r="G30" i="32" s="1"/>
  <c r="F30" i="32" s="1"/>
  <c r="DH101" i="28"/>
  <c r="DI122" i="22"/>
  <c r="DG101" i="28"/>
  <c r="AK102" i="28" s="1"/>
  <c r="C99" i="38" s="1"/>
  <c r="DH122" i="22"/>
  <c r="AL123" i="22" s="1"/>
  <c r="G122" i="32" s="1"/>
  <c r="DG17" i="21"/>
  <c r="AK18" i="21" s="1"/>
  <c r="C7" i="31" s="1"/>
  <c r="DI143" i="25"/>
  <c r="DI17" i="21"/>
  <c r="DG143" i="25"/>
  <c r="AK144" i="25" s="1"/>
  <c r="C145" i="35" s="1"/>
  <c r="DH17" i="20"/>
  <c r="AL18" i="20" s="1"/>
  <c r="G7" i="30" s="1"/>
  <c r="AL102" i="27"/>
  <c r="G99" i="37" s="1"/>
  <c r="F99" i="37" s="1"/>
  <c r="DG59" i="23"/>
  <c r="AK60" i="23" s="1"/>
  <c r="C53" i="33" s="1"/>
  <c r="AM123" i="23"/>
  <c r="M122" i="33" s="1"/>
  <c r="DG101" i="23"/>
  <c r="AK102" i="23" s="1"/>
  <c r="AL102" i="23" s="1"/>
  <c r="G99" i="33" s="1"/>
  <c r="F99" i="33" s="1"/>
  <c r="DH59" i="23"/>
  <c r="DH59" i="28"/>
  <c r="AL60" i="28" s="1"/>
  <c r="G53" i="38" s="1"/>
  <c r="DM18" i="27"/>
  <c r="AJ18" i="27" s="1"/>
  <c r="C9" i="37" s="1"/>
  <c r="L9" i="37" s="1"/>
  <c r="DH122" i="7"/>
  <c r="AL123" i="7" s="1"/>
  <c r="DF28" i="27"/>
  <c r="DF18" i="27" s="1"/>
  <c r="DE16" i="27" s="1"/>
  <c r="DI17" i="27" s="1"/>
  <c r="DI17" i="20"/>
  <c r="DH17" i="22"/>
  <c r="AL18" i="22" s="1"/>
  <c r="G7" i="32" s="1"/>
  <c r="DI59" i="28"/>
  <c r="DI122" i="7"/>
  <c r="AG133" i="11"/>
  <c r="A131" i="11"/>
  <c r="A130" i="10"/>
  <c r="AG131" i="10"/>
  <c r="AG44" i="7"/>
  <c r="AG45" i="7"/>
  <c r="AG42" i="7"/>
  <c r="AG43" i="7"/>
  <c r="AG40" i="7"/>
  <c r="AG41" i="7"/>
  <c r="AM60" i="14"/>
  <c r="M53" i="13" s="1"/>
  <c r="AM39" i="27"/>
  <c r="M30" i="37" s="1"/>
  <c r="C34" i="30"/>
  <c r="L34" i="30" s="1"/>
  <c r="AM60" i="24"/>
  <c r="M53" i="34" s="1"/>
  <c r="G53" i="34"/>
  <c r="F53" i="34" s="1"/>
  <c r="C78" i="31"/>
  <c r="L78" i="31" s="1"/>
  <c r="C78" i="35"/>
  <c r="C32" i="36"/>
  <c r="C9" i="33"/>
  <c r="L9" i="33" s="1"/>
  <c r="AL144" i="21"/>
  <c r="G145" i="31" s="1"/>
  <c r="F145" i="31" s="1"/>
  <c r="C145" i="31"/>
  <c r="C124" i="38"/>
  <c r="C80" i="36"/>
  <c r="L80" i="36" s="1"/>
  <c r="C126" i="38"/>
  <c r="C57" i="31"/>
  <c r="L57" i="31" s="1"/>
  <c r="C80" i="31"/>
  <c r="L80" i="31" s="1"/>
  <c r="C103" i="31"/>
  <c r="L103" i="31" s="1"/>
  <c r="C55" i="31"/>
  <c r="L55" i="31" s="1"/>
  <c r="C32" i="30"/>
  <c r="L32" i="30" s="1"/>
  <c r="C34" i="36"/>
  <c r="C101" i="31"/>
  <c r="L101" i="31" s="1"/>
  <c r="C80" i="35"/>
  <c r="C11" i="33"/>
  <c r="L11" i="33" s="1"/>
  <c r="CY28" i="28"/>
  <c r="DJ27" i="28"/>
  <c r="DM27" i="28"/>
  <c r="DF27" i="28"/>
  <c r="DF154" i="24"/>
  <c r="DF144" i="24" s="1"/>
  <c r="DE142" i="24" s="1"/>
  <c r="DM154" i="24"/>
  <c r="DM144" i="24" s="1"/>
  <c r="AJ144" i="24" s="1"/>
  <c r="DJ154" i="24"/>
  <c r="DJ144" i="24" s="1"/>
  <c r="AG144" i="24" s="1"/>
  <c r="CY133" i="14"/>
  <c r="DJ132" i="14"/>
  <c r="DM132" i="14"/>
  <c r="DF132" i="14"/>
  <c r="DJ111" i="14"/>
  <c r="DF111" i="14"/>
  <c r="DM111" i="14"/>
  <c r="DF154" i="14"/>
  <c r="DF144" i="14" s="1"/>
  <c r="DE142" i="14" s="1"/>
  <c r="DM154" i="14"/>
  <c r="DM144" i="14" s="1"/>
  <c r="AJ144" i="14" s="1"/>
  <c r="C147" i="13" s="1"/>
  <c r="DJ154" i="14"/>
  <c r="DJ144" i="14" s="1"/>
  <c r="AG144" i="14" s="1"/>
  <c r="C149" i="13" s="1"/>
  <c r="CY112" i="14"/>
  <c r="DJ91" i="14"/>
  <c r="DJ81" i="14" s="1"/>
  <c r="AG81" i="14" s="1"/>
  <c r="C80" i="13" s="1"/>
  <c r="DF91" i="14"/>
  <c r="DF81" i="14" s="1"/>
  <c r="DE79" i="14" s="1"/>
  <c r="DM91" i="14"/>
  <c r="DM81" i="14" s="1"/>
  <c r="AJ81" i="14" s="1"/>
  <c r="C78" i="13" s="1"/>
  <c r="DF39" i="7"/>
  <c r="DE37" i="7" s="1"/>
  <c r="DH38" i="7" s="1"/>
  <c r="AL60" i="26"/>
  <c r="G53" i="36" s="1"/>
  <c r="AL102" i="22"/>
  <c r="DM39" i="7"/>
  <c r="AJ39" i="7" s="1"/>
  <c r="L145" i="37"/>
  <c r="L162" i="37" s="1"/>
  <c r="AL39" i="25"/>
  <c r="CY69" i="7"/>
  <c r="DM69" i="7" s="1"/>
  <c r="DI80" i="21"/>
  <c r="DG80" i="21"/>
  <c r="AK81" i="21" s="1"/>
  <c r="DJ68" i="7"/>
  <c r="DF68" i="7"/>
  <c r="DI143" i="20"/>
  <c r="DG143" i="20"/>
  <c r="AK144" i="20" s="1"/>
  <c r="C145" i="30" s="1"/>
  <c r="DH143" i="20"/>
  <c r="AL144" i="7"/>
  <c r="DG38" i="20"/>
  <c r="AK39" i="20" s="1"/>
  <c r="C30" i="30" s="1"/>
  <c r="DH38" i="20"/>
  <c r="DI38" i="20"/>
  <c r="DH122" i="28"/>
  <c r="DG122" i="28"/>
  <c r="AK123" i="28" s="1"/>
  <c r="C122" i="38" s="1"/>
  <c r="DI122" i="28"/>
  <c r="DM133" i="27"/>
  <c r="DM123" i="27" s="1"/>
  <c r="AJ123" i="27" s="1"/>
  <c r="DJ133" i="27"/>
  <c r="DJ123" i="27" s="1"/>
  <c r="AG123" i="27" s="1"/>
  <c r="DF133" i="27"/>
  <c r="DF123" i="27" s="1"/>
  <c r="DE121" i="27" s="1"/>
  <c r="F76" i="30"/>
  <c r="AM81" i="20"/>
  <c r="M76" i="30" s="1"/>
  <c r="AL102" i="7"/>
  <c r="AM144" i="22"/>
  <c r="M145" i="32" s="1"/>
  <c r="AL60" i="20"/>
  <c r="G53" i="30" s="1"/>
  <c r="DI143" i="23"/>
  <c r="DH143" i="23"/>
  <c r="DG143" i="23"/>
  <c r="AK144" i="23" s="1"/>
  <c r="C145" i="33" s="1"/>
  <c r="DH59" i="21"/>
  <c r="DG59" i="21"/>
  <c r="AK60" i="21" s="1"/>
  <c r="C53" i="31" s="1"/>
  <c r="DI59" i="21"/>
  <c r="AM81" i="22"/>
  <c r="M76" i="32" s="1"/>
  <c r="F76" i="32"/>
  <c r="AL60" i="27"/>
  <c r="G53" i="37" s="1"/>
  <c r="F7" i="34"/>
  <c r="AM18" i="24"/>
  <c r="M7" i="34" s="1"/>
  <c r="AL39" i="21"/>
  <c r="G30" i="31" s="1"/>
  <c r="DI38" i="26"/>
  <c r="DG38" i="26"/>
  <c r="AK39" i="26" s="1"/>
  <c r="C30" i="36" s="1"/>
  <c r="DH38" i="26"/>
  <c r="L122" i="33"/>
  <c r="DH80" i="25"/>
  <c r="DG80" i="25"/>
  <c r="AK81" i="25" s="1"/>
  <c r="C76" i="35" s="1"/>
  <c r="DI80" i="25"/>
  <c r="DG17" i="23"/>
  <c r="AK18" i="23" s="1"/>
  <c r="C7" i="33" s="1"/>
  <c r="DH17" i="23"/>
  <c r="DI17" i="23"/>
  <c r="DG101" i="21"/>
  <c r="AK102" i="21" s="1"/>
  <c r="C99" i="31" s="1"/>
  <c r="DI101" i="21"/>
  <c r="DH101" i="21"/>
  <c r="AO141" i="20"/>
  <c r="AO120" i="20"/>
  <c r="AO120" i="21"/>
  <c r="AO141" i="21"/>
  <c r="AO120" i="22"/>
  <c r="AO141" i="22"/>
  <c r="AO120" i="23"/>
  <c r="AO141" i="23"/>
  <c r="CA63" i="7"/>
  <c r="BZ63" i="7"/>
  <c r="BV60" i="7"/>
  <c r="B65" i="7" s="1"/>
  <c r="BZ42" i="7"/>
  <c r="CA42" i="7"/>
  <c r="BV39" i="7"/>
  <c r="B44" i="7" s="1"/>
  <c r="K206" i="6"/>
  <c r="AT27" i="7"/>
  <c r="AT26" i="7"/>
  <c r="AT24" i="7"/>
  <c r="AT23" i="7"/>
  <c r="AT25" i="7"/>
  <c r="C8" i="8"/>
  <c r="L8" i="8" s="1"/>
  <c r="AT21" i="7"/>
  <c r="AT22" i="7"/>
  <c r="F42" i="1"/>
  <c r="G36" i="1" s="1"/>
  <c r="AA24" i="16" s="1"/>
  <c r="C11" i="8"/>
  <c r="L11" i="8" s="1"/>
  <c r="C15" i="8"/>
  <c r="L15" i="8" s="1"/>
  <c r="N42" i="1"/>
  <c r="O36" i="1" s="1"/>
  <c r="AD24" i="16" s="1"/>
  <c r="AT19" i="7"/>
  <c r="BN26" i="7"/>
  <c r="A26" i="7" s="1"/>
  <c r="AT20" i="7"/>
  <c r="AU18" i="7"/>
  <c r="C17" i="9" s="1"/>
  <c r="N41" i="1"/>
  <c r="O41" i="1" s="1"/>
  <c r="V40" i="1"/>
  <c r="W40" i="1" s="1"/>
  <c r="F41" i="1"/>
  <c r="G41" i="1" s="1"/>
  <c r="DH122" i="24" l="1"/>
  <c r="AL102" i="25"/>
  <c r="G99" i="35" s="1"/>
  <c r="F99" i="35" s="1"/>
  <c r="AL60" i="22"/>
  <c r="G53" i="32" s="1"/>
  <c r="F53" i="32" s="1"/>
  <c r="DG80" i="26"/>
  <c r="AK81" i="26" s="1"/>
  <c r="C76" i="36" s="1"/>
  <c r="AL102" i="26"/>
  <c r="G99" i="36" s="1"/>
  <c r="F99" i="36" s="1"/>
  <c r="DI80" i="26"/>
  <c r="AL123" i="21"/>
  <c r="AM123" i="21" s="1"/>
  <c r="M122" i="31" s="1"/>
  <c r="AL39" i="24"/>
  <c r="AM39" i="24" s="1"/>
  <c r="M30" i="34" s="1"/>
  <c r="DH80" i="23"/>
  <c r="AL81" i="23" s="1"/>
  <c r="G76" i="33" s="1"/>
  <c r="F76" i="33" s="1"/>
  <c r="DI80" i="23"/>
  <c r="DG122" i="20"/>
  <c r="AK123" i="20" s="1"/>
  <c r="C122" i="30" s="1"/>
  <c r="DH122" i="20"/>
  <c r="DM28" i="25"/>
  <c r="DM18" i="25" s="1"/>
  <c r="AJ18" i="25" s="1"/>
  <c r="C9" i="35" s="1"/>
  <c r="L9" i="35" s="1"/>
  <c r="AM39" i="23"/>
  <c r="M30" i="33" s="1"/>
  <c r="DF28" i="25"/>
  <c r="DF18" i="25" s="1"/>
  <c r="DE16" i="25" s="1"/>
  <c r="DI17" i="25" s="1"/>
  <c r="DJ18" i="25"/>
  <c r="AG18" i="25" s="1"/>
  <c r="C11" i="35" s="1"/>
  <c r="L11" i="35" s="1"/>
  <c r="AJ46" i="7"/>
  <c r="AJ48" i="7"/>
  <c r="AJ47" i="7"/>
  <c r="AL123" i="25"/>
  <c r="G122" i="35" s="1"/>
  <c r="F122" i="35" s="1"/>
  <c r="DG122" i="24"/>
  <c r="AK123" i="24" s="1"/>
  <c r="C122" i="34" s="1"/>
  <c r="C99" i="34"/>
  <c r="L99" i="34" s="1"/>
  <c r="AM123" i="26"/>
  <c r="M122" i="36" s="1"/>
  <c r="DG80" i="27"/>
  <c r="AK81" i="27" s="1"/>
  <c r="C76" i="37" s="1"/>
  <c r="DI80" i="27"/>
  <c r="AM144" i="28"/>
  <c r="M145" i="38" s="1"/>
  <c r="L24" i="36"/>
  <c r="N6" i="36" s="1"/>
  <c r="K24" i="36" s="1"/>
  <c r="DG59" i="25"/>
  <c r="AK60" i="25" s="1"/>
  <c r="C53" i="35" s="1"/>
  <c r="AL81" i="7"/>
  <c r="AM81" i="7" s="1"/>
  <c r="AM102" i="27"/>
  <c r="M99" i="37" s="1"/>
  <c r="AM39" i="28"/>
  <c r="M30" i="38" s="1"/>
  <c r="DH101" i="20"/>
  <c r="AL102" i="20" s="1"/>
  <c r="G99" i="30" s="1"/>
  <c r="AL81" i="24"/>
  <c r="G76" i="34" s="1"/>
  <c r="F76" i="34" s="1"/>
  <c r="DI59" i="25"/>
  <c r="AL18" i="21"/>
  <c r="G7" i="31" s="1"/>
  <c r="F7" i="31" s="1"/>
  <c r="DI101" i="20"/>
  <c r="AM39" i="22"/>
  <c r="M30" i="32" s="1"/>
  <c r="C99" i="33"/>
  <c r="L99" i="33" s="1"/>
  <c r="DH17" i="27"/>
  <c r="AL102" i="28"/>
  <c r="G99" i="38" s="1"/>
  <c r="AL144" i="25"/>
  <c r="G145" i="35" s="1"/>
  <c r="F145" i="35" s="1"/>
  <c r="AL60" i="23"/>
  <c r="AM60" i="23" s="1"/>
  <c r="M53" i="33" s="1"/>
  <c r="DG17" i="27"/>
  <c r="AK18" i="27" s="1"/>
  <c r="C7" i="37" s="1"/>
  <c r="A131" i="10"/>
  <c r="AG133" i="10"/>
  <c r="AG134" i="11"/>
  <c r="A133" i="11"/>
  <c r="AJ44" i="7"/>
  <c r="AJ45" i="7"/>
  <c r="AJ42" i="7"/>
  <c r="AJ43" i="7"/>
  <c r="AJ40" i="7"/>
  <c r="AJ41" i="7"/>
  <c r="AM144" i="21"/>
  <c r="M145" i="31" s="1"/>
  <c r="AM102" i="24"/>
  <c r="M99" i="34" s="1"/>
  <c r="AM102" i="23"/>
  <c r="M99" i="33" s="1"/>
  <c r="L30" i="32"/>
  <c r="L44" i="32" s="1"/>
  <c r="AM102" i="25"/>
  <c r="M99" i="35" s="1"/>
  <c r="C149" i="34"/>
  <c r="L149" i="34" s="1"/>
  <c r="AM102" i="7"/>
  <c r="C147" i="34"/>
  <c r="L147" i="34" s="1"/>
  <c r="AM123" i="7"/>
  <c r="G30" i="35"/>
  <c r="F30" i="35" s="1"/>
  <c r="C126" i="37"/>
  <c r="AM144" i="7"/>
  <c r="AL81" i="21"/>
  <c r="G76" i="31" s="1"/>
  <c r="F76" i="31" s="1"/>
  <c r="C76" i="31"/>
  <c r="C124" i="37"/>
  <c r="G99" i="32"/>
  <c r="F99" i="32" s="1"/>
  <c r="DG80" i="14"/>
  <c r="AK81" i="14" s="1"/>
  <c r="C76" i="13" s="1"/>
  <c r="DI80" i="14"/>
  <c r="DH80" i="14"/>
  <c r="DI143" i="14"/>
  <c r="DG143" i="14"/>
  <c r="AK144" i="14" s="1"/>
  <c r="C145" i="13" s="1"/>
  <c r="DH143" i="14"/>
  <c r="DJ28" i="28"/>
  <c r="DJ18" i="28" s="1"/>
  <c r="AG18" i="28" s="1"/>
  <c r="DF28" i="28"/>
  <c r="DF18" i="28" s="1"/>
  <c r="DE16" i="28" s="1"/>
  <c r="DM28" i="28"/>
  <c r="DM18" i="28" s="1"/>
  <c r="AJ18" i="28" s="1"/>
  <c r="DM133" i="14"/>
  <c r="DM123" i="14" s="1"/>
  <c r="AJ123" i="14" s="1"/>
  <c r="C124" i="13" s="1"/>
  <c r="DF133" i="14"/>
  <c r="DF123" i="14" s="1"/>
  <c r="DE121" i="14" s="1"/>
  <c r="DJ133" i="14"/>
  <c r="DJ123" i="14" s="1"/>
  <c r="AG123" i="14" s="1"/>
  <c r="C126" i="13" s="1"/>
  <c r="DM112" i="14"/>
  <c r="DM102" i="14" s="1"/>
  <c r="AJ102" i="14" s="1"/>
  <c r="C101" i="13" s="1"/>
  <c r="DF112" i="14"/>
  <c r="DF102" i="14" s="1"/>
  <c r="DE100" i="14" s="1"/>
  <c r="DJ112" i="14"/>
  <c r="DJ102" i="14" s="1"/>
  <c r="AG102" i="14" s="1"/>
  <c r="C103" i="13" s="1"/>
  <c r="DH143" i="24"/>
  <c r="DG143" i="24"/>
  <c r="AK144" i="24" s="1"/>
  <c r="C145" i="34" s="1"/>
  <c r="DI143" i="24"/>
  <c r="L99" i="37"/>
  <c r="DG38" i="7"/>
  <c r="AK39" i="7" s="1"/>
  <c r="AM60" i="26"/>
  <c r="M53" i="36" s="1"/>
  <c r="DI38" i="7"/>
  <c r="AM102" i="22"/>
  <c r="M99" i="32" s="1"/>
  <c r="DJ69" i="7"/>
  <c r="L159" i="37"/>
  <c r="L53" i="34"/>
  <c r="CY70" i="7"/>
  <c r="DF70" i="7" s="1"/>
  <c r="AM39" i="25"/>
  <c r="M30" i="35" s="1"/>
  <c r="DF69" i="7"/>
  <c r="L7" i="34"/>
  <c r="L21" i="34" s="1"/>
  <c r="M22" i="34" s="1"/>
  <c r="AL144" i="20"/>
  <c r="G145" i="30" s="1"/>
  <c r="L76" i="30"/>
  <c r="DI122" i="27"/>
  <c r="DH122" i="27"/>
  <c r="DG122" i="27"/>
  <c r="AK123" i="27" s="1"/>
  <c r="C122" i="37" s="1"/>
  <c r="F145" i="32"/>
  <c r="L145" i="32"/>
  <c r="L30" i="33"/>
  <c r="L47" i="33" s="1"/>
  <c r="AL123" i="28"/>
  <c r="G122" i="38" s="1"/>
  <c r="F122" i="36"/>
  <c r="F53" i="30"/>
  <c r="AM60" i="20"/>
  <c r="M53" i="30" s="1"/>
  <c r="AL39" i="20"/>
  <c r="G30" i="30" s="1"/>
  <c r="AL81" i="25"/>
  <c r="G76" i="35" s="1"/>
  <c r="L136" i="33"/>
  <c r="L139" i="33"/>
  <c r="N122" i="33" s="1"/>
  <c r="F30" i="31"/>
  <c r="AM39" i="21"/>
  <c r="M30" i="31" s="1"/>
  <c r="L76" i="32"/>
  <c r="AM60" i="28"/>
  <c r="M53" i="38" s="1"/>
  <c r="F53" i="38"/>
  <c r="AM18" i="20"/>
  <c r="M7" i="30" s="1"/>
  <c r="F7" i="30"/>
  <c r="F53" i="37"/>
  <c r="AM60" i="27"/>
  <c r="M53" i="37" s="1"/>
  <c r="AM18" i="22"/>
  <c r="M7" i="32" s="1"/>
  <c r="F7" i="32"/>
  <c r="AL18" i="23"/>
  <c r="G7" i="33" s="1"/>
  <c r="AL60" i="21"/>
  <c r="G53" i="31" s="1"/>
  <c r="L145" i="31"/>
  <c r="AL39" i="26"/>
  <c r="G30" i="36" s="1"/>
  <c r="F122" i="32"/>
  <c r="AM123" i="22"/>
  <c r="M122" i="32" s="1"/>
  <c r="AL144" i="23"/>
  <c r="G145" i="33" s="1"/>
  <c r="N145" i="37"/>
  <c r="N154" i="37"/>
  <c r="N147" i="37"/>
  <c r="N149" i="37"/>
  <c r="N144" i="37"/>
  <c r="K162" i="37" s="1"/>
  <c r="M22" i="36"/>
  <c r="AL102" i="21"/>
  <c r="G99" i="31" s="1"/>
  <c r="AM144" i="26"/>
  <c r="M145" i="36" s="1"/>
  <c r="F145" i="36"/>
  <c r="CB42" i="7"/>
  <c r="CB43" i="7" s="1"/>
  <c r="BZ44" i="7" s="1"/>
  <c r="CB63" i="7"/>
  <c r="CB64" i="7" s="1"/>
  <c r="BZ65" i="7" s="1"/>
  <c r="AO56" i="7" s="1"/>
  <c r="L206" i="6"/>
  <c r="AU24" i="7"/>
  <c r="AU27" i="7"/>
  <c r="AU25" i="7"/>
  <c r="AU26" i="7"/>
  <c r="AU23" i="7"/>
  <c r="C12" i="8"/>
  <c r="L12" i="8" s="1"/>
  <c r="C6" i="8"/>
  <c r="L6" i="8" s="1"/>
  <c r="C16" i="8"/>
  <c r="L16" i="8" s="1"/>
  <c r="AU21" i="7"/>
  <c r="AU22" i="7"/>
  <c r="BN27" i="7"/>
  <c r="A27" i="7" s="1"/>
  <c r="AU19" i="7"/>
  <c r="AV18" i="7"/>
  <c r="AF121" i="6" s="1"/>
  <c r="AU20" i="7"/>
  <c r="V39" i="1"/>
  <c r="W39" i="1" s="1"/>
  <c r="W42" i="1" s="1"/>
  <c r="AG25" i="16" s="1"/>
  <c r="AG23" i="16" s="1"/>
  <c r="N40" i="1"/>
  <c r="O40" i="1" s="1"/>
  <c r="F40" i="1"/>
  <c r="G40" i="1" s="1"/>
  <c r="AM60" i="22" l="1"/>
  <c r="M53" i="32" s="1"/>
  <c r="AM102" i="26"/>
  <c r="M99" i="36" s="1"/>
  <c r="AL81" i="26"/>
  <c r="G76" i="36" s="1"/>
  <c r="G122" i="31"/>
  <c r="F122" i="31" s="1"/>
  <c r="G30" i="34"/>
  <c r="F30" i="34" s="1"/>
  <c r="AM81" i="23"/>
  <c r="M76" i="33" s="1"/>
  <c r="AL123" i="20"/>
  <c r="G122" i="30" s="1"/>
  <c r="DH17" i="25"/>
  <c r="DG17" i="25"/>
  <c r="AK18" i="25" s="1"/>
  <c r="C7" i="35" s="1"/>
  <c r="AM123" i="25"/>
  <c r="M122" i="35" s="1"/>
  <c r="AL81" i="27"/>
  <c r="G76" i="37" s="1"/>
  <c r="F76" i="37" s="1"/>
  <c r="AL123" i="24"/>
  <c r="G122" i="34" s="1"/>
  <c r="F122" i="34" s="1"/>
  <c r="AK46" i="7"/>
  <c r="AK48" i="7"/>
  <c r="AK47" i="7"/>
  <c r="AM102" i="28"/>
  <c r="M99" i="38" s="1"/>
  <c r="N19" i="36"/>
  <c r="N15" i="36"/>
  <c r="N9" i="36"/>
  <c r="N18" i="36"/>
  <c r="N7" i="36"/>
  <c r="N17" i="36"/>
  <c r="N16" i="36"/>
  <c r="N10" i="36"/>
  <c r="N12" i="36"/>
  <c r="N11" i="36"/>
  <c r="N8" i="36"/>
  <c r="AM81" i="24"/>
  <c r="M76" i="34" s="1"/>
  <c r="AL60" i="25"/>
  <c r="G53" i="35" s="1"/>
  <c r="F53" i="35" s="1"/>
  <c r="M45" i="32"/>
  <c r="V27" i="32" s="1"/>
  <c r="AM18" i="21"/>
  <c r="M7" i="31" s="1"/>
  <c r="G53" i="33"/>
  <c r="F53" i="33" s="1"/>
  <c r="AM144" i="25"/>
  <c r="M145" i="35" s="1"/>
  <c r="AL18" i="27"/>
  <c r="G7" i="37" s="1"/>
  <c r="F7" i="37" s="1"/>
  <c r="AG135" i="11"/>
  <c r="A134" i="11"/>
  <c r="A133" i="10"/>
  <c r="AG134" i="10"/>
  <c r="AK44" i="7"/>
  <c r="AK45" i="7"/>
  <c r="AM81" i="21"/>
  <c r="M76" i="31" s="1"/>
  <c r="L47" i="32"/>
  <c r="N32" i="32" s="1"/>
  <c r="AK42" i="7"/>
  <c r="AK43" i="7"/>
  <c r="AK40" i="7"/>
  <c r="AK41" i="7"/>
  <c r="L30" i="35"/>
  <c r="L99" i="32"/>
  <c r="L116" i="32" s="1"/>
  <c r="N104" i="32" s="1"/>
  <c r="C9" i="38"/>
  <c r="L9" i="38" s="1"/>
  <c r="C11" i="38"/>
  <c r="L11" i="38" s="1"/>
  <c r="AL39" i="7"/>
  <c r="AL81" i="14"/>
  <c r="AL144" i="14"/>
  <c r="DH17" i="28"/>
  <c r="DI17" i="28"/>
  <c r="DG17" i="28"/>
  <c r="AK18" i="28" s="1"/>
  <c r="C7" i="38" s="1"/>
  <c r="DI122" i="14"/>
  <c r="DG122" i="14"/>
  <c r="AK123" i="14" s="1"/>
  <c r="C122" i="13" s="1"/>
  <c r="DH122" i="14"/>
  <c r="AL144" i="24"/>
  <c r="G145" i="34" s="1"/>
  <c r="DH101" i="14"/>
  <c r="DG101" i="14"/>
  <c r="AK102" i="14" s="1"/>
  <c r="DI101" i="14"/>
  <c r="L76" i="33"/>
  <c r="L93" i="33" s="1"/>
  <c r="N76" i="33" s="1"/>
  <c r="L99" i="36"/>
  <c r="L113" i="36" s="1"/>
  <c r="L24" i="34"/>
  <c r="N18" i="34" s="1"/>
  <c r="F53" i="36"/>
  <c r="DM70" i="7"/>
  <c r="DM60" i="7" s="1"/>
  <c r="AJ60" i="7" s="1"/>
  <c r="DJ70" i="7"/>
  <c r="DJ60" i="7" s="1"/>
  <c r="AG60" i="7" s="1"/>
  <c r="L70" i="34"/>
  <c r="L67" i="34"/>
  <c r="DF60" i="7"/>
  <c r="DE58" i="7" s="1"/>
  <c r="DG59" i="7" s="1"/>
  <c r="AK60" i="7" s="1"/>
  <c r="L53" i="32"/>
  <c r="L67" i="32" s="1"/>
  <c r="L30" i="31"/>
  <c r="L47" i="31" s="1"/>
  <c r="AM102" i="20"/>
  <c r="M99" i="30" s="1"/>
  <c r="F99" i="30"/>
  <c r="L7" i="32"/>
  <c r="L24" i="32" s="1"/>
  <c r="N7" i="32" s="1"/>
  <c r="F99" i="38"/>
  <c r="L53" i="37"/>
  <c r="AM144" i="20"/>
  <c r="M145" i="30" s="1"/>
  <c r="F145" i="30"/>
  <c r="L76" i="34"/>
  <c r="L90" i="34" s="1"/>
  <c r="L159" i="32"/>
  <c r="M160" i="32" s="1"/>
  <c r="V142" i="32" s="1"/>
  <c r="L162" i="32"/>
  <c r="N30" i="33"/>
  <c r="L90" i="30"/>
  <c r="M91" i="30" s="1"/>
  <c r="V73" i="30" s="1"/>
  <c r="L93" i="30"/>
  <c r="L44" i="33"/>
  <c r="M45" i="33" s="1"/>
  <c r="F30" i="30"/>
  <c r="AM39" i="20"/>
  <c r="M30" i="30" s="1"/>
  <c r="L53" i="30"/>
  <c r="AM123" i="28"/>
  <c r="M122" i="38" s="1"/>
  <c r="F122" i="38"/>
  <c r="AL123" i="27"/>
  <c r="G122" i="37" s="1"/>
  <c r="AM102" i="21"/>
  <c r="M99" i="31" s="1"/>
  <c r="F99" i="31"/>
  <c r="L145" i="36"/>
  <c r="AM144" i="23"/>
  <c r="M145" i="33" s="1"/>
  <c r="F145" i="33"/>
  <c r="F53" i="31"/>
  <c r="AM60" i="21"/>
  <c r="M53" i="31" s="1"/>
  <c r="V4" i="34"/>
  <c r="N24" i="34"/>
  <c r="L122" i="32"/>
  <c r="L90" i="32"/>
  <c r="L93" i="32"/>
  <c r="N76" i="32" s="1"/>
  <c r="V4" i="36"/>
  <c r="N24" i="36"/>
  <c r="AM39" i="26"/>
  <c r="M30" i="36" s="1"/>
  <c r="F30" i="36"/>
  <c r="L76" i="31"/>
  <c r="L116" i="33"/>
  <c r="N99" i="33" s="1"/>
  <c r="L113" i="33"/>
  <c r="AM81" i="26"/>
  <c r="M76" i="36" s="1"/>
  <c r="F76" i="36"/>
  <c r="N133" i="33"/>
  <c r="N127" i="33"/>
  <c r="N130" i="33"/>
  <c r="N123" i="33"/>
  <c r="N129" i="33"/>
  <c r="N132" i="33"/>
  <c r="N126" i="33"/>
  <c r="N124" i="33"/>
  <c r="N125" i="33"/>
  <c r="N134" i="33"/>
  <c r="N121" i="33"/>
  <c r="K139" i="33" s="1"/>
  <c r="N131" i="33"/>
  <c r="F7" i="33"/>
  <c r="AM18" i="23"/>
  <c r="M7" i="33" s="1"/>
  <c r="N37" i="33"/>
  <c r="N34" i="33"/>
  <c r="N41" i="33"/>
  <c r="N35" i="33"/>
  <c r="N31" i="33"/>
  <c r="N42" i="33"/>
  <c r="N29" i="33"/>
  <c r="K47" i="33" s="1"/>
  <c r="N33" i="33"/>
  <c r="N32" i="33"/>
  <c r="N40" i="33"/>
  <c r="N38" i="33"/>
  <c r="N39" i="33"/>
  <c r="L113" i="34"/>
  <c r="L116" i="34"/>
  <c r="M137" i="33"/>
  <c r="L7" i="31"/>
  <c r="L7" i="30"/>
  <c r="L159" i="31"/>
  <c r="L162" i="31"/>
  <c r="N145" i="31" s="1"/>
  <c r="AM81" i="25"/>
  <c r="M76" i="35" s="1"/>
  <c r="F76" i="35"/>
  <c r="AV25" i="7"/>
  <c r="AV26" i="7"/>
  <c r="AV24" i="7"/>
  <c r="AV27" i="7"/>
  <c r="AV23" i="7"/>
  <c r="C10" i="8"/>
  <c r="L10" i="8" s="1"/>
  <c r="C14" i="8"/>
  <c r="L14" i="8" s="1"/>
  <c r="C9" i="8"/>
  <c r="L9" i="8" s="1"/>
  <c r="AV21" i="7"/>
  <c r="AV22" i="7"/>
  <c r="BN28" i="7"/>
  <c r="A28" i="7" s="1"/>
  <c r="AV20" i="7"/>
  <c r="AV19" i="7"/>
  <c r="N39" i="1"/>
  <c r="O39" i="1" s="1"/>
  <c r="O42" i="1" s="1"/>
  <c r="AD25" i="16" s="1"/>
  <c r="AD23" i="16" s="1"/>
  <c r="F39" i="1"/>
  <c r="G39" i="1" s="1"/>
  <c r="G42" i="1" s="1"/>
  <c r="AA25" i="16" s="1"/>
  <c r="AA23" i="16" s="1"/>
  <c r="BI18" i="7"/>
  <c r="C8" i="9" s="1"/>
  <c r="L122" i="31" l="1"/>
  <c r="L139" i="31" s="1"/>
  <c r="N131" i="31" s="1"/>
  <c r="AM123" i="20"/>
  <c r="M122" i="30" s="1"/>
  <c r="L30" i="34"/>
  <c r="L47" i="34" s="1"/>
  <c r="N42" i="34" s="1"/>
  <c r="AL18" i="25"/>
  <c r="G7" i="35" s="1"/>
  <c r="F7" i="35" s="1"/>
  <c r="N47" i="32"/>
  <c r="U27" i="32" s="1"/>
  <c r="AM81" i="27"/>
  <c r="M76" i="37" s="1"/>
  <c r="AM123" i="24"/>
  <c r="M122" i="34" s="1"/>
  <c r="L122" i="34"/>
  <c r="L139" i="34" s="1"/>
  <c r="N122" i="34" s="1"/>
  <c r="AK69" i="7"/>
  <c r="AK67" i="7"/>
  <c r="AK66" i="7"/>
  <c r="AK65" i="7"/>
  <c r="AK68" i="7"/>
  <c r="AG66" i="7"/>
  <c r="AG67" i="7"/>
  <c r="AG65" i="7"/>
  <c r="AG68" i="7"/>
  <c r="AG69" i="7"/>
  <c r="AJ67" i="7"/>
  <c r="AJ69" i="7"/>
  <c r="AJ66" i="7"/>
  <c r="AJ65" i="7"/>
  <c r="AJ68" i="7"/>
  <c r="AL47" i="7"/>
  <c r="AL48" i="7"/>
  <c r="AM60" i="25"/>
  <c r="M53" i="35" s="1"/>
  <c r="L53" i="33"/>
  <c r="L67" i="33" s="1"/>
  <c r="M68" i="33" s="1"/>
  <c r="N70" i="33" s="1"/>
  <c r="U50" i="33" s="1"/>
  <c r="AM18" i="27"/>
  <c r="M7" i="37" s="1"/>
  <c r="AK62" i="7"/>
  <c r="AK63" i="7"/>
  <c r="AK61" i="7"/>
  <c r="AK64" i="7"/>
  <c r="AG62" i="7"/>
  <c r="AG63" i="7"/>
  <c r="AG64" i="7"/>
  <c r="AG61" i="7"/>
  <c r="AJ62" i="7"/>
  <c r="AJ61" i="7"/>
  <c r="AJ63" i="7"/>
  <c r="AJ64" i="7"/>
  <c r="A134" i="10"/>
  <c r="AG135" i="10"/>
  <c r="AG136" i="11"/>
  <c r="A135" i="11"/>
  <c r="AL45" i="7"/>
  <c r="AL46" i="7"/>
  <c r="AL43" i="7"/>
  <c r="AL44" i="7"/>
  <c r="N40" i="32"/>
  <c r="N42" i="32"/>
  <c r="N37" i="32"/>
  <c r="N31" i="32"/>
  <c r="N39" i="32"/>
  <c r="N41" i="32"/>
  <c r="N29" i="32"/>
  <c r="K47" i="32" s="1"/>
  <c r="N33" i="32"/>
  <c r="N35" i="32"/>
  <c r="N30" i="32"/>
  <c r="N34" i="32"/>
  <c r="N38" i="32"/>
  <c r="AL41" i="7"/>
  <c r="AL42" i="7"/>
  <c r="AM39" i="7"/>
  <c r="AL40" i="7"/>
  <c r="N99" i="32"/>
  <c r="N110" i="32"/>
  <c r="N111" i="32"/>
  <c r="N107" i="32"/>
  <c r="N103" i="32"/>
  <c r="N100" i="32"/>
  <c r="N106" i="32"/>
  <c r="N101" i="32"/>
  <c r="N98" i="32"/>
  <c r="K116" i="32" s="1"/>
  <c r="N109" i="32"/>
  <c r="N108" i="32"/>
  <c r="N102" i="32"/>
  <c r="L113" i="32"/>
  <c r="M114" i="32" s="1"/>
  <c r="N116" i="32" s="1"/>
  <c r="L53" i="35"/>
  <c r="G26" i="16"/>
  <c r="AL102" i="14"/>
  <c r="G99" i="13" s="1"/>
  <c r="C99" i="13"/>
  <c r="AM144" i="14"/>
  <c r="M145" i="13" s="1"/>
  <c r="G145" i="13"/>
  <c r="AM81" i="14"/>
  <c r="M76" i="13" s="1"/>
  <c r="G76" i="13"/>
  <c r="L90" i="33"/>
  <c r="M91" i="33" s="1"/>
  <c r="V73" i="33" s="1"/>
  <c r="N87" i="33"/>
  <c r="N77" i="33"/>
  <c r="N12" i="34"/>
  <c r="N79" i="33"/>
  <c r="N75" i="33"/>
  <c r="K93" i="33" s="1"/>
  <c r="N78" i="33"/>
  <c r="N84" i="33"/>
  <c r="N86" i="33"/>
  <c r="N9" i="34"/>
  <c r="N85" i="33"/>
  <c r="N83" i="33"/>
  <c r="N80" i="33"/>
  <c r="N14" i="34"/>
  <c r="AM144" i="24"/>
  <c r="M145" i="34" s="1"/>
  <c r="F145" i="34"/>
  <c r="AL123" i="14"/>
  <c r="AL18" i="28"/>
  <c r="G7" i="38" s="1"/>
  <c r="N88" i="33"/>
  <c r="N81" i="33"/>
  <c r="N6" i="34"/>
  <c r="K24" i="34" s="1"/>
  <c r="L116" i="36"/>
  <c r="N99" i="36" s="1"/>
  <c r="N16" i="34"/>
  <c r="N11" i="34"/>
  <c r="N17" i="34"/>
  <c r="N7" i="34"/>
  <c r="N10" i="34"/>
  <c r="N19" i="34"/>
  <c r="N8" i="34"/>
  <c r="N15" i="34"/>
  <c r="DI59" i="7"/>
  <c r="DH59" i="7"/>
  <c r="AL60" i="7" s="1"/>
  <c r="M68" i="34"/>
  <c r="N53" i="34"/>
  <c r="N65" i="34"/>
  <c r="N64" i="34"/>
  <c r="N56" i="34"/>
  <c r="N61" i="34"/>
  <c r="N55" i="34"/>
  <c r="N63" i="34"/>
  <c r="N62" i="34"/>
  <c r="N54" i="34"/>
  <c r="N58" i="34"/>
  <c r="N52" i="34"/>
  <c r="K70" i="34" s="1"/>
  <c r="N57" i="34"/>
  <c r="N60" i="34"/>
  <c r="L93" i="34"/>
  <c r="N76" i="34" s="1"/>
  <c r="L70" i="32"/>
  <c r="N62" i="32" s="1"/>
  <c r="F122" i="30"/>
  <c r="L122" i="30"/>
  <c r="L44" i="31"/>
  <c r="M45" i="31" s="1"/>
  <c r="L21" i="32"/>
  <c r="M22" i="32" s="1"/>
  <c r="L99" i="30"/>
  <c r="L145" i="30"/>
  <c r="L162" i="30" s="1"/>
  <c r="L30" i="30"/>
  <c r="L47" i="30" s="1"/>
  <c r="N93" i="30"/>
  <c r="L91" i="30" s="1"/>
  <c r="Q79" i="30" s="1"/>
  <c r="Q80" i="30" s="1"/>
  <c r="Q81" i="30" s="1"/>
  <c r="Q82" i="30" s="1"/>
  <c r="N86" i="30"/>
  <c r="N87" i="30"/>
  <c r="N75" i="30"/>
  <c r="K93" i="30" s="1"/>
  <c r="N78" i="30"/>
  <c r="N85" i="30"/>
  <c r="N77" i="30"/>
  <c r="N79" i="30"/>
  <c r="N80" i="30"/>
  <c r="N88" i="30"/>
  <c r="N84" i="30"/>
  <c r="N83" i="30"/>
  <c r="N76" i="30"/>
  <c r="N81" i="30"/>
  <c r="L70" i="30"/>
  <c r="L67" i="30"/>
  <c r="M68" i="30" s="1"/>
  <c r="N162" i="32"/>
  <c r="L160" i="32" s="1"/>
  <c r="Q148" i="32" s="1"/>
  <c r="Q149" i="32" s="1"/>
  <c r="Q150" i="32" s="1"/>
  <c r="Q151" i="32" s="1"/>
  <c r="L76" i="36"/>
  <c r="AM123" i="27"/>
  <c r="M122" i="37" s="1"/>
  <c r="F122" i="37"/>
  <c r="N149" i="32"/>
  <c r="N147" i="32"/>
  <c r="N152" i="32"/>
  <c r="N150" i="32"/>
  <c r="N146" i="32"/>
  <c r="N157" i="32"/>
  <c r="N144" i="32"/>
  <c r="K162" i="32" s="1"/>
  <c r="N148" i="32"/>
  <c r="N154" i="32"/>
  <c r="N153" i="32"/>
  <c r="N156" i="32"/>
  <c r="N155" i="32"/>
  <c r="N145" i="32"/>
  <c r="N146" i="31"/>
  <c r="N149" i="31"/>
  <c r="N144" i="31"/>
  <c r="K162" i="31" s="1"/>
  <c r="N147" i="31"/>
  <c r="N155" i="31"/>
  <c r="N157" i="31"/>
  <c r="N153" i="31"/>
  <c r="N156" i="31"/>
  <c r="N154" i="31"/>
  <c r="N152" i="31"/>
  <c r="N150" i="31"/>
  <c r="N148" i="31"/>
  <c r="N132" i="31"/>
  <c r="N134" i="31"/>
  <c r="N126" i="31"/>
  <c r="L24" i="30"/>
  <c r="N7" i="30" s="1"/>
  <c r="L21" i="30"/>
  <c r="L139" i="32"/>
  <c r="L136" i="32"/>
  <c r="N11" i="32"/>
  <c r="N15" i="32"/>
  <c r="N10" i="32"/>
  <c r="N14" i="32"/>
  <c r="N16" i="32"/>
  <c r="N17" i="32"/>
  <c r="N19" i="32"/>
  <c r="N12" i="32"/>
  <c r="N8" i="32"/>
  <c r="N18" i="32"/>
  <c r="N6" i="32"/>
  <c r="K24" i="32" s="1"/>
  <c r="N9" i="32"/>
  <c r="M160" i="31"/>
  <c r="N139" i="33"/>
  <c r="V119" i="33"/>
  <c r="N47" i="33"/>
  <c r="V27" i="33"/>
  <c r="L7" i="33"/>
  <c r="M114" i="33"/>
  <c r="L145" i="33"/>
  <c r="N30" i="31"/>
  <c r="N39" i="31"/>
  <c r="N31" i="31"/>
  <c r="N38" i="31"/>
  <c r="N34" i="31"/>
  <c r="N32" i="31"/>
  <c r="N33" i="31"/>
  <c r="N40" i="31"/>
  <c r="N35" i="31"/>
  <c r="N29" i="31"/>
  <c r="K47" i="31" s="1"/>
  <c r="N37" i="31"/>
  <c r="N42" i="31"/>
  <c r="N41" i="31"/>
  <c r="N104" i="33"/>
  <c r="N98" i="33"/>
  <c r="K116" i="33" s="1"/>
  <c r="N108" i="33"/>
  <c r="N110" i="33"/>
  <c r="N106" i="33"/>
  <c r="N101" i="33"/>
  <c r="N102" i="33"/>
  <c r="N111" i="33"/>
  <c r="N103" i="33"/>
  <c r="N109" i="33"/>
  <c r="N100" i="33"/>
  <c r="N107" i="33"/>
  <c r="L93" i="31"/>
  <c r="L90" i="31"/>
  <c r="N77" i="32"/>
  <c r="N86" i="32"/>
  <c r="N75" i="32"/>
  <c r="K93" i="32" s="1"/>
  <c r="N83" i="32"/>
  <c r="N80" i="32"/>
  <c r="N85" i="32"/>
  <c r="N78" i="32"/>
  <c r="N84" i="32"/>
  <c r="N87" i="32"/>
  <c r="N88" i="32"/>
  <c r="N79" i="32"/>
  <c r="N81" i="32"/>
  <c r="N108" i="34"/>
  <c r="N98" i="34"/>
  <c r="K116" i="34" s="1"/>
  <c r="N100" i="34"/>
  <c r="N109" i="34"/>
  <c r="N110" i="34"/>
  <c r="N111" i="34"/>
  <c r="N107" i="34"/>
  <c r="N106" i="34"/>
  <c r="N104" i="34"/>
  <c r="N101" i="34"/>
  <c r="N102" i="34"/>
  <c r="N103" i="34"/>
  <c r="L7" i="37"/>
  <c r="M91" i="32"/>
  <c r="L53" i="31"/>
  <c r="L99" i="31"/>
  <c r="N99" i="34"/>
  <c r="L24" i="31"/>
  <c r="L21" i="31"/>
  <c r="U4" i="34"/>
  <c r="L22" i="34"/>
  <c r="Q10" i="34" s="1"/>
  <c r="Q11" i="34" s="1"/>
  <c r="Q12" i="34" s="1"/>
  <c r="Q13" i="34" s="1"/>
  <c r="L76" i="37"/>
  <c r="M114" i="34"/>
  <c r="M91" i="34"/>
  <c r="U4" i="36"/>
  <c r="L22" i="36"/>
  <c r="Q10" i="36" s="1"/>
  <c r="Q11" i="36" s="1"/>
  <c r="Q12" i="36" s="1"/>
  <c r="Q13" i="36" s="1"/>
  <c r="M68" i="32"/>
  <c r="BI25" i="7"/>
  <c r="BI27" i="7"/>
  <c r="BI23" i="7"/>
  <c r="BI24" i="7"/>
  <c r="BI26" i="7"/>
  <c r="C13" i="8"/>
  <c r="L13" i="8" s="1"/>
  <c r="C17" i="8"/>
  <c r="L17" i="8" s="1"/>
  <c r="BI21" i="7"/>
  <c r="BI22" i="7"/>
  <c r="BI19" i="7"/>
  <c r="BJ18" i="7"/>
  <c r="G8" i="9" s="1"/>
  <c r="BI20" i="7"/>
  <c r="BN29" i="7"/>
  <c r="A29" i="7" s="1"/>
  <c r="M122" i="9" s="1"/>
  <c r="AW18" i="7"/>
  <c r="C10" i="9" s="1"/>
  <c r="Q14" i="36"/>
  <c r="Q152" i="32"/>
  <c r="Q14" i="34"/>
  <c r="Q83" i="30"/>
  <c r="N31" i="34" l="1"/>
  <c r="N123" i="31"/>
  <c r="N133" i="31"/>
  <c r="N124" i="31"/>
  <c r="N127" i="31"/>
  <c r="N130" i="31"/>
  <c r="N121" i="31"/>
  <c r="K139" i="31" s="1"/>
  <c r="N125" i="31"/>
  <c r="N129" i="31"/>
  <c r="N122" i="31"/>
  <c r="L136" i="31"/>
  <c r="M137" i="31" s="1"/>
  <c r="V119" i="31" s="1"/>
  <c r="N41" i="34"/>
  <c r="N34" i="34"/>
  <c r="N37" i="34"/>
  <c r="N29" i="34"/>
  <c r="K47" i="34" s="1"/>
  <c r="N30" i="34"/>
  <c r="N33" i="34"/>
  <c r="N39" i="34"/>
  <c r="N32" i="34"/>
  <c r="N35" i="34"/>
  <c r="N40" i="34"/>
  <c r="N38" i="34"/>
  <c r="L44" i="34"/>
  <c r="M45" i="34" s="1"/>
  <c r="V27" i="34" s="1"/>
  <c r="L45" i="32"/>
  <c r="Q33" i="32" s="1"/>
  <c r="Q34" i="32" s="1"/>
  <c r="Q35" i="32" s="1"/>
  <c r="Q36" i="32" s="1"/>
  <c r="Q40" i="32" s="1"/>
  <c r="AM18" i="25"/>
  <c r="M7" i="35" s="1"/>
  <c r="L136" i="34"/>
  <c r="M137" i="34" s="1"/>
  <c r="V50" i="33"/>
  <c r="N129" i="34"/>
  <c r="N123" i="34"/>
  <c r="N130" i="34"/>
  <c r="N126" i="34"/>
  <c r="N125" i="34"/>
  <c r="N134" i="34"/>
  <c r="N124" i="34"/>
  <c r="N133" i="34"/>
  <c r="N121" i="34"/>
  <c r="K139" i="34" s="1"/>
  <c r="N132" i="34"/>
  <c r="N127" i="34"/>
  <c r="N131" i="34"/>
  <c r="AL67" i="7"/>
  <c r="AL66" i="7"/>
  <c r="AL68" i="7"/>
  <c r="AL69" i="7"/>
  <c r="AL65" i="7"/>
  <c r="L70" i="33"/>
  <c r="N53" i="33" s="1"/>
  <c r="L68" i="33"/>
  <c r="Q56" i="33" s="1"/>
  <c r="Q57" i="33" s="1"/>
  <c r="Q58" i="33" s="1"/>
  <c r="Q59" i="33" s="1"/>
  <c r="Q63" i="33" s="1"/>
  <c r="AM46" i="7"/>
  <c r="AM47" i="7"/>
  <c r="AM48" i="7"/>
  <c r="AL62" i="7"/>
  <c r="AL64" i="7"/>
  <c r="AL61" i="7"/>
  <c r="AL63" i="7"/>
  <c r="AG137" i="11"/>
  <c r="A136" i="11"/>
  <c r="A135" i="10"/>
  <c r="AG136" i="10"/>
  <c r="AM44" i="7"/>
  <c r="AM45" i="7"/>
  <c r="V96" i="32"/>
  <c r="AM42" i="7"/>
  <c r="AM43" i="7"/>
  <c r="AM40" i="7"/>
  <c r="AM41" i="7"/>
  <c r="AM102" i="14"/>
  <c r="M99" i="13" s="1"/>
  <c r="G99" i="9"/>
  <c r="C76" i="9"/>
  <c r="C103" i="9"/>
  <c r="C101" i="9"/>
  <c r="C99" i="9"/>
  <c r="M30" i="9"/>
  <c r="C32" i="9"/>
  <c r="G30" i="9"/>
  <c r="F30" i="9" s="1"/>
  <c r="M99" i="9"/>
  <c r="C57" i="9"/>
  <c r="G122" i="9"/>
  <c r="C34" i="9"/>
  <c r="G76" i="9"/>
  <c r="C145" i="9"/>
  <c r="G53" i="9"/>
  <c r="C122" i="9"/>
  <c r="Q50" i="9"/>
  <c r="Q51" i="9" s="1"/>
  <c r="Q52" i="9" s="1"/>
  <c r="Q53" i="9" s="1"/>
  <c r="Q54" i="9" s="1"/>
  <c r="M76" i="9"/>
  <c r="C55" i="9"/>
  <c r="M145" i="9"/>
  <c r="C53" i="9"/>
  <c r="G145" i="9"/>
  <c r="C30" i="9"/>
  <c r="N93" i="33"/>
  <c r="U73" i="33" s="1"/>
  <c r="AM123" i="14"/>
  <c r="M122" i="13" s="1"/>
  <c r="G122" i="13"/>
  <c r="N98" i="36"/>
  <c r="K116" i="36" s="1"/>
  <c r="AM18" i="28"/>
  <c r="M7" i="38" s="1"/>
  <c r="F7" i="38"/>
  <c r="L145" i="34"/>
  <c r="N108" i="36"/>
  <c r="N101" i="36"/>
  <c r="N103" i="36"/>
  <c r="AM60" i="7"/>
  <c r="N63" i="32"/>
  <c r="N80" i="34"/>
  <c r="N86" i="34"/>
  <c r="N84" i="34"/>
  <c r="N79" i="34"/>
  <c r="N61" i="32"/>
  <c r="N77" i="34"/>
  <c r="N65" i="32"/>
  <c r="N55" i="32"/>
  <c r="N78" i="34"/>
  <c r="N75" i="34"/>
  <c r="K93" i="34" s="1"/>
  <c r="N88" i="34"/>
  <c r="N81" i="34"/>
  <c r="N83" i="34"/>
  <c r="N85" i="34"/>
  <c r="N58" i="32"/>
  <c r="N52" i="32"/>
  <c r="K70" i="32" s="1"/>
  <c r="N87" i="34"/>
  <c r="N70" i="34"/>
  <c r="V50" i="34"/>
  <c r="N54" i="32"/>
  <c r="N53" i="32"/>
  <c r="N56" i="32"/>
  <c r="N64" i="32"/>
  <c r="N60" i="32"/>
  <c r="N57" i="32"/>
  <c r="L139" i="30"/>
  <c r="L136" i="30"/>
  <c r="M137" i="30" s="1"/>
  <c r="L159" i="30"/>
  <c r="M160" i="30" s="1"/>
  <c r="V142" i="30" s="1"/>
  <c r="U142" i="32"/>
  <c r="L7" i="35"/>
  <c r="L21" i="35" s="1"/>
  <c r="L113" i="30"/>
  <c r="M114" i="30" s="1"/>
  <c r="L116" i="30"/>
  <c r="N99" i="30" s="1"/>
  <c r="L44" i="30"/>
  <c r="M45" i="30" s="1"/>
  <c r="U73" i="30"/>
  <c r="N145" i="30"/>
  <c r="N149" i="30"/>
  <c r="N152" i="30"/>
  <c r="N146" i="30"/>
  <c r="N144" i="30"/>
  <c r="K162" i="30" s="1"/>
  <c r="N148" i="30"/>
  <c r="N157" i="30"/>
  <c r="N154" i="30"/>
  <c r="N155" i="30"/>
  <c r="N156" i="30"/>
  <c r="N147" i="30"/>
  <c r="N153" i="30"/>
  <c r="N150" i="30"/>
  <c r="N56" i="30"/>
  <c r="N58" i="30"/>
  <c r="N62" i="30"/>
  <c r="N57" i="30"/>
  <c r="N64" i="30"/>
  <c r="N61" i="30"/>
  <c r="N63" i="30"/>
  <c r="N54" i="30"/>
  <c r="N65" i="30"/>
  <c r="N52" i="30"/>
  <c r="K70" i="30" s="1"/>
  <c r="N60" i="30"/>
  <c r="N55" i="30"/>
  <c r="N53" i="30"/>
  <c r="N70" i="30"/>
  <c r="V50" i="30"/>
  <c r="N30" i="30"/>
  <c r="N37" i="30"/>
  <c r="N32" i="30"/>
  <c r="N33" i="30"/>
  <c r="N31" i="30"/>
  <c r="N39" i="30"/>
  <c r="N29" i="30"/>
  <c r="K47" i="30" s="1"/>
  <c r="N40" i="30"/>
  <c r="N35" i="30"/>
  <c r="N34" i="30"/>
  <c r="N41" i="30"/>
  <c r="N38" i="30"/>
  <c r="N42" i="30"/>
  <c r="Q85" i="30"/>
  <c r="Q16" i="36"/>
  <c r="Q16" i="34"/>
  <c r="Q154" i="32"/>
  <c r="V96" i="34"/>
  <c r="N116" i="34"/>
  <c r="M91" i="31"/>
  <c r="L159" i="33"/>
  <c r="L162" i="33"/>
  <c r="U119" i="33"/>
  <c r="L137" i="33"/>
  <c r="Q125" i="33" s="1"/>
  <c r="Q126" i="33" s="1"/>
  <c r="Q127" i="33" s="1"/>
  <c r="Q128" i="33" s="1"/>
  <c r="N76" i="31"/>
  <c r="N85" i="31"/>
  <c r="N83" i="31"/>
  <c r="N79" i="31"/>
  <c r="N78" i="31"/>
  <c r="N87" i="31"/>
  <c r="N88" i="31"/>
  <c r="N86" i="31"/>
  <c r="N77" i="31"/>
  <c r="N75" i="31"/>
  <c r="K93" i="31" s="1"/>
  <c r="N81" i="31"/>
  <c r="N80" i="31"/>
  <c r="N84" i="31"/>
  <c r="N116" i="33"/>
  <c r="V96" i="33"/>
  <c r="U27" i="33"/>
  <c r="L45" i="33"/>
  <c r="Q33" i="33" s="1"/>
  <c r="Q34" i="33" s="1"/>
  <c r="Q35" i="33" s="1"/>
  <c r="Q36" i="33" s="1"/>
  <c r="M137" i="32"/>
  <c r="M22" i="30"/>
  <c r="N70" i="32"/>
  <c r="V50" i="32"/>
  <c r="V73" i="34"/>
  <c r="N93" i="34"/>
  <c r="N7" i="31"/>
  <c r="N9" i="31"/>
  <c r="N14" i="31"/>
  <c r="N11" i="31"/>
  <c r="N15" i="31"/>
  <c r="N17" i="31"/>
  <c r="N19" i="31"/>
  <c r="N6" i="31"/>
  <c r="K24" i="31" s="1"/>
  <c r="N10" i="31"/>
  <c r="N16" i="31"/>
  <c r="N12" i="31"/>
  <c r="N18" i="31"/>
  <c r="N8" i="31"/>
  <c r="L116" i="31"/>
  <c r="N99" i="31" s="1"/>
  <c r="L113" i="31"/>
  <c r="N162" i="31"/>
  <c r="V142" i="31"/>
  <c r="N122" i="32"/>
  <c r="N132" i="32"/>
  <c r="N134" i="32"/>
  <c r="N123" i="32"/>
  <c r="N127" i="32"/>
  <c r="N125" i="32"/>
  <c r="N121" i="32"/>
  <c r="K139" i="32" s="1"/>
  <c r="N129" i="32"/>
  <c r="N130" i="32"/>
  <c r="N131" i="32"/>
  <c r="N126" i="32"/>
  <c r="N133" i="32"/>
  <c r="N124" i="32"/>
  <c r="N18" i="30"/>
  <c r="N10" i="30"/>
  <c r="N15" i="30"/>
  <c r="N11" i="30"/>
  <c r="N17" i="30"/>
  <c r="N14" i="30"/>
  <c r="N8" i="30"/>
  <c r="N16" i="30"/>
  <c r="N6" i="30"/>
  <c r="K24" i="30" s="1"/>
  <c r="N12" i="30"/>
  <c r="N19" i="30"/>
  <c r="N9" i="30"/>
  <c r="Q86" i="30"/>
  <c r="M22" i="31"/>
  <c r="Q17" i="36"/>
  <c r="L70" i="31"/>
  <c r="N53" i="31" s="1"/>
  <c r="L67" i="31"/>
  <c r="N47" i="31"/>
  <c r="V27" i="31"/>
  <c r="Q17" i="34"/>
  <c r="N93" i="32"/>
  <c r="V73" i="32"/>
  <c r="L21" i="37"/>
  <c r="L24" i="37"/>
  <c r="Q155" i="32"/>
  <c r="V4" i="32"/>
  <c r="N24" i="32"/>
  <c r="U96" i="32"/>
  <c r="L114" i="32"/>
  <c r="Q102" i="32" s="1"/>
  <c r="Q103" i="32" s="1"/>
  <c r="Q104" i="32" s="1"/>
  <c r="Q105" i="32" s="1"/>
  <c r="L24" i="33"/>
  <c r="N7" i="33" s="1"/>
  <c r="L21" i="33"/>
  <c r="AW26" i="7"/>
  <c r="AW27" i="7"/>
  <c r="AW24" i="7"/>
  <c r="AW25" i="7"/>
  <c r="AW23" i="7"/>
  <c r="F8" i="9"/>
  <c r="BJ25" i="7"/>
  <c r="BJ23" i="7"/>
  <c r="BJ24" i="7"/>
  <c r="BJ26" i="7"/>
  <c r="BJ27" i="7"/>
  <c r="L24" i="8"/>
  <c r="N8" i="8" s="1"/>
  <c r="L21" i="8"/>
  <c r="M22" i="8" s="1"/>
  <c r="N24" i="8" s="1"/>
  <c r="BJ21" i="7"/>
  <c r="BJ22" i="7"/>
  <c r="AW21" i="7"/>
  <c r="AW22" i="7"/>
  <c r="BK18" i="7"/>
  <c r="M8" i="9" s="1"/>
  <c r="BJ19" i="7"/>
  <c r="BJ20" i="7"/>
  <c r="AW19" i="7"/>
  <c r="AW20" i="7"/>
  <c r="AX18" i="7"/>
  <c r="C12" i="9" s="1"/>
  <c r="Q37" i="33"/>
  <c r="Q37" i="32"/>
  <c r="Q106" i="32"/>
  <c r="Q129" i="33"/>
  <c r="Q60" i="33"/>
  <c r="N139" i="31" l="1"/>
  <c r="L137" i="31" s="1"/>
  <c r="Q125" i="31" s="1"/>
  <c r="Q126" i="31" s="1"/>
  <c r="Q127" i="31" s="1"/>
  <c r="Q128" i="31" s="1"/>
  <c r="N47" i="34"/>
  <c r="U27" i="34" s="1"/>
  <c r="Q39" i="32"/>
  <c r="Q41" i="32" s="1"/>
  <c r="Q38" i="32" s="1"/>
  <c r="V119" i="34"/>
  <c r="N139" i="34"/>
  <c r="U119" i="34" s="1"/>
  <c r="N56" i="33"/>
  <c r="N60" i="33"/>
  <c r="N54" i="33"/>
  <c r="N64" i="33"/>
  <c r="N52" i="33"/>
  <c r="K70" i="33" s="1"/>
  <c r="N55" i="33"/>
  <c r="N62" i="33"/>
  <c r="N63" i="33"/>
  <c r="N57" i="33"/>
  <c r="N61" i="33"/>
  <c r="N58" i="33"/>
  <c r="N65" i="33"/>
  <c r="AM66" i="7"/>
  <c r="AM69" i="7"/>
  <c r="AM68" i="7"/>
  <c r="AM67" i="7"/>
  <c r="AM65" i="7"/>
  <c r="Q62" i="33"/>
  <c r="Q64" i="33" s="1"/>
  <c r="Q61" i="33" s="1"/>
  <c r="M53" i="9"/>
  <c r="AM63" i="7"/>
  <c r="AM62" i="7"/>
  <c r="AM61" i="7"/>
  <c r="AM64" i="7"/>
  <c r="A136" i="10"/>
  <c r="AG137" i="10"/>
  <c r="AG138" i="11"/>
  <c r="A137" i="11"/>
  <c r="L91" i="33"/>
  <c r="Q79" i="33" s="1"/>
  <c r="Q80" i="33" s="1"/>
  <c r="Q81" i="33" s="1"/>
  <c r="Q82" i="33" s="1"/>
  <c r="Q86" i="33" s="1"/>
  <c r="L162" i="34"/>
  <c r="L159" i="34"/>
  <c r="M160" i="34" s="1"/>
  <c r="N162" i="34" s="1"/>
  <c r="L7" i="38"/>
  <c r="L24" i="35"/>
  <c r="N7" i="35" s="1"/>
  <c r="U50" i="34"/>
  <c r="L68" i="34"/>
  <c r="Q56" i="34" s="1"/>
  <c r="Q57" i="34" s="1"/>
  <c r="Q58" i="34" s="1"/>
  <c r="Q59" i="34" s="1"/>
  <c r="Q87" i="30"/>
  <c r="Q84" i="30" s="1"/>
  <c r="N162" i="30"/>
  <c r="L160" i="30" s="1"/>
  <c r="Q148" i="30" s="1"/>
  <c r="Q149" i="30" s="1"/>
  <c r="Q150" i="30" s="1"/>
  <c r="Q151" i="30" s="1"/>
  <c r="Q155" i="30" s="1"/>
  <c r="N139" i="30"/>
  <c r="V119" i="30"/>
  <c r="N122" i="30"/>
  <c r="N123" i="30"/>
  <c r="N132" i="30"/>
  <c r="N125" i="30"/>
  <c r="N126" i="30"/>
  <c r="N121" i="30"/>
  <c r="K139" i="30" s="1"/>
  <c r="N124" i="30"/>
  <c r="N130" i="30"/>
  <c r="N133" i="30"/>
  <c r="N131" i="30"/>
  <c r="N129" i="30"/>
  <c r="N134" i="30"/>
  <c r="N127" i="30"/>
  <c r="Q18" i="36"/>
  <c r="Q15" i="36" s="1"/>
  <c r="N109" i="30"/>
  <c r="N103" i="30"/>
  <c r="N104" i="30"/>
  <c r="N111" i="30"/>
  <c r="N98" i="30"/>
  <c r="K116" i="30" s="1"/>
  <c r="N108" i="30"/>
  <c r="N110" i="30"/>
  <c r="N101" i="30"/>
  <c r="N100" i="30"/>
  <c r="N107" i="30"/>
  <c r="N106" i="30"/>
  <c r="N102" i="30"/>
  <c r="V96" i="30"/>
  <c r="N116" i="30"/>
  <c r="V27" i="30"/>
  <c r="N47" i="30"/>
  <c r="Q19" i="34"/>
  <c r="W4" i="34" s="1"/>
  <c r="B20" i="24" s="1"/>
  <c r="U50" i="30"/>
  <c r="L68" i="30"/>
  <c r="Q56" i="30" s="1"/>
  <c r="Q57" i="30" s="1"/>
  <c r="Q58" i="30" s="1"/>
  <c r="Q59" i="30" s="1"/>
  <c r="Q39" i="33"/>
  <c r="Q108" i="32"/>
  <c r="Q131" i="33"/>
  <c r="N145" i="33"/>
  <c r="N156" i="33"/>
  <c r="N148" i="33"/>
  <c r="N157" i="33"/>
  <c r="N155" i="33"/>
  <c r="N146" i="33"/>
  <c r="N154" i="33"/>
  <c r="N153" i="33"/>
  <c r="N150" i="33"/>
  <c r="N152" i="33"/>
  <c r="N144" i="33"/>
  <c r="K162" i="33" s="1"/>
  <c r="N147" i="33"/>
  <c r="N149" i="33"/>
  <c r="Q156" i="32"/>
  <c r="Q153" i="32" s="1"/>
  <c r="Q157" i="32"/>
  <c r="W142" i="32" s="1"/>
  <c r="B146" i="22" s="1"/>
  <c r="U27" i="31"/>
  <c r="L45" i="31"/>
  <c r="Q33" i="31" s="1"/>
  <c r="Q34" i="31" s="1"/>
  <c r="Q35" i="31" s="1"/>
  <c r="Q36" i="31" s="1"/>
  <c r="U4" i="32"/>
  <c r="L22" i="32"/>
  <c r="Q10" i="32" s="1"/>
  <c r="Q11" i="32" s="1"/>
  <c r="Q12" i="32" s="1"/>
  <c r="Q13" i="32" s="1"/>
  <c r="U73" i="32"/>
  <c r="L91" i="32"/>
  <c r="Q79" i="32" s="1"/>
  <c r="Q80" i="32" s="1"/>
  <c r="Q81" i="32" s="1"/>
  <c r="Q82" i="32" s="1"/>
  <c r="N57" i="31"/>
  <c r="N62" i="31"/>
  <c r="N64" i="31"/>
  <c r="N61" i="31"/>
  <c r="N55" i="31"/>
  <c r="N63" i="31"/>
  <c r="N52" i="31"/>
  <c r="K70" i="31" s="1"/>
  <c r="N60" i="31"/>
  <c r="N58" i="31"/>
  <c r="N56" i="31"/>
  <c r="N65" i="31"/>
  <c r="N54" i="31"/>
  <c r="U50" i="32"/>
  <c r="L68" i="32"/>
  <c r="Q56" i="32" s="1"/>
  <c r="Q57" i="32" s="1"/>
  <c r="Q58" i="32" s="1"/>
  <c r="Q59" i="32" s="1"/>
  <c r="U142" i="31"/>
  <c r="L160" i="31"/>
  <c r="Q148" i="31" s="1"/>
  <c r="Q149" i="31" s="1"/>
  <c r="Q150" i="31" s="1"/>
  <c r="Q151" i="31" s="1"/>
  <c r="V4" i="30"/>
  <c r="N24" i="30"/>
  <c r="Q40" i="33"/>
  <c r="Q109" i="32"/>
  <c r="U119" i="31"/>
  <c r="Q19" i="36"/>
  <c r="W4" i="36" s="1"/>
  <c r="B20" i="26" s="1"/>
  <c r="M68" i="31"/>
  <c r="M160" i="33"/>
  <c r="U96" i="34"/>
  <c r="L114" i="34"/>
  <c r="Q102" i="34" s="1"/>
  <c r="Q103" i="34" s="1"/>
  <c r="Q104" i="34" s="1"/>
  <c r="Q105" i="34" s="1"/>
  <c r="Q18" i="34"/>
  <c r="Q15" i="34" s="1"/>
  <c r="M114" i="31"/>
  <c r="N139" i="32"/>
  <c r="V119" i="32"/>
  <c r="Q88" i="30"/>
  <c r="W73" i="30" s="1"/>
  <c r="B83" i="20" s="1"/>
  <c r="M22" i="33"/>
  <c r="N24" i="31"/>
  <c r="V4" i="31"/>
  <c r="N111" i="31"/>
  <c r="N104" i="31"/>
  <c r="N103" i="31"/>
  <c r="N110" i="31"/>
  <c r="N107" i="31"/>
  <c r="N98" i="31"/>
  <c r="K116" i="31" s="1"/>
  <c r="N102" i="31"/>
  <c r="N101" i="31"/>
  <c r="N100" i="31"/>
  <c r="N108" i="31"/>
  <c r="N109" i="31"/>
  <c r="N106" i="31"/>
  <c r="U96" i="33"/>
  <c r="L114" i="33"/>
  <c r="Q102" i="33" s="1"/>
  <c r="Q103" i="33" s="1"/>
  <c r="Q104" i="33" s="1"/>
  <c r="Q105" i="33" s="1"/>
  <c r="Q132" i="33"/>
  <c r="N93" i="31"/>
  <c r="V73" i="31"/>
  <c r="N18" i="33"/>
  <c r="N14" i="33"/>
  <c r="N6" i="33"/>
  <c r="K24" i="33" s="1"/>
  <c r="N16" i="33"/>
  <c r="N15" i="33"/>
  <c r="N11" i="33"/>
  <c r="N17" i="33"/>
  <c r="N10" i="33"/>
  <c r="N12" i="33"/>
  <c r="N9" i="33"/>
  <c r="N19" i="33"/>
  <c r="N8" i="33"/>
  <c r="N7" i="37"/>
  <c r="N6" i="37"/>
  <c r="K24" i="37" s="1"/>
  <c r="N16" i="37"/>
  <c r="N11" i="37"/>
  <c r="N9" i="37"/>
  <c r="U73" i="34"/>
  <c r="L91" i="34"/>
  <c r="Q79" i="34" s="1"/>
  <c r="Q80" i="34" s="1"/>
  <c r="Q81" i="34" s="1"/>
  <c r="Q82" i="34" s="1"/>
  <c r="G151" i="39"/>
  <c r="F151" i="39" s="1"/>
  <c r="G105" i="39"/>
  <c r="F105" i="39" s="1"/>
  <c r="G59" i="39"/>
  <c r="F59" i="39" s="1"/>
  <c r="G128" i="39"/>
  <c r="F128" i="39" s="1"/>
  <c r="G82" i="39"/>
  <c r="F82" i="39" s="1"/>
  <c r="G36" i="39"/>
  <c r="F36" i="39" s="1"/>
  <c r="G13" i="39"/>
  <c r="F13" i="39" s="1"/>
  <c r="G151" i="38"/>
  <c r="F151" i="38" s="1"/>
  <c r="G105" i="38"/>
  <c r="F105" i="38" s="1"/>
  <c r="G59" i="38"/>
  <c r="F59" i="38" s="1"/>
  <c r="G128" i="38"/>
  <c r="F128" i="38" s="1"/>
  <c r="G82" i="38"/>
  <c r="F82" i="38" s="1"/>
  <c r="G13" i="38"/>
  <c r="F13" i="38" s="1"/>
  <c r="G36" i="38"/>
  <c r="F36" i="38" s="1"/>
  <c r="G151" i="37"/>
  <c r="F151" i="37" s="1"/>
  <c r="G105" i="37"/>
  <c r="F105" i="37" s="1"/>
  <c r="G59" i="37"/>
  <c r="F59" i="37" s="1"/>
  <c r="G36" i="37"/>
  <c r="F36" i="37" s="1"/>
  <c r="G13" i="37"/>
  <c r="F13" i="37" s="1"/>
  <c r="G128" i="37"/>
  <c r="F128" i="37" s="1"/>
  <c r="G82" i="37"/>
  <c r="F82" i="37" s="1"/>
  <c r="G151" i="36"/>
  <c r="F151" i="36" s="1"/>
  <c r="G105" i="36"/>
  <c r="F105" i="36" s="1"/>
  <c r="G59" i="36"/>
  <c r="F59" i="36" s="1"/>
  <c r="G128" i="36"/>
  <c r="F128" i="36" s="1"/>
  <c r="G82" i="36"/>
  <c r="F82" i="36" s="1"/>
  <c r="G13" i="36"/>
  <c r="F13" i="36" s="1"/>
  <c r="G36" i="36"/>
  <c r="F36" i="36" s="1"/>
  <c r="G151" i="35"/>
  <c r="F151" i="35" s="1"/>
  <c r="G105" i="35"/>
  <c r="F105" i="35" s="1"/>
  <c r="G59" i="35"/>
  <c r="F59" i="35" s="1"/>
  <c r="G128" i="35"/>
  <c r="F128" i="35" s="1"/>
  <c r="G82" i="35"/>
  <c r="F82" i="35" s="1"/>
  <c r="G36" i="35"/>
  <c r="F36" i="35" s="1"/>
  <c r="G13" i="35"/>
  <c r="F13" i="35" s="1"/>
  <c r="G128" i="34"/>
  <c r="F128" i="34" s="1"/>
  <c r="G13" i="34"/>
  <c r="F13" i="34" s="1"/>
  <c r="G151" i="34"/>
  <c r="F151" i="34" s="1"/>
  <c r="G59" i="34"/>
  <c r="F59" i="34" s="1"/>
  <c r="G36" i="34"/>
  <c r="F36" i="34" s="1"/>
  <c r="G82" i="34"/>
  <c r="F82" i="34" s="1"/>
  <c r="G105" i="34"/>
  <c r="F105" i="34" s="1"/>
  <c r="G151" i="33"/>
  <c r="F151" i="33" s="1"/>
  <c r="G105" i="33"/>
  <c r="F105" i="33" s="1"/>
  <c r="G59" i="33"/>
  <c r="F59" i="33" s="1"/>
  <c r="G36" i="33"/>
  <c r="F36" i="33" s="1"/>
  <c r="G128" i="33"/>
  <c r="F128" i="33" s="1"/>
  <c r="G82" i="33"/>
  <c r="F82" i="33" s="1"/>
  <c r="G13" i="33"/>
  <c r="F13" i="33" s="1"/>
  <c r="G151" i="32"/>
  <c r="F151" i="32" s="1"/>
  <c r="G105" i="32"/>
  <c r="F105" i="32" s="1"/>
  <c r="G59" i="32"/>
  <c r="F59" i="32" s="1"/>
  <c r="G128" i="32"/>
  <c r="F128" i="32" s="1"/>
  <c r="G82" i="32"/>
  <c r="F82" i="32" s="1"/>
  <c r="G13" i="32"/>
  <c r="F13" i="32" s="1"/>
  <c r="G36" i="32"/>
  <c r="F36" i="32" s="1"/>
  <c r="G151" i="31"/>
  <c r="F151" i="31" s="1"/>
  <c r="G105" i="31"/>
  <c r="F105" i="31" s="1"/>
  <c r="G128" i="31"/>
  <c r="F128" i="31" s="1"/>
  <c r="G82" i="31"/>
  <c r="F82" i="31" s="1"/>
  <c r="G36" i="31"/>
  <c r="F36" i="31" s="1"/>
  <c r="G59" i="31"/>
  <c r="F59" i="31" s="1"/>
  <c r="G13" i="31"/>
  <c r="F13" i="31" s="1"/>
  <c r="G151" i="30"/>
  <c r="F151" i="30" s="1"/>
  <c r="G105" i="30"/>
  <c r="F105" i="30" s="1"/>
  <c r="G59" i="30"/>
  <c r="F59" i="30" s="1"/>
  <c r="G128" i="30"/>
  <c r="F128" i="30" s="1"/>
  <c r="G82" i="30"/>
  <c r="F82" i="30" s="1"/>
  <c r="G36" i="30"/>
  <c r="F36" i="30" s="1"/>
  <c r="G13" i="30"/>
  <c r="F13" i="30" s="1"/>
  <c r="G151" i="9"/>
  <c r="F151" i="9" s="1"/>
  <c r="G105" i="9"/>
  <c r="F105" i="9" s="1"/>
  <c r="G59" i="9"/>
  <c r="F59" i="9" s="1"/>
  <c r="G82" i="9"/>
  <c r="F82" i="9" s="1"/>
  <c r="G128" i="9"/>
  <c r="F128" i="9" s="1"/>
  <c r="G128" i="13"/>
  <c r="F128" i="13" s="1"/>
  <c r="G105" i="13"/>
  <c r="F105" i="13" s="1"/>
  <c r="G36" i="13"/>
  <c r="F36" i="13" s="1"/>
  <c r="G59" i="13"/>
  <c r="F59" i="13" s="1"/>
  <c r="G82" i="13"/>
  <c r="F82" i="13" s="1"/>
  <c r="G13" i="13"/>
  <c r="F13" i="13" s="1"/>
  <c r="G151" i="13"/>
  <c r="F151" i="13" s="1"/>
  <c r="F263" i="6"/>
  <c r="M263" i="6"/>
  <c r="D263" i="6"/>
  <c r="B263" i="6"/>
  <c r="I263" i="6"/>
  <c r="H263" i="6"/>
  <c r="C263" i="6"/>
  <c r="G263" i="6"/>
  <c r="E263" i="6"/>
  <c r="L22" i="8"/>
  <c r="Q10" i="8" s="1"/>
  <c r="Q11" i="8" s="1"/>
  <c r="Q12" i="8" s="1"/>
  <c r="Q13" i="8" s="1"/>
  <c r="Q17" i="8" s="1"/>
  <c r="G13" i="9"/>
  <c r="F13" i="9" s="1"/>
  <c r="G36" i="9"/>
  <c r="F36" i="9" s="1"/>
  <c r="BK26" i="7"/>
  <c r="BK25" i="7"/>
  <c r="BK23" i="7"/>
  <c r="BK24" i="7"/>
  <c r="BK27" i="7"/>
  <c r="AX24" i="7"/>
  <c r="AX26" i="7"/>
  <c r="AX25" i="7"/>
  <c r="AX23" i="7"/>
  <c r="AX27" i="7"/>
  <c r="N9" i="8"/>
  <c r="N7" i="8"/>
  <c r="N20" i="8"/>
  <c r="N10" i="8"/>
  <c r="N12" i="8"/>
  <c r="N19" i="8"/>
  <c r="N6" i="8"/>
  <c r="N18" i="8"/>
  <c r="N15" i="8"/>
  <c r="N14" i="8"/>
  <c r="N16" i="8"/>
  <c r="N17" i="8"/>
  <c r="N11" i="8"/>
  <c r="N13" i="8"/>
  <c r="BK21" i="7"/>
  <c r="BK22" i="7"/>
  <c r="AX21" i="7"/>
  <c r="AX22" i="7"/>
  <c r="BK19" i="7"/>
  <c r="BK20" i="7"/>
  <c r="AX19" i="7"/>
  <c r="AX20" i="7"/>
  <c r="AY18" i="7"/>
  <c r="M12" i="9" s="1"/>
  <c r="Q37" i="31"/>
  <c r="Q60" i="30"/>
  <c r="Q106" i="33"/>
  <c r="Q106" i="34"/>
  <c r="Q152" i="30"/>
  <c r="Q60" i="34"/>
  <c r="Q83" i="33"/>
  <c r="Q129" i="31"/>
  <c r="Q14" i="32"/>
  <c r="Q152" i="31"/>
  <c r="Q83" i="34"/>
  <c r="Q60" i="32"/>
  <c r="Q14" i="8"/>
  <c r="Q83" i="32"/>
  <c r="L45" i="34" l="1"/>
  <c r="Q33" i="34" s="1"/>
  <c r="Q34" i="34" s="1"/>
  <c r="Q35" i="34" s="1"/>
  <c r="Q36" i="34" s="1"/>
  <c r="Q40" i="34" s="1"/>
  <c r="Q42" i="32"/>
  <c r="W27" i="32" s="1"/>
  <c r="B41" i="22" s="1"/>
  <c r="L137" i="34"/>
  <c r="Q125" i="34" s="1"/>
  <c r="Q126" i="34" s="1"/>
  <c r="Q127" i="34" s="1"/>
  <c r="Q128" i="34" s="1"/>
  <c r="Q132" i="34" s="1"/>
  <c r="Q65" i="33"/>
  <c r="W50" i="33" s="1"/>
  <c r="B62" i="23" s="1"/>
  <c r="AG139" i="11"/>
  <c r="A138" i="11"/>
  <c r="A137" i="10"/>
  <c r="AG138" i="10"/>
  <c r="AE237" i="16"/>
  <c r="AA237" i="16" s="1"/>
  <c r="AE238" i="16"/>
  <c r="AA238" i="16" s="1"/>
  <c r="AI239" i="16"/>
  <c r="AV239" i="16" s="1"/>
  <c r="AU239" i="16" s="1"/>
  <c r="AE239" i="16"/>
  <c r="AA239" i="16" s="1"/>
  <c r="AL239" i="16"/>
  <c r="AY239" i="16" s="1"/>
  <c r="AE236" i="16"/>
  <c r="AA236" i="16" s="1"/>
  <c r="AE235" i="16"/>
  <c r="AA235" i="16" s="1"/>
  <c r="AI238" i="16"/>
  <c r="AV238" i="16" s="1"/>
  <c r="AU238" i="16" s="1"/>
  <c r="AL237" i="16"/>
  <c r="AY237" i="16" s="1"/>
  <c r="AR239" i="16"/>
  <c r="AR237" i="16"/>
  <c r="AL235" i="16"/>
  <c r="AY235" i="16" s="1"/>
  <c r="AL238" i="16"/>
  <c r="AY238" i="16" s="1"/>
  <c r="AE234" i="16"/>
  <c r="AA234" i="16" s="1"/>
  <c r="AO235" i="16"/>
  <c r="AI235" i="16"/>
  <c r="AV235" i="16" s="1"/>
  <c r="AU235" i="16" s="1"/>
  <c r="AI237" i="16"/>
  <c r="AV237" i="16" s="1"/>
  <c r="AU237" i="16" s="1"/>
  <c r="AL234" i="16"/>
  <c r="AY234" i="16" s="1"/>
  <c r="AI234" i="16"/>
  <c r="AV234" i="16" s="1"/>
  <c r="AU234" i="16" s="1"/>
  <c r="AO236" i="16"/>
  <c r="AR236" i="16"/>
  <c r="AR234" i="16"/>
  <c r="AO239" i="16"/>
  <c r="AL236" i="16"/>
  <c r="AY236" i="16" s="1"/>
  <c r="AI236" i="16"/>
  <c r="AV236" i="16" s="1"/>
  <c r="AU236" i="16" s="1"/>
  <c r="AR235" i="16"/>
  <c r="AO238" i="16"/>
  <c r="AO237" i="16"/>
  <c r="AR238" i="16"/>
  <c r="AO234" i="16"/>
  <c r="Q85" i="33"/>
  <c r="Q87" i="33" s="1"/>
  <c r="Q84" i="33" s="1"/>
  <c r="V142" i="34"/>
  <c r="L21" i="38"/>
  <c r="L24" i="38"/>
  <c r="N152" i="34"/>
  <c r="N155" i="34"/>
  <c r="N145" i="34"/>
  <c r="N156" i="34"/>
  <c r="N144" i="34"/>
  <c r="K162" i="34" s="1"/>
  <c r="N150" i="34"/>
  <c r="N154" i="34"/>
  <c r="N148" i="34"/>
  <c r="N157" i="34"/>
  <c r="N147" i="34"/>
  <c r="N149" i="34"/>
  <c r="N146" i="34"/>
  <c r="N153" i="34"/>
  <c r="N11" i="35"/>
  <c r="N9" i="35"/>
  <c r="N16" i="35"/>
  <c r="N6" i="35"/>
  <c r="K24" i="35" s="1"/>
  <c r="Q62" i="34"/>
  <c r="Q63" i="34"/>
  <c r="Q154" i="30"/>
  <c r="Q156" i="30" s="1"/>
  <c r="Q153" i="30" s="1"/>
  <c r="U142" i="30"/>
  <c r="L137" i="30"/>
  <c r="Q125" i="30" s="1"/>
  <c r="Q126" i="30" s="1"/>
  <c r="Q127" i="30" s="1"/>
  <c r="Q128" i="30" s="1"/>
  <c r="U119" i="30"/>
  <c r="U96" i="30"/>
  <c r="L114" i="30"/>
  <c r="Q102" i="30" s="1"/>
  <c r="Q103" i="30" s="1"/>
  <c r="Q104" i="30" s="1"/>
  <c r="Q105" i="30" s="1"/>
  <c r="U27" i="30"/>
  <c r="L45" i="30"/>
  <c r="Q33" i="30" s="1"/>
  <c r="Q34" i="30" s="1"/>
  <c r="Q35" i="30" s="1"/>
  <c r="Q36" i="30" s="1"/>
  <c r="Q133" i="33"/>
  <c r="Q130" i="33" s="1"/>
  <c r="L23" i="36"/>
  <c r="T4" i="36" s="1"/>
  <c r="L23" i="34"/>
  <c r="T4" i="34" s="1"/>
  <c r="Q62" i="30"/>
  <c r="Q63" i="30"/>
  <c r="L92" i="30"/>
  <c r="T73" i="30" s="1"/>
  <c r="Q85" i="32"/>
  <c r="Q39" i="31"/>
  <c r="Q62" i="32"/>
  <c r="Q131" i="31"/>
  <c r="Q108" i="33"/>
  <c r="Q154" i="31"/>
  <c r="Q85" i="34"/>
  <c r="Q16" i="32"/>
  <c r="Q108" i="34"/>
  <c r="U73" i="31"/>
  <c r="L91" i="31"/>
  <c r="Q79" i="31" s="1"/>
  <c r="Q80" i="31" s="1"/>
  <c r="Q81" i="31" s="1"/>
  <c r="Q82" i="31" s="1"/>
  <c r="U4" i="31"/>
  <c r="L22" i="31"/>
  <c r="Q10" i="31" s="1"/>
  <c r="Q11" i="31" s="1"/>
  <c r="Q12" i="31" s="1"/>
  <c r="Q13" i="31" s="1"/>
  <c r="V4" i="33"/>
  <c r="N24" i="33"/>
  <c r="U4" i="30"/>
  <c r="L22" i="30"/>
  <c r="Q10" i="30" s="1"/>
  <c r="Q11" i="30" s="1"/>
  <c r="Q12" i="30" s="1"/>
  <c r="Q13" i="30" s="1"/>
  <c r="Q86" i="32"/>
  <c r="Q41" i="33"/>
  <c r="Q38" i="33" s="1"/>
  <c r="Q42" i="33"/>
  <c r="W27" i="33" s="1"/>
  <c r="B41" i="23" s="1"/>
  <c r="Q40" i="31"/>
  <c r="Q63" i="32"/>
  <c r="Q110" i="32"/>
  <c r="Q107" i="32" s="1"/>
  <c r="Q111" i="32"/>
  <c r="W96" i="32" s="1"/>
  <c r="B104" i="22" s="1"/>
  <c r="U119" i="32"/>
  <c r="L137" i="32"/>
  <c r="Q125" i="32" s="1"/>
  <c r="Q126" i="32" s="1"/>
  <c r="Q127" i="32" s="1"/>
  <c r="Q128" i="32" s="1"/>
  <c r="N70" i="31"/>
  <c r="V50" i="31"/>
  <c r="Q132" i="31"/>
  <c r="L161" i="32"/>
  <c r="T142" i="32" s="1"/>
  <c r="Q109" i="33"/>
  <c r="Q155" i="31"/>
  <c r="U142" i="34"/>
  <c r="L160" i="34"/>
  <c r="Q148" i="34" s="1"/>
  <c r="Q149" i="34" s="1"/>
  <c r="Q150" i="34" s="1"/>
  <c r="Q151" i="34" s="1"/>
  <c r="Q134" i="33"/>
  <c r="W119" i="33" s="1"/>
  <c r="B125" i="23" s="1"/>
  <c r="Q86" i="34"/>
  <c r="N162" i="33"/>
  <c r="V142" i="33"/>
  <c r="N116" i="31"/>
  <c r="V96" i="31"/>
  <c r="Q17" i="32"/>
  <c r="Q109" i="34"/>
  <c r="Q16" i="8"/>
  <c r="Q18" i="8" s="1"/>
  <c r="Q15" i="8" s="1"/>
  <c r="AY23" i="7"/>
  <c r="AY25" i="7"/>
  <c r="AY24" i="7"/>
  <c r="AY27" i="7"/>
  <c r="AY26" i="7"/>
  <c r="K24" i="8"/>
  <c r="AY21" i="7"/>
  <c r="AY22" i="7"/>
  <c r="AY19" i="7"/>
  <c r="AY20" i="7"/>
  <c r="AZ18" i="7"/>
  <c r="Q37" i="30"/>
  <c r="Q83" i="31"/>
  <c r="Q14" i="30"/>
  <c r="Q129" i="30"/>
  <c r="Q37" i="34"/>
  <c r="Q152" i="34"/>
  <c r="Q129" i="34"/>
  <c r="Q14" i="31"/>
  <c r="Q106" i="30"/>
  <c r="Q129" i="32"/>
  <c r="L46" i="32" l="1"/>
  <c r="T27" i="32" s="1"/>
  <c r="Q39" i="34"/>
  <c r="Q41" i="34" s="1"/>
  <c r="Q38" i="34" s="1"/>
  <c r="L69" i="33"/>
  <c r="T50" i="33" s="1"/>
  <c r="Q131" i="34"/>
  <c r="Q134" i="34" s="1"/>
  <c r="W119" i="34" s="1"/>
  <c r="B125" i="24" s="1"/>
  <c r="A138" i="10"/>
  <c r="AG139" i="10"/>
  <c r="AG141" i="11"/>
  <c r="A139" i="11"/>
  <c r="Q88" i="33"/>
  <c r="W73" i="33" s="1"/>
  <c r="B83" i="23" s="1"/>
  <c r="N7" i="38"/>
  <c r="N11" i="38"/>
  <c r="N16" i="38"/>
  <c r="N9" i="38"/>
  <c r="N6" i="38"/>
  <c r="K24" i="38" s="1"/>
  <c r="Q65" i="34"/>
  <c r="W50" i="34" s="1"/>
  <c r="B62" i="24" s="1"/>
  <c r="Q64" i="34"/>
  <c r="Q61" i="34" s="1"/>
  <c r="Q157" i="30"/>
  <c r="W142" i="30" s="1"/>
  <c r="B146" i="20" s="1"/>
  <c r="Q131" i="30"/>
  <c r="Q64" i="30"/>
  <c r="Q61" i="30" s="1"/>
  <c r="Q110" i="33"/>
  <c r="Q107" i="33" s="1"/>
  <c r="Q132" i="30"/>
  <c r="Q108" i="30"/>
  <c r="Q87" i="32"/>
  <c r="Q84" i="32" s="1"/>
  <c r="Q109" i="30"/>
  <c r="Q18" i="32"/>
  <c r="Q15" i="32" s="1"/>
  <c r="Q39" i="30"/>
  <c r="Q40" i="30"/>
  <c r="Q156" i="31"/>
  <c r="Q153" i="31" s="1"/>
  <c r="Q111" i="34"/>
  <c r="W96" i="34" s="1"/>
  <c r="B104" i="24" s="1"/>
  <c r="Q42" i="31"/>
  <c r="W27" i="31" s="1"/>
  <c r="B41" i="21" s="1"/>
  <c r="L46" i="33"/>
  <c r="T27" i="33" s="1"/>
  <c r="Q87" i="34"/>
  <c r="Q84" i="34" s="1"/>
  <c r="Q64" i="32"/>
  <c r="Q61" i="32" s="1"/>
  <c r="L138" i="33"/>
  <c r="T119" i="33" s="1"/>
  <c r="Q41" i="31"/>
  <c r="Q38" i="31" s="1"/>
  <c r="Q65" i="30"/>
  <c r="Q131" i="32"/>
  <c r="Q16" i="31"/>
  <c r="Q16" i="30"/>
  <c r="Q85" i="31"/>
  <c r="Q154" i="34"/>
  <c r="Q132" i="32"/>
  <c r="Q17" i="31"/>
  <c r="Q157" i="31"/>
  <c r="W142" i="31" s="1"/>
  <c r="B146" i="21" s="1"/>
  <c r="U142" i="33"/>
  <c r="L160" i="33"/>
  <c r="Q148" i="33" s="1"/>
  <c r="Q149" i="33" s="1"/>
  <c r="Q150" i="33" s="1"/>
  <c r="Q151" i="33" s="1"/>
  <c r="Q17" i="30"/>
  <c r="Q111" i="33"/>
  <c r="W96" i="33" s="1"/>
  <c r="B104" i="23" s="1"/>
  <c r="Q110" i="34"/>
  <c r="Q107" i="34" s="1"/>
  <c r="Q42" i="34"/>
  <c r="W27" i="34" s="1"/>
  <c r="B41" i="24" s="1"/>
  <c r="Q133" i="31"/>
  <c r="Q130" i="31" s="1"/>
  <c r="Q134" i="31"/>
  <c r="W119" i="31" s="1"/>
  <c r="B125" i="21" s="1"/>
  <c r="Q86" i="31"/>
  <c r="U96" i="31"/>
  <c r="L114" i="31"/>
  <c r="Q102" i="31" s="1"/>
  <c r="Q103" i="31" s="1"/>
  <c r="Q104" i="31" s="1"/>
  <c r="Q105" i="31" s="1"/>
  <c r="Q155" i="34"/>
  <c r="Q88" i="34"/>
  <c r="W73" i="34" s="1"/>
  <c r="B83" i="24" s="1"/>
  <c r="Q65" i="32"/>
  <c r="W50" i="32" s="1"/>
  <c r="B62" i="22" s="1"/>
  <c r="U4" i="33"/>
  <c r="L22" i="33"/>
  <c r="Q10" i="33" s="1"/>
  <c r="Q11" i="33" s="1"/>
  <c r="Q12" i="33" s="1"/>
  <c r="Q13" i="33" s="1"/>
  <c r="U50" i="31"/>
  <c r="L68" i="31"/>
  <c r="Q56" i="31" s="1"/>
  <c r="Q57" i="31" s="1"/>
  <c r="Q58" i="31" s="1"/>
  <c r="Q59" i="31" s="1"/>
  <c r="L115" i="32"/>
  <c r="T96" i="32" s="1"/>
  <c r="Q19" i="32"/>
  <c r="W4" i="32" s="1"/>
  <c r="B20" i="22" s="1"/>
  <c r="Q88" i="32"/>
  <c r="W73" i="32" s="1"/>
  <c r="B83" i="22" s="1"/>
  <c r="Q19" i="8"/>
  <c r="AZ27" i="7"/>
  <c r="AZ23" i="7"/>
  <c r="AZ25" i="7"/>
  <c r="AZ26" i="7"/>
  <c r="AZ24" i="7"/>
  <c r="AZ21" i="7"/>
  <c r="AZ22" i="7"/>
  <c r="AZ19" i="7"/>
  <c r="AZ20" i="7"/>
  <c r="BA18" i="7"/>
  <c r="Q14" i="33"/>
  <c r="Q152" i="33"/>
  <c r="Q60" i="31"/>
  <c r="Q106" i="31"/>
  <c r="Q133" i="34" l="1"/>
  <c r="Q130" i="34" s="1"/>
  <c r="L138" i="34" s="1"/>
  <c r="T119" i="34" s="1"/>
  <c r="AE245" i="16"/>
  <c r="AA245" i="16" s="1"/>
  <c r="AE246" i="16"/>
  <c r="AA246" i="16" s="1"/>
  <c r="AE244" i="16"/>
  <c r="AA244" i="16" s="1"/>
  <c r="AE242" i="16"/>
  <c r="AA242" i="16" s="1"/>
  <c r="AL245" i="16"/>
  <c r="AY245" i="16" s="1"/>
  <c r="AE243" i="16"/>
  <c r="AA243" i="16" s="1"/>
  <c r="AL242" i="16"/>
  <c r="AY242" i="16" s="1"/>
  <c r="AI242" i="16"/>
  <c r="AV242" i="16" s="1"/>
  <c r="AU242" i="16" s="1"/>
  <c r="AI245" i="16"/>
  <c r="AV245" i="16" s="1"/>
  <c r="AU245" i="16" s="1"/>
  <c r="AL244" i="16"/>
  <c r="AY244" i="16" s="1"/>
  <c r="AL243" i="16"/>
  <c r="AY243" i="16" s="1"/>
  <c r="AR242" i="16"/>
  <c r="AR245" i="16"/>
  <c r="AI246" i="16"/>
  <c r="AV246" i="16" s="1"/>
  <c r="AU246" i="16" s="1"/>
  <c r="AE247" i="16"/>
  <c r="AA247" i="16" s="1"/>
  <c r="AI243" i="16"/>
  <c r="AV243" i="16" s="1"/>
  <c r="AU243" i="16" s="1"/>
  <c r="AL247" i="16"/>
  <c r="AY247" i="16" s="1"/>
  <c r="AL246" i="16"/>
  <c r="AY246" i="16" s="1"/>
  <c r="AR247" i="16"/>
  <c r="AO244" i="16"/>
  <c r="AO247" i="16"/>
  <c r="AO242" i="16"/>
  <c r="AI247" i="16"/>
  <c r="AV247" i="16" s="1"/>
  <c r="AU247" i="16" s="1"/>
  <c r="AR244" i="16"/>
  <c r="AO243" i="16"/>
  <c r="AO246" i="16"/>
  <c r="AO245" i="16"/>
  <c r="AI244" i="16"/>
  <c r="AV244" i="16" s="1"/>
  <c r="AU244" i="16" s="1"/>
  <c r="AR246" i="16"/>
  <c r="AR243" i="16"/>
  <c r="AG142" i="11"/>
  <c r="A141" i="11"/>
  <c r="A139" i="10"/>
  <c r="AG141" i="10"/>
  <c r="AE252" i="16"/>
  <c r="AA252" i="16" s="1"/>
  <c r="AE250" i="16"/>
  <c r="AA250" i="16" s="1"/>
  <c r="AL254" i="16"/>
  <c r="AY254" i="16" s="1"/>
  <c r="AI254" i="16"/>
  <c r="AV254" i="16" s="1"/>
  <c r="AU254" i="16" s="1"/>
  <c r="AO255" i="16"/>
  <c r="AI253" i="16"/>
  <c r="AV253" i="16" s="1"/>
  <c r="AU253" i="16" s="1"/>
  <c r="AI251" i="16"/>
  <c r="AV251" i="16" s="1"/>
  <c r="AU251" i="16" s="1"/>
  <c r="AL251" i="16"/>
  <c r="AY251" i="16" s="1"/>
  <c r="AE253" i="16"/>
  <c r="AA253" i="16" s="1"/>
  <c r="AL249" i="16"/>
  <c r="AY249" i="16" s="1"/>
  <c r="AL252" i="16"/>
  <c r="AY252" i="16" s="1"/>
  <c r="AR255" i="16"/>
  <c r="AE251" i="16"/>
  <c r="AA251" i="16" s="1"/>
  <c r="AE254" i="16"/>
  <c r="AA254" i="16" s="1"/>
  <c r="AI255" i="16"/>
  <c r="AV255" i="16" s="1"/>
  <c r="AU255" i="16" s="1"/>
  <c r="AI250" i="16"/>
  <c r="AV250" i="16" s="1"/>
  <c r="AU250" i="16" s="1"/>
  <c r="AE255" i="16"/>
  <c r="AA255" i="16" s="1"/>
  <c r="AL253" i="16"/>
  <c r="AY253" i="16" s="1"/>
  <c r="AO253" i="16"/>
  <c r="AI252" i="16"/>
  <c r="AV252" i="16" s="1"/>
  <c r="AU252" i="16" s="1"/>
  <c r="AL255" i="16"/>
  <c r="AY255" i="16" s="1"/>
  <c r="AR254" i="16"/>
  <c r="AO254" i="16"/>
  <c r="AR253" i="16"/>
  <c r="AO252" i="16"/>
  <c r="AR252" i="16"/>
  <c r="AR250" i="16"/>
  <c r="AO250" i="16"/>
  <c r="AO251" i="16"/>
  <c r="AL250" i="16"/>
  <c r="AY250" i="16" s="1"/>
  <c r="AR251" i="16"/>
  <c r="L92" i="33"/>
  <c r="T73" i="33" s="1"/>
  <c r="L161" i="30"/>
  <c r="T142" i="30" s="1"/>
  <c r="L69" i="34"/>
  <c r="T50" i="34" s="1"/>
  <c r="Q133" i="30"/>
  <c r="Q130" i="30" s="1"/>
  <c r="Q41" i="30"/>
  <c r="Q38" i="30" s="1"/>
  <c r="Q134" i="30"/>
  <c r="W119" i="30" s="1"/>
  <c r="B125" i="20" s="1"/>
  <c r="L115" i="34"/>
  <c r="T96" i="34" s="1"/>
  <c r="L46" i="31"/>
  <c r="T27" i="31" s="1"/>
  <c r="Q111" i="30"/>
  <c r="W96" i="30" s="1"/>
  <c r="B104" i="20" s="1"/>
  <c r="Q87" i="31"/>
  <c r="Q84" i="31" s="1"/>
  <c r="Q110" i="30"/>
  <c r="Q107" i="30" s="1"/>
  <c r="Q42" i="30"/>
  <c r="W27" i="30" s="1"/>
  <c r="B41" i="20" s="1"/>
  <c r="Q157" i="34"/>
  <c r="W142" i="34" s="1"/>
  <c r="B146" i="24" s="1"/>
  <c r="L161" i="31"/>
  <c r="T142" i="31" s="1"/>
  <c r="L138" i="31"/>
  <c r="T119" i="31" s="1"/>
  <c r="Q18" i="31"/>
  <c r="Q15" i="31" s="1"/>
  <c r="Q19" i="30"/>
  <c r="W4" i="30" s="1"/>
  <c r="B20" i="20" s="1"/>
  <c r="Q134" i="32"/>
  <c r="W119" i="32" s="1"/>
  <c r="B125" i="22" s="1"/>
  <c r="W50" i="30"/>
  <c r="B62" i="20" s="1"/>
  <c r="L69" i="30"/>
  <c r="T50" i="30" s="1"/>
  <c r="Q108" i="31"/>
  <c r="Q16" i="33"/>
  <c r="Q62" i="31"/>
  <c r="Q154" i="33"/>
  <c r="Q109" i="31"/>
  <c r="L23" i="32"/>
  <c r="T4" i="32" s="1"/>
  <c r="Q88" i="31"/>
  <c r="W73" i="31" s="1"/>
  <c r="B83" i="21" s="1"/>
  <c r="L46" i="34"/>
  <c r="T27" i="34" s="1"/>
  <c r="Q18" i="30"/>
  <c r="Q15" i="30" s="1"/>
  <c r="Q156" i="34"/>
  <c r="Q153" i="34" s="1"/>
  <c r="L92" i="34"/>
  <c r="T73" i="34" s="1"/>
  <c r="L115" i="33"/>
  <c r="T96" i="33" s="1"/>
  <c r="L92" i="32"/>
  <c r="T73" i="32" s="1"/>
  <c r="Q17" i="33"/>
  <c r="Q63" i="31"/>
  <c r="L69" i="32"/>
  <c r="T50" i="32" s="1"/>
  <c r="Q133" i="32"/>
  <c r="Q130" i="32" s="1"/>
  <c r="Q19" i="31"/>
  <c r="W4" i="31" s="1"/>
  <c r="B20" i="21" s="1"/>
  <c r="Q155" i="33"/>
  <c r="AO35" i="7"/>
  <c r="Q27" i="9" s="1"/>
  <c r="L23" i="8"/>
  <c r="AK26" i="16"/>
  <c r="BA26" i="7"/>
  <c r="BA23" i="7"/>
  <c r="BA25" i="7"/>
  <c r="BA24" i="7"/>
  <c r="BA27" i="7"/>
  <c r="BA21" i="7"/>
  <c r="BA22" i="7"/>
  <c r="BA19" i="7"/>
  <c r="BA20" i="7"/>
  <c r="BB18" i="7"/>
  <c r="AG143" i="11" l="1"/>
  <c r="A142" i="11"/>
  <c r="AL218" i="16"/>
  <c r="AY218" i="16" s="1"/>
  <c r="AE220" i="16"/>
  <c r="AA220" i="16" s="1"/>
  <c r="AE219" i="16"/>
  <c r="AA219" i="16" s="1"/>
  <c r="AL221" i="16"/>
  <c r="AY221" i="16" s="1"/>
  <c r="AE218" i="16"/>
  <c r="AA218" i="16" s="1"/>
  <c r="AI222" i="16"/>
  <c r="AV222" i="16" s="1"/>
  <c r="AU222" i="16" s="1"/>
  <c r="AE222" i="16"/>
  <c r="AA222" i="16" s="1"/>
  <c r="AL219" i="16"/>
  <c r="AY219" i="16" s="1"/>
  <c r="AL220" i="16"/>
  <c r="AY220" i="16" s="1"/>
  <c r="AR221" i="16"/>
  <c r="AI223" i="16"/>
  <c r="AV223" i="16" s="1"/>
  <c r="AU223" i="16" s="1"/>
  <c r="AO221" i="16"/>
  <c r="AE221" i="16"/>
  <c r="AA221" i="16" s="1"/>
  <c r="AI221" i="16"/>
  <c r="AV221" i="16" s="1"/>
  <c r="AU221" i="16" s="1"/>
  <c r="AL222" i="16"/>
  <c r="AY222" i="16" s="1"/>
  <c r="AI218" i="16"/>
  <c r="AV218" i="16" s="1"/>
  <c r="AU218" i="16" s="1"/>
  <c r="AR222" i="16"/>
  <c r="AR223" i="16"/>
  <c r="AO222" i="16"/>
  <c r="AO223" i="16"/>
  <c r="AO218" i="16"/>
  <c r="AI219" i="16"/>
  <c r="AV219" i="16" s="1"/>
  <c r="AU219" i="16" s="1"/>
  <c r="AO220" i="16"/>
  <c r="AL223" i="16"/>
  <c r="AY223" i="16" s="1"/>
  <c r="AR219" i="16"/>
  <c r="AR218" i="16"/>
  <c r="AI220" i="16"/>
  <c r="AV220" i="16" s="1"/>
  <c r="AU220" i="16" s="1"/>
  <c r="AE223" i="16"/>
  <c r="AA223" i="16" s="1"/>
  <c r="AR220" i="16"/>
  <c r="AO219" i="16"/>
  <c r="A141" i="10"/>
  <c r="AG142" i="10"/>
  <c r="L115" i="30"/>
  <c r="T96" i="30" s="1"/>
  <c r="L138" i="30"/>
  <c r="T119" i="30" s="1"/>
  <c r="L23" i="30"/>
  <c r="T4" i="30" s="1"/>
  <c r="L161" i="34"/>
  <c r="T142" i="34" s="1"/>
  <c r="L46" i="30"/>
  <c r="T27" i="30" s="1"/>
  <c r="L138" i="32"/>
  <c r="T119" i="32" s="1"/>
  <c r="Q156" i="33"/>
  <c r="Q153" i="33" s="1"/>
  <c r="Q64" i="31"/>
  <c r="Q61" i="31" s="1"/>
  <c r="Q110" i="31"/>
  <c r="Q107" i="31" s="1"/>
  <c r="Q65" i="31"/>
  <c r="W50" i="31" s="1"/>
  <c r="B62" i="21" s="1"/>
  <c r="L23" i="31"/>
  <c r="T4" i="31" s="1"/>
  <c r="Q18" i="33"/>
  <c r="Q15" i="33" s="1"/>
  <c r="Q19" i="33"/>
  <c r="W4" i="33" s="1"/>
  <c r="B20" i="23" s="1"/>
  <c r="L92" i="31"/>
  <c r="T73" i="31" s="1"/>
  <c r="Q157" i="33"/>
  <c r="W142" i="33" s="1"/>
  <c r="B146" i="23" s="1"/>
  <c r="Q111" i="31"/>
  <c r="W96" i="31" s="1"/>
  <c r="B104" i="21" s="1"/>
  <c r="C105" i="39"/>
  <c r="C13" i="39"/>
  <c r="C82" i="39"/>
  <c r="C59" i="39"/>
  <c r="C36" i="39"/>
  <c r="C151" i="39"/>
  <c r="C128" i="39"/>
  <c r="C151" i="38"/>
  <c r="C105" i="38"/>
  <c r="C82" i="38"/>
  <c r="C59" i="38"/>
  <c r="C36" i="38"/>
  <c r="C128" i="38"/>
  <c r="C13" i="38"/>
  <c r="C151" i="37"/>
  <c r="C105" i="37"/>
  <c r="C59" i="37"/>
  <c r="C36" i="37"/>
  <c r="C82" i="37"/>
  <c r="C13" i="37"/>
  <c r="C128" i="37"/>
  <c r="C151" i="36"/>
  <c r="L151" i="36" s="1"/>
  <c r="C59" i="36"/>
  <c r="C36" i="36"/>
  <c r="C82" i="36"/>
  <c r="C105" i="36"/>
  <c r="C13" i="36"/>
  <c r="L13" i="36" s="1"/>
  <c r="N13" i="36" s="1"/>
  <c r="C128" i="36"/>
  <c r="C59" i="35"/>
  <c r="C13" i="35"/>
  <c r="C151" i="35"/>
  <c r="C105" i="35"/>
  <c r="C82" i="35"/>
  <c r="C36" i="35"/>
  <c r="C128" i="35"/>
  <c r="C128" i="34"/>
  <c r="L128" i="34" s="1"/>
  <c r="N128" i="34" s="1"/>
  <c r="C82" i="34"/>
  <c r="L82" i="34" s="1"/>
  <c r="N82" i="34" s="1"/>
  <c r="C151" i="34"/>
  <c r="L151" i="34" s="1"/>
  <c r="N151" i="34" s="1"/>
  <c r="C105" i="34"/>
  <c r="L105" i="34" s="1"/>
  <c r="N105" i="34" s="1"/>
  <c r="C59" i="34"/>
  <c r="L59" i="34" s="1"/>
  <c r="N59" i="34" s="1"/>
  <c r="C13" i="34"/>
  <c r="L13" i="34" s="1"/>
  <c r="N13" i="34" s="1"/>
  <c r="C36" i="34"/>
  <c r="L36" i="34" s="1"/>
  <c r="N36" i="34" s="1"/>
  <c r="C128" i="33"/>
  <c r="L128" i="33" s="1"/>
  <c r="N128" i="33" s="1"/>
  <c r="C151" i="33"/>
  <c r="L151" i="33" s="1"/>
  <c r="N151" i="33" s="1"/>
  <c r="C105" i="33"/>
  <c r="L105" i="33" s="1"/>
  <c r="N105" i="33" s="1"/>
  <c r="C59" i="33"/>
  <c r="L59" i="33" s="1"/>
  <c r="N59" i="33" s="1"/>
  <c r="C13" i="33"/>
  <c r="L13" i="33" s="1"/>
  <c r="N13" i="33" s="1"/>
  <c r="C82" i="33"/>
  <c r="L82" i="33" s="1"/>
  <c r="N82" i="33" s="1"/>
  <c r="C36" i="33"/>
  <c r="L36" i="33" s="1"/>
  <c r="N36" i="33" s="1"/>
  <c r="C36" i="32"/>
  <c r="L36" i="32" s="1"/>
  <c r="N36" i="32" s="1"/>
  <c r="C151" i="32"/>
  <c r="L151" i="32" s="1"/>
  <c r="N151" i="32" s="1"/>
  <c r="C59" i="32"/>
  <c r="L59" i="32" s="1"/>
  <c r="N59" i="32" s="1"/>
  <c r="C82" i="32"/>
  <c r="L82" i="32" s="1"/>
  <c r="N82" i="32" s="1"/>
  <c r="C13" i="32"/>
  <c r="L13" i="32" s="1"/>
  <c r="N13" i="32" s="1"/>
  <c r="C105" i="32"/>
  <c r="L105" i="32" s="1"/>
  <c r="N105" i="32" s="1"/>
  <c r="C128" i="32"/>
  <c r="L128" i="32" s="1"/>
  <c r="N128" i="32" s="1"/>
  <c r="C128" i="31"/>
  <c r="L128" i="31" s="1"/>
  <c r="N128" i="31" s="1"/>
  <c r="C82" i="31"/>
  <c r="L82" i="31" s="1"/>
  <c r="N82" i="31" s="1"/>
  <c r="C36" i="31"/>
  <c r="L36" i="31" s="1"/>
  <c r="N36" i="31" s="1"/>
  <c r="C105" i="31"/>
  <c r="L105" i="31" s="1"/>
  <c r="N105" i="31" s="1"/>
  <c r="C59" i="31"/>
  <c r="L59" i="31" s="1"/>
  <c r="N59" i="31" s="1"/>
  <c r="C151" i="31"/>
  <c r="L151" i="31" s="1"/>
  <c r="N151" i="31" s="1"/>
  <c r="C13" i="31"/>
  <c r="L13" i="31" s="1"/>
  <c r="N13" i="31" s="1"/>
  <c r="C13" i="9"/>
  <c r="C128" i="30"/>
  <c r="L128" i="30" s="1"/>
  <c r="N128" i="30" s="1"/>
  <c r="C82" i="30"/>
  <c r="L82" i="30" s="1"/>
  <c r="N82" i="30" s="1"/>
  <c r="C151" i="30"/>
  <c r="L151" i="30" s="1"/>
  <c r="N151" i="30" s="1"/>
  <c r="C105" i="30"/>
  <c r="L105" i="30" s="1"/>
  <c r="N105" i="30" s="1"/>
  <c r="C59" i="30"/>
  <c r="L59" i="30" s="1"/>
  <c r="N59" i="30" s="1"/>
  <c r="C13" i="30"/>
  <c r="L13" i="30" s="1"/>
  <c r="N13" i="30" s="1"/>
  <c r="C36" i="30"/>
  <c r="L36" i="30" s="1"/>
  <c r="N36" i="30" s="1"/>
  <c r="C128" i="9"/>
  <c r="C82" i="9"/>
  <c r="C151" i="9"/>
  <c r="C105" i="9"/>
  <c r="C59" i="9"/>
  <c r="AK25" i="16"/>
  <c r="C36" i="9"/>
  <c r="C13" i="13"/>
  <c r="C36" i="13"/>
  <c r="C128" i="13"/>
  <c r="C105" i="13"/>
  <c r="C59" i="13"/>
  <c r="C82" i="13"/>
  <c r="C151" i="13"/>
  <c r="BB27" i="7"/>
  <c r="BB26" i="7"/>
  <c r="BB25" i="7"/>
  <c r="BB23" i="7"/>
  <c r="BB24" i="7"/>
  <c r="BB21" i="7"/>
  <c r="BB22" i="7"/>
  <c r="BB19" i="7"/>
  <c r="BB20" i="7"/>
  <c r="BC18" i="7"/>
  <c r="AE230" i="16" l="1"/>
  <c r="AA230" i="16" s="1"/>
  <c r="AI229" i="16"/>
  <c r="AV229" i="16" s="1"/>
  <c r="AU229" i="16" s="1"/>
  <c r="AO226" i="16"/>
  <c r="AI231" i="16"/>
  <c r="AV231" i="16" s="1"/>
  <c r="AU231" i="16" s="1"/>
  <c r="AE231" i="16"/>
  <c r="AA231" i="16" s="1"/>
  <c r="AE229" i="16"/>
  <c r="AA229" i="16" s="1"/>
  <c r="AL227" i="16"/>
  <c r="AY227" i="16" s="1"/>
  <c r="AE228" i="16"/>
  <c r="AA228" i="16" s="1"/>
  <c r="AO229" i="16"/>
  <c r="AL231" i="16"/>
  <c r="AY231" i="16" s="1"/>
  <c r="AO228" i="16"/>
  <c r="AE226" i="16"/>
  <c r="AA226" i="16" s="1"/>
  <c r="AI227" i="16"/>
  <c r="AV227" i="16" s="1"/>
  <c r="AU227" i="16" s="1"/>
  <c r="AL229" i="16"/>
  <c r="AY229" i="16" s="1"/>
  <c r="AI226" i="16"/>
  <c r="AV226" i="16" s="1"/>
  <c r="AU226" i="16" s="1"/>
  <c r="AO230" i="16"/>
  <c r="AR230" i="16"/>
  <c r="AR226" i="16"/>
  <c r="AO227" i="16"/>
  <c r="AL226" i="16"/>
  <c r="AY226" i="16" s="1"/>
  <c r="AO231" i="16"/>
  <c r="AL230" i="16"/>
  <c r="AY230" i="16" s="1"/>
  <c r="AR231" i="16"/>
  <c r="AL228" i="16"/>
  <c r="AY228" i="16" s="1"/>
  <c r="AR229" i="16"/>
  <c r="AR227" i="16"/>
  <c r="AI228" i="16"/>
  <c r="AV228" i="16" s="1"/>
  <c r="AU228" i="16" s="1"/>
  <c r="AI230" i="16"/>
  <c r="AV230" i="16" s="1"/>
  <c r="AU230" i="16" s="1"/>
  <c r="AE227" i="16"/>
  <c r="AA227" i="16" s="1"/>
  <c r="AR228" i="16"/>
  <c r="A142" i="10"/>
  <c r="AG143" i="10"/>
  <c r="AG144" i="11"/>
  <c r="A143" i="11"/>
  <c r="AK23" i="16"/>
  <c r="M25" i="16" s="1"/>
  <c r="L115" i="31"/>
  <c r="T96" i="31" s="1"/>
  <c r="L161" i="33"/>
  <c r="T142" i="33" s="1"/>
  <c r="L69" i="31"/>
  <c r="T50" i="31" s="1"/>
  <c r="L23" i="33"/>
  <c r="T4" i="33" s="1"/>
  <c r="BC25" i="7"/>
  <c r="BC26" i="7"/>
  <c r="BC27" i="7"/>
  <c r="BC23" i="7"/>
  <c r="BC24" i="7"/>
  <c r="BC21" i="7"/>
  <c r="BC22" i="7"/>
  <c r="BC19" i="7"/>
  <c r="BC20" i="7"/>
  <c r="BD18" i="7"/>
  <c r="A143" i="10" l="1"/>
  <c r="AG144" i="10"/>
  <c r="AG145" i="11"/>
  <c r="A144" i="11"/>
  <c r="BD23" i="7"/>
  <c r="BD26" i="7"/>
  <c r="BD27" i="7"/>
  <c r="BD24" i="7"/>
  <c r="BD25" i="7"/>
  <c r="BD21" i="7"/>
  <c r="BD22" i="7"/>
  <c r="BD19" i="7"/>
  <c r="BD20" i="7"/>
  <c r="BE18" i="7"/>
  <c r="AG146" i="11" l="1"/>
  <c r="A145" i="11"/>
  <c r="A144" i="10"/>
  <c r="AG145" i="10"/>
  <c r="BE26" i="7"/>
  <c r="BE25" i="7"/>
  <c r="BE27" i="7"/>
  <c r="BE23" i="7"/>
  <c r="BE24" i="7"/>
  <c r="BE21" i="7"/>
  <c r="BE22" i="7"/>
  <c r="BE19" i="7"/>
  <c r="BE20" i="7"/>
  <c r="BF18" i="7"/>
  <c r="A145" i="10" l="1"/>
  <c r="AG146" i="10"/>
  <c r="AG147" i="11"/>
  <c r="A146" i="11"/>
  <c r="BF23" i="7"/>
  <c r="BF26" i="7"/>
  <c r="BF24" i="7"/>
  <c r="BF27" i="7"/>
  <c r="BF25" i="7"/>
  <c r="BF21" i="7"/>
  <c r="BF22" i="7"/>
  <c r="BF19" i="7"/>
  <c r="BF20" i="7"/>
  <c r="BG18" i="7"/>
  <c r="AG149" i="11" l="1"/>
  <c r="A147" i="11"/>
  <c r="A146" i="10"/>
  <c r="AG147" i="10"/>
  <c r="BG25" i="7"/>
  <c r="BG24" i="7"/>
  <c r="BG27" i="7"/>
  <c r="BG23" i="7"/>
  <c r="BG26" i="7"/>
  <c r="BG21" i="7"/>
  <c r="BG22" i="7"/>
  <c r="BG19" i="7"/>
  <c r="BG20" i="7"/>
  <c r="BH18" i="7"/>
  <c r="A147" i="10" l="1"/>
  <c r="AG149" i="10"/>
  <c r="AG150" i="11"/>
  <c r="A149" i="11"/>
  <c r="BH22" i="7"/>
  <c r="AR22" i="7" s="1"/>
  <c r="BH25" i="7"/>
  <c r="AR25" i="7" s="1"/>
  <c r="AQ25" i="7" s="1"/>
  <c r="BH27" i="7"/>
  <c r="AR27" i="7" s="1"/>
  <c r="AQ27" i="7" s="1"/>
  <c r="BH23" i="7"/>
  <c r="AR23" i="7" s="1"/>
  <c r="AQ23" i="7" s="1"/>
  <c r="BH26" i="7"/>
  <c r="AR26" i="7" s="1"/>
  <c r="AQ26" i="7" s="1"/>
  <c r="BH24" i="7"/>
  <c r="AR24" i="7" s="1"/>
  <c r="AQ24" i="7" s="1"/>
  <c r="AR18" i="7"/>
  <c r="BH21" i="7"/>
  <c r="AR21" i="7" s="1"/>
  <c r="BH19" i="7"/>
  <c r="AR19" i="7" s="1"/>
  <c r="BH20" i="7"/>
  <c r="AR20" i="7" s="1"/>
  <c r="AG151" i="11" l="1"/>
  <c r="A150" i="11"/>
  <c r="AG150" i="10"/>
  <c r="A149" i="10"/>
  <c r="AA26" i="7"/>
  <c r="Z26" i="7"/>
  <c r="Z23" i="7"/>
  <c r="AA23" i="7"/>
  <c r="Z24" i="7"/>
  <c r="AA24" i="7"/>
  <c r="AA25" i="7"/>
  <c r="Z25" i="7"/>
  <c r="AA27" i="7"/>
  <c r="Z27" i="7"/>
  <c r="AQ18" i="7"/>
  <c r="AR29" i="7"/>
  <c r="S23" i="7" s="1"/>
  <c r="AQ20" i="7"/>
  <c r="AQ19" i="7"/>
  <c r="AQ21" i="7"/>
  <c r="AQ22" i="7"/>
  <c r="A150" i="10" l="1"/>
  <c r="AG151" i="10"/>
  <c r="AG152" i="11"/>
  <c r="A151" i="11"/>
  <c r="AD121" i="6"/>
  <c r="U14" i="9"/>
  <c r="U20" i="9"/>
  <c r="U21" i="9" s="1"/>
  <c r="T22" i="9" s="1"/>
  <c r="AQ29" i="7"/>
  <c r="AR28" i="7"/>
  <c r="S24" i="7" s="1"/>
  <c r="AO15" i="7"/>
  <c r="AA18" i="7"/>
  <c r="Z18" i="7"/>
  <c r="AA21" i="7"/>
  <c r="Z21" i="7"/>
  <c r="AA19" i="7"/>
  <c r="Z19" i="7"/>
  <c r="AA20" i="7"/>
  <c r="Z20" i="7"/>
  <c r="AA22" i="7"/>
  <c r="Z22" i="7"/>
  <c r="AG153" i="11" l="1"/>
  <c r="A152" i="11"/>
  <c r="A151" i="10"/>
  <c r="AG152" i="10"/>
  <c r="AE121" i="6"/>
  <c r="C19" i="9"/>
  <c r="X121" i="6"/>
  <c r="U12" i="9"/>
  <c r="AS28" i="7"/>
  <c r="I7" i="9"/>
  <c r="D9" i="9"/>
  <c r="I9" i="9" s="1"/>
  <c r="AO26" i="7"/>
  <c r="AO25" i="7"/>
  <c r="AO24" i="7"/>
  <c r="AO23" i="7"/>
  <c r="AO27" i="7"/>
  <c r="AO18" i="7"/>
  <c r="AO22" i="7"/>
  <c r="AB22" i="7" s="1"/>
  <c r="AO20" i="7"/>
  <c r="AB20" i="7" s="1"/>
  <c r="AO21" i="7"/>
  <c r="AB21" i="7" s="1"/>
  <c r="AO19" i="7"/>
  <c r="Z29" i="7"/>
  <c r="U6" i="9" s="1"/>
  <c r="AA29" i="7"/>
  <c r="U7" i="9" s="1"/>
  <c r="A152" i="10" l="1"/>
  <c r="AG153" i="10"/>
  <c r="AG154" i="11"/>
  <c r="A153" i="11"/>
  <c r="AO12" i="7"/>
  <c r="AB19" i="7"/>
  <c r="AC19" i="7" s="1"/>
  <c r="AP19" i="7" s="1"/>
  <c r="AO11" i="7"/>
  <c r="DC17" i="7"/>
  <c r="D11" i="9"/>
  <c r="D16" i="9" s="1"/>
  <c r="I16" i="9" s="1"/>
  <c r="AB27" i="7"/>
  <c r="AC27" i="7" s="1"/>
  <c r="AP27" i="7" s="1"/>
  <c r="AB23" i="7"/>
  <c r="AC23" i="7" s="1"/>
  <c r="AP23" i="7" s="1"/>
  <c r="AB24" i="7"/>
  <c r="AC24" i="7" s="1"/>
  <c r="AP24" i="7" s="1"/>
  <c r="AB25" i="7"/>
  <c r="AC25" i="7" s="1"/>
  <c r="AP25" i="7" s="1"/>
  <c r="AB26" i="7"/>
  <c r="AC26" i="7" s="1"/>
  <c r="AP26" i="7" s="1"/>
  <c r="AC20" i="7"/>
  <c r="AP20" i="7" s="1"/>
  <c r="AC21" i="7"/>
  <c r="AP21" i="7" s="1"/>
  <c r="AB18" i="7"/>
  <c r="AC22" i="7"/>
  <c r="AP22" i="7" s="1"/>
  <c r="AO29" i="7"/>
  <c r="U9" i="9" s="1"/>
  <c r="AG155" i="11" l="1"/>
  <c r="A154" i="11"/>
  <c r="A153" i="10"/>
  <c r="AG154" i="10"/>
  <c r="DC15" i="7"/>
  <c r="CY21" i="7" s="1"/>
  <c r="I11" i="9"/>
  <c r="AB29" i="7"/>
  <c r="H18" i="9"/>
  <c r="L18" i="9" s="1"/>
  <c r="H8" i="9"/>
  <c r="AC18" i="7"/>
  <c r="AP18" i="7" s="1"/>
  <c r="AP14" i="7" s="1"/>
  <c r="A154" i="10" l="1"/>
  <c r="AG155" i="10"/>
  <c r="AG157" i="11"/>
  <c r="A155" i="11"/>
  <c r="AA121" i="6"/>
  <c r="M6" i="9"/>
  <c r="U10" i="9"/>
  <c r="H15" i="9" s="1"/>
  <c r="L15" i="9" s="1"/>
  <c r="CZ15" i="7"/>
  <c r="O12" i="7" s="1"/>
  <c r="CY22" i="7"/>
  <c r="CY23" i="7" s="1"/>
  <c r="DF21" i="7"/>
  <c r="DM21" i="7"/>
  <c r="DJ21" i="7"/>
  <c r="X20" i="7"/>
  <c r="S20" i="7" s="1"/>
  <c r="AP29" i="7"/>
  <c r="H10" i="9"/>
  <c r="L8" i="9"/>
  <c r="AC29" i="7"/>
  <c r="H7" i="9" s="1"/>
  <c r="AG158" i="11" l="1"/>
  <c r="A157" i="11"/>
  <c r="A155" i="10"/>
  <c r="AG157" i="10"/>
  <c r="K1" i="18"/>
  <c r="L1" i="18" s="1"/>
  <c r="AQ14" i="7" s="1"/>
  <c r="V18" i="9" s="1"/>
  <c r="V21" i="9"/>
  <c r="H14" i="9"/>
  <c r="L14" i="9" s="1"/>
  <c r="H13" i="9"/>
  <c r="L13" i="9" s="1"/>
  <c r="CY24" i="7"/>
  <c r="CY25" i="7" s="1"/>
  <c r="DF23" i="7"/>
  <c r="DM23" i="7"/>
  <c r="DJ23" i="7"/>
  <c r="DJ22" i="7"/>
  <c r="DM22" i="7"/>
  <c r="DF22" i="7"/>
  <c r="BZ19" i="7"/>
  <c r="H9" i="9"/>
  <c r="H16" i="9"/>
  <c r="H19" i="9"/>
  <c r="L19" i="9" s="1"/>
  <c r="H12" i="9"/>
  <c r="L10" i="9"/>
  <c r="AP13" i="7"/>
  <c r="C6" i="9" s="1"/>
  <c r="AG158" i="10" l="1"/>
  <c r="A157" i="10"/>
  <c r="AG159" i="11"/>
  <c r="A158" i="11"/>
  <c r="DJ24" i="7"/>
  <c r="DM24" i="7"/>
  <c r="DF24" i="7"/>
  <c r="CY26" i="7"/>
  <c r="CY27" i="7" s="1"/>
  <c r="DM27" i="7" s="1"/>
  <c r="DJ25" i="7"/>
  <c r="DF25" i="7"/>
  <c r="DM25" i="7"/>
  <c r="BZ18" i="7"/>
  <c r="BV21" i="7" s="1"/>
  <c r="C20" i="9"/>
  <c r="L20" i="9" s="1"/>
  <c r="L16" i="9"/>
  <c r="H17" i="9"/>
  <c r="L17" i="9" s="1"/>
  <c r="L12" i="9"/>
  <c r="L6" i="9"/>
  <c r="H11" i="9"/>
  <c r="AG160" i="11" l="1"/>
  <c r="A159" i="11"/>
  <c r="A158" i="10"/>
  <c r="AG159" i="10"/>
  <c r="DM26" i="7"/>
  <c r="DJ26" i="7"/>
  <c r="DF26" i="7"/>
  <c r="DJ27" i="7"/>
  <c r="DF27" i="7"/>
  <c r="CY28" i="7"/>
  <c r="DM28" i="7" s="1"/>
  <c r="BV20" i="7"/>
  <c r="BV19" i="7"/>
  <c r="Q28" i="9"/>
  <c r="Q29" i="9" s="1"/>
  <c r="Q30" i="9" s="1"/>
  <c r="Q31" i="9" s="1"/>
  <c r="A159" i="10" l="1"/>
  <c r="AG160" i="10"/>
  <c r="AG161" i="11"/>
  <c r="A160" i="11"/>
  <c r="DM18" i="7"/>
  <c r="AJ18" i="7" s="1"/>
  <c r="AJ27" i="7" s="1"/>
  <c r="DF28" i="7"/>
  <c r="DF18" i="7" s="1"/>
  <c r="DE16" i="7" s="1"/>
  <c r="DI17" i="7" s="1"/>
  <c r="DJ28" i="7"/>
  <c r="DJ18" i="7" s="1"/>
  <c r="AG18" i="7" s="1"/>
  <c r="AG27" i="7" s="1"/>
  <c r="BV18" i="7"/>
  <c r="B23" i="7" s="1"/>
  <c r="CA21" i="7"/>
  <c r="BZ21" i="7"/>
  <c r="AG162" i="11" l="1"/>
  <c r="A161" i="11"/>
  <c r="A160" i="10"/>
  <c r="AG161" i="10"/>
  <c r="AG26" i="7"/>
  <c r="C11" i="9"/>
  <c r="L11" i="9" s="1"/>
  <c r="AJ26" i="7"/>
  <c r="C9" i="9"/>
  <c r="L9" i="9" s="1"/>
  <c r="AJ24" i="7"/>
  <c r="AJ25" i="7"/>
  <c r="AG24" i="7"/>
  <c r="AG25" i="7"/>
  <c r="AG22" i="7"/>
  <c r="AG23" i="7"/>
  <c r="AJ22" i="7"/>
  <c r="AJ23" i="7"/>
  <c r="AG20" i="7"/>
  <c r="AG21" i="7"/>
  <c r="AJ20" i="7"/>
  <c r="AJ21" i="7"/>
  <c r="AG19" i="7"/>
  <c r="AJ19" i="7"/>
  <c r="DH17" i="7"/>
  <c r="DG17" i="7"/>
  <c r="AK18" i="7" s="1"/>
  <c r="CB21" i="7"/>
  <c r="CB22" i="7" s="1"/>
  <c r="A161" i="10" l="1"/>
  <c r="AG162" i="10"/>
  <c r="AG163" i="11"/>
  <c r="A162" i="11"/>
  <c r="C7" i="9"/>
  <c r="AK27" i="7"/>
  <c r="AK25" i="7"/>
  <c r="AK26" i="7"/>
  <c r="AK23" i="7"/>
  <c r="AK24" i="7"/>
  <c r="AK21" i="7"/>
  <c r="AK22" i="7"/>
  <c r="AK19" i="7"/>
  <c r="AK20" i="7"/>
  <c r="AL18" i="7"/>
  <c r="AL27" i="7" s="1"/>
  <c r="BZ23" i="7"/>
  <c r="AO14" i="7" s="1"/>
  <c r="AG165" i="11" l="1"/>
  <c r="A163" i="11"/>
  <c r="A162" i="10"/>
  <c r="AG163" i="10"/>
  <c r="Q4" i="9"/>
  <c r="Q5" i="9" s="1"/>
  <c r="Q6" i="9" s="1"/>
  <c r="Q7" i="9" s="1"/>
  <c r="Q8" i="9" s="1"/>
  <c r="AL26" i="7"/>
  <c r="G7" i="9"/>
  <c r="F7" i="9" s="1"/>
  <c r="AL24" i="7"/>
  <c r="AL25" i="7"/>
  <c r="AL22" i="7"/>
  <c r="AL23" i="7"/>
  <c r="AL20" i="7"/>
  <c r="AL21" i="7"/>
  <c r="AL19" i="7"/>
  <c r="AM18" i="7"/>
  <c r="AM27" i="7" s="1"/>
  <c r="A163" i="10" l="1"/>
  <c r="AG165" i="10"/>
  <c r="AG166" i="11"/>
  <c r="A165" i="11"/>
  <c r="AM26" i="7"/>
  <c r="M7" i="9"/>
  <c r="AM24" i="7"/>
  <c r="AM25" i="7"/>
  <c r="AM22" i="7"/>
  <c r="AM23" i="7"/>
  <c r="AM20" i="7"/>
  <c r="AM21" i="7"/>
  <c r="L7" i="9"/>
  <c r="L21" i="9" s="1"/>
  <c r="AM19" i="7"/>
  <c r="AG167" i="11" l="1"/>
  <c r="A166" i="11"/>
  <c r="AG166" i="10"/>
  <c r="A165" i="10"/>
  <c r="L24" i="9"/>
  <c r="N6" i="9" s="1"/>
  <c r="M22" i="9"/>
  <c r="A166" i="10" l="1"/>
  <c r="AG167" i="10"/>
  <c r="AG168" i="11"/>
  <c r="A167" i="11"/>
  <c r="N17" i="9"/>
  <c r="N7" i="9"/>
  <c r="N20" i="9"/>
  <c r="N11" i="9"/>
  <c r="N9" i="9"/>
  <c r="N18" i="9"/>
  <c r="N8" i="9"/>
  <c r="N13" i="9"/>
  <c r="N16" i="9"/>
  <c r="N14" i="9"/>
  <c r="N15" i="9"/>
  <c r="N12" i="9"/>
  <c r="N19" i="9"/>
  <c r="N10" i="9"/>
  <c r="N24" i="9"/>
  <c r="V4" i="9"/>
  <c r="AG169" i="11" l="1"/>
  <c r="A168" i="11"/>
  <c r="A167" i="10"/>
  <c r="AG168" i="10"/>
  <c r="K24" i="9"/>
  <c r="U4" i="9"/>
  <c r="L22" i="9"/>
  <c r="Q10" i="9" s="1"/>
  <c r="Q11" i="9" s="1"/>
  <c r="Q12" i="9" s="1"/>
  <c r="Q13" i="9" s="1"/>
  <c r="B217" i="16"/>
  <c r="E217" i="16" s="1"/>
  <c r="H217" i="16"/>
  <c r="B209" i="16"/>
  <c r="E209" i="16" s="1"/>
  <c r="H209" i="16"/>
  <c r="B233" i="16"/>
  <c r="E233" i="16" s="1"/>
  <c r="H233" i="16"/>
  <c r="B225" i="16"/>
  <c r="E225" i="16" s="1"/>
  <c r="H225" i="16"/>
  <c r="H249" i="16"/>
  <c r="B241" i="16"/>
  <c r="E241" i="16" s="1"/>
  <c r="H241" i="16"/>
  <c r="O241" i="16"/>
  <c r="O249" i="16"/>
  <c r="L241" i="16"/>
  <c r="L249" i="16"/>
  <c r="O225" i="16"/>
  <c r="O233" i="16"/>
  <c r="L225" i="16"/>
  <c r="L233" i="16"/>
  <c r="L209" i="16"/>
  <c r="L217" i="16"/>
  <c r="O209" i="16"/>
  <c r="O217" i="16"/>
  <c r="L132" i="16"/>
  <c r="L140" i="16"/>
  <c r="O132" i="16"/>
  <c r="O140" i="16"/>
  <c r="L116" i="16"/>
  <c r="L124" i="16"/>
  <c r="O116" i="16"/>
  <c r="O124" i="16"/>
  <c r="B140" i="16"/>
  <c r="E140" i="16" s="1"/>
  <c r="H140" i="16"/>
  <c r="B132" i="16"/>
  <c r="E132" i="16" s="1"/>
  <c r="H132" i="16"/>
  <c r="B124" i="16"/>
  <c r="E124" i="16" s="1"/>
  <c r="H124" i="16"/>
  <c r="B116" i="16"/>
  <c r="E116" i="16" s="1"/>
  <c r="H116" i="16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7" i="1"/>
  <c r="T13" i="1"/>
  <c r="U13" i="1" s="1"/>
  <c r="AU8" i="1"/>
  <c r="AU9" i="1"/>
  <c r="AU10" i="1"/>
  <c r="AU11" i="1"/>
  <c r="AU12" i="1"/>
  <c r="AU13" i="1"/>
  <c r="AU14" i="1"/>
  <c r="AU7" i="1"/>
  <c r="B7" i="4"/>
  <c r="AN12" i="1"/>
  <c r="AN8" i="1"/>
  <c r="AN9" i="1"/>
  <c r="AN10" i="1"/>
  <c r="AN11" i="1"/>
  <c r="AN7" i="1"/>
  <c r="N16" i="1"/>
  <c r="Q14" i="9"/>
  <c r="A168" i="10" l="1"/>
  <c r="AG169" i="10"/>
  <c r="AG170" i="11"/>
  <c r="A169" i="11"/>
  <c r="Q16" i="9"/>
  <c r="Q17" i="9"/>
  <c r="W233" i="16"/>
  <c r="W232" i="16" s="1"/>
  <c r="W217" i="16"/>
  <c r="W216" i="16" s="1"/>
  <c r="W209" i="16"/>
  <c r="W208" i="16" s="1"/>
  <c r="W241" i="16"/>
  <c r="W240" i="16" s="1"/>
  <c r="W225" i="16"/>
  <c r="W224" i="16" s="1"/>
  <c r="B249" i="16"/>
  <c r="E249" i="16" s="1"/>
  <c r="W140" i="16"/>
  <c r="W139" i="16" s="1"/>
  <c r="W116" i="16"/>
  <c r="W115" i="16" s="1"/>
  <c r="T241" i="16"/>
  <c r="T249" i="16"/>
  <c r="R241" i="16"/>
  <c r="R249" i="16"/>
  <c r="T225" i="16"/>
  <c r="T233" i="16"/>
  <c r="R225" i="16"/>
  <c r="R233" i="16"/>
  <c r="T209" i="16"/>
  <c r="T217" i="16"/>
  <c r="R209" i="16"/>
  <c r="R217" i="16"/>
  <c r="T140" i="16"/>
  <c r="R132" i="16"/>
  <c r="R140" i="16"/>
  <c r="R116" i="16"/>
  <c r="R124" i="16"/>
  <c r="T124" i="16"/>
  <c r="W124" i="16"/>
  <c r="W123" i="16" s="1"/>
  <c r="W132" i="16"/>
  <c r="W131" i="16" s="1"/>
  <c r="AG171" i="11" l="1"/>
  <c r="A171" i="11" s="1"/>
  <c r="A170" i="11"/>
  <c r="A169" i="10"/>
  <c r="AG170" i="10"/>
  <c r="Q18" i="9"/>
  <c r="Q15" i="9" s="1"/>
  <c r="Q19" i="9"/>
  <c r="W4" i="9" s="1"/>
  <c r="B20" i="7" s="1"/>
  <c r="E17" i="7" s="1"/>
  <c r="W249" i="16"/>
  <c r="W248" i="16" s="1"/>
  <c r="P144" i="10"/>
  <c r="Q144" i="10" s="1"/>
  <c r="D144" i="10"/>
  <c r="P104" i="10"/>
  <c r="Q104" i="10" s="1"/>
  <c r="D104" i="10"/>
  <c r="D120" i="10"/>
  <c r="P120" i="10"/>
  <c r="Q120" i="10" s="1"/>
  <c r="P151" i="10"/>
  <c r="Q151" i="10" s="1"/>
  <c r="D151" i="10"/>
  <c r="D91" i="10"/>
  <c r="P91" i="10"/>
  <c r="Q91" i="10" s="1"/>
  <c r="P155" i="10"/>
  <c r="Q155" i="10" s="1"/>
  <c r="D155" i="10"/>
  <c r="P163" i="10"/>
  <c r="Q163" i="10" s="1"/>
  <c r="D163" i="10"/>
  <c r="D89" i="10"/>
  <c r="P89" i="10"/>
  <c r="Q89" i="10" s="1"/>
  <c r="D167" i="10"/>
  <c r="P167" i="10"/>
  <c r="Q167" i="10" s="1"/>
  <c r="P105" i="11"/>
  <c r="Q105" i="11" s="1"/>
  <c r="D105" i="11"/>
  <c r="P145" i="10"/>
  <c r="Q145" i="10" s="1"/>
  <c r="D145" i="10"/>
  <c r="P86" i="10"/>
  <c r="D86" i="10"/>
  <c r="P166" i="11"/>
  <c r="Q166" i="11" s="1"/>
  <c r="D166" i="11"/>
  <c r="D112" i="11"/>
  <c r="P112" i="11"/>
  <c r="Q112" i="11" s="1"/>
  <c r="D120" i="11"/>
  <c r="P120" i="11"/>
  <c r="Q120" i="11" s="1"/>
  <c r="D122" i="11"/>
  <c r="P122" i="11"/>
  <c r="Q122" i="11" s="1"/>
  <c r="P87" i="10"/>
  <c r="Q87" i="10" s="1"/>
  <c r="D87" i="10"/>
  <c r="P127" i="10"/>
  <c r="Q127" i="10" s="1"/>
  <c r="D127" i="10"/>
  <c r="D97" i="10"/>
  <c r="P97" i="10"/>
  <c r="Q97" i="10" s="1"/>
  <c r="P123" i="10"/>
  <c r="Q123" i="10" s="1"/>
  <c r="D123" i="10"/>
  <c r="P139" i="10"/>
  <c r="Q139" i="10" s="1"/>
  <c r="D139" i="10"/>
  <c r="D115" i="10"/>
  <c r="P115" i="10"/>
  <c r="Q115" i="10" s="1"/>
  <c r="P90" i="11"/>
  <c r="Q90" i="11" s="1"/>
  <c r="D90" i="11"/>
  <c r="P95" i="11"/>
  <c r="Q95" i="11" s="1"/>
  <c r="D95" i="11"/>
  <c r="P86" i="11"/>
  <c r="Q86" i="11" s="1"/>
  <c r="D86" i="11"/>
  <c r="P152" i="10"/>
  <c r="Q152" i="10" s="1"/>
  <c r="D152" i="10"/>
  <c r="P170" i="10"/>
  <c r="Q170" i="10" s="1"/>
  <c r="D170" i="10"/>
  <c r="P129" i="10"/>
  <c r="Q129" i="10" s="1"/>
  <c r="D129" i="10"/>
  <c r="P147" i="10"/>
  <c r="Q147" i="10" s="1"/>
  <c r="D147" i="10"/>
  <c r="D146" i="10"/>
  <c r="P146" i="10"/>
  <c r="Q146" i="10" s="1"/>
  <c r="P99" i="10"/>
  <c r="Q99" i="10" s="1"/>
  <c r="D99" i="10"/>
  <c r="D119" i="11"/>
  <c r="P119" i="11"/>
  <c r="Q119" i="11" s="1"/>
  <c r="D89" i="11"/>
  <c r="P89" i="11"/>
  <c r="Q89" i="11" s="1"/>
  <c r="D99" i="11"/>
  <c r="P99" i="11"/>
  <c r="Q99" i="11" s="1"/>
  <c r="P159" i="10"/>
  <c r="Q159" i="10" s="1"/>
  <c r="D159" i="10"/>
  <c r="D110" i="10"/>
  <c r="P110" i="10"/>
  <c r="P102" i="10"/>
  <c r="D102" i="10"/>
  <c r="D102" i="11"/>
  <c r="P102" i="11"/>
  <c r="Q102" i="11" s="1"/>
  <c r="P104" i="11"/>
  <c r="Q104" i="11" s="1"/>
  <c r="D104" i="11"/>
  <c r="P111" i="11"/>
  <c r="Q111" i="11" s="1"/>
  <c r="D111" i="11"/>
  <c r="P121" i="10"/>
  <c r="Q121" i="10" s="1"/>
  <c r="D121" i="10"/>
  <c r="D171" i="11"/>
  <c r="P171" i="11"/>
  <c r="Q171" i="11" s="1"/>
  <c r="D103" i="11"/>
  <c r="P103" i="11"/>
  <c r="Q103" i="11" s="1"/>
  <c r="P162" i="10"/>
  <c r="Q162" i="10" s="1"/>
  <c r="D162" i="10"/>
  <c r="D171" i="10"/>
  <c r="P171" i="10"/>
  <c r="Q171" i="10" s="1"/>
  <c r="D131" i="10"/>
  <c r="P131" i="10"/>
  <c r="Q131" i="10" s="1"/>
  <c r="D169" i="10"/>
  <c r="P169" i="10"/>
  <c r="Q169" i="10" s="1"/>
  <c r="P115" i="11"/>
  <c r="Q115" i="11" s="1"/>
  <c r="D115" i="11"/>
  <c r="P158" i="10"/>
  <c r="D158" i="10"/>
  <c r="D118" i="10"/>
  <c r="P118" i="10"/>
  <c r="D136" i="10"/>
  <c r="P136" i="10"/>
  <c r="Q136" i="10" s="1"/>
  <c r="D128" i="10"/>
  <c r="P128" i="10"/>
  <c r="Q128" i="10" s="1"/>
  <c r="D153" i="10"/>
  <c r="P153" i="10"/>
  <c r="Q153" i="10" s="1"/>
  <c r="P107" i="10"/>
  <c r="Q107" i="10" s="1"/>
  <c r="D107" i="10"/>
  <c r="P122" i="10"/>
  <c r="Q122" i="10" s="1"/>
  <c r="D122" i="10"/>
  <c r="D167" i="11"/>
  <c r="P167" i="11"/>
  <c r="Q167" i="11" s="1"/>
  <c r="D161" i="10"/>
  <c r="P161" i="10"/>
  <c r="Q161" i="10" s="1"/>
  <c r="P169" i="11"/>
  <c r="Q169" i="11" s="1"/>
  <c r="D169" i="11"/>
  <c r="P137" i="10"/>
  <c r="Q137" i="10" s="1"/>
  <c r="D137" i="10"/>
  <c r="D94" i="10"/>
  <c r="P94" i="10"/>
  <c r="D134" i="10"/>
  <c r="P134" i="10"/>
  <c r="P110" i="11"/>
  <c r="D110" i="11"/>
  <c r="P88" i="10"/>
  <c r="Q88" i="10" s="1"/>
  <c r="D88" i="10"/>
  <c r="P96" i="11"/>
  <c r="Q96" i="11" s="1"/>
  <c r="D96" i="11"/>
  <c r="P96" i="10"/>
  <c r="Q96" i="10" s="1"/>
  <c r="D96" i="10"/>
  <c r="P103" i="10"/>
  <c r="Q103" i="10" s="1"/>
  <c r="D103" i="10"/>
  <c r="D154" i="10"/>
  <c r="P154" i="10"/>
  <c r="Q154" i="10" s="1"/>
  <c r="P138" i="10"/>
  <c r="Q138" i="10" s="1"/>
  <c r="D138" i="10"/>
  <c r="P91" i="11"/>
  <c r="Q91" i="11" s="1"/>
  <c r="D91" i="11"/>
  <c r="D95" i="10"/>
  <c r="P95" i="10"/>
  <c r="Q95" i="10" s="1"/>
  <c r="P143" i="10"/>
  <c r="Q143" i="10" s="1"/>
  <c r="D143" i="10"/>
  <c r="D106" i="10"/>
  <c r="P106" i="10"/>
  <c r="Q106" i="10" s="1"/>
  <c r="P119" i="10"/>
  <c r="Q119" i="10" s="1"/>
  <c r="D119" i="10"/>
  <c r="D142" i="10"/>
  <c r="P142" i="10"/>
  <c r="D94" i="11"/>
  <c r="P94" i="11"/>
  <c r="Q94" i="11" s="1"/>
  <c r="D166" i="10"/>
  <c r="P166" i="10"/>
  <c r="P135" i="10"/>
  <c r="Q135" i="10" s="1"/>
  <c r="D135" i="10"/>
  <c r="P88" i="11"/>
  <c r="Q88" i="11" s="1"/>
  <c r="D88" i="11"/>
  <c r="D168" i="10"/>
  <c r="P168" i="10"/>
  <c r="Q168" i="10" s="1"/>
  <c r="D114" i="11"/>
  <c r="P114" i="11"/>
  <c r="Q114" i="11" s="1"/>
  <c r="P87" i="11"/>
  <c r="Q87" i="11" s="1"/>
  <c r="D87" i="11"/>
  <c r="D114" i="10"/>
  <c r="P114" i="10"/>
  <c r="Q114" i="10" s="1"/>
  <c r="D113" i="11"/>
  <c r="P113" i="11"/>
  <c r="Q113" i="11" s="1"/>
  <c r="P97" i="11"/>
  <c r="Q97" i="11" s="1"/>
  <c r="D97" i="11"/>
  <c r="D98" i="10"/>
  <c r="P98" i="10"/>
  <c r="Q98" i="10" s="1"/>
  <c r="P113" i="10"/>
  <c r="Q113" i="10" s="1"/>
  <c r="D113" i="10"/>
  <c r="P121" i="11"/>
  <c r="Q121" i="11" s="1"/>
  <c r="D121" i="11"/>
  <c r="P126" i="10"/>
  <c r="D126" i="10"/>
  <c r="P160" i="10"/>
  <c r="Q160" i="10" s="1"/>
  <c r="D160" i="10"/>
  <c r="P168" i="11"/>
  <c r="Q168" i="11" s="1"/>
  <c r="D168" i="11"/>
  <c r="P112" i="10"/>
  <c r="Q112" i="10" s="1"/>
  <c r="D112" i="10"/>
  <c r="D107" i="11"/>
  <c r="P107" i="11"/>
  <c r="Q107" i="11" s="1"/>
  <c r="P130" i="10"/>
  <c r="Q130" i="10" s="1"/>
  <c r="D130" i="10"/>
  <c r="P111" i="10"/>
  <c r="Q111" i="10" s="1"/>
  <c r="D111" i="10"/>
  <c r="P90" i="10"/>
  <c r="Q90" i="10" s="1"/>
  <c r="D90" i="10"/>
  <c r="P123" i="11"/>
  <c r="Q123" i="11" s="1"/>
  <c r="D123" i="11"/>
  <c r="P106" i="11"/>
  <c r="Q106" i="11" s="1"/>
  <c r="D106" i="11"/>
  <c r="P105" i="10"/>
  <c r="Q105" i="10" s="1"/>
  <c r="D105" i="10"/>
  <c r="D98" i="11"/>
  <c r="P98" i="11"/>
  <c r="Q98" i="11" s="1"/>
  <c r="D170" i="11"/>
  <c r="P170" i="11"/>
  <c r="Q170" i="11" s="1"/>
  <c r="P118" i="11"/>
  <c r="Q118" i="11" s="1"/>
  <c r="D118" i="11"/>
  <c r="P150" i="10"/>
  <c r="D150" i="10"/>
  <c r="A170" i="10" l="1"/>
  <c r="AG171" i="10"/>
  <c r="A171" i="10" s="1"/>
  <c r="AE60" i="16"/>
  <c r="AA60" i="16" s="1"/>
  <c r="AE100" i="16"/>
  <c r="AA100" i="16" s="1"/>
  <c r="L23" i="9"/>
  <c r="T4" i="9" s="1"/>
  <c r="E19" i="7" s="1"/>
  <c r="E18" i="7"/>
  <c r="G17" i="7"/>
  <c r="G18" i="7" s="1"/>
  <c r="G19" i="7" s="1"/>
  <c r="G204" i="6"/>
  <c r="B204" i="6"/>
  <c r="D204" i="6"/>
  <c r="C204" i="6"/>
  <c r="I204" i="6"/>
  <c r="F204" i="6"/>
  <c r="H204" i="6"/>
  <c r="E204" i="6"/>
  <c r="M204" i="6"/>
  <c r="B158" i="6"/>
  <c r="F158" i="6"/>
  <c r="C158" i="6"/>
  <c r="G158" i="6"/>
  <c r="E158" i="6"/>
  <c r="M158" i="6"/>
  <c r="I158" i="6"/>
  <c r="D158" i="6"/>
  <c r="H158" i="6"/>
  <c r="B148" i="6"/>
  <c r="C148" i="6"/>
  <c r="G148" i="6"/>
  <c r="D148" i="6"/>
  <c r="H148" i="6"/>
  <c r="I148" i="6"/>
  <c r="F148" i="6"/>
  <c r="E148" i="6"/>
  <c r="M148" i="6"/>
  <c r="E186" i="6"/>
  <c r="D186" i="6"/>
  <c r="C186" i="6"/>
  <c r="I186" i="6"/>
  <c r="G186" i="6"/>
  <c r="B186" i="6"/>
  <c r="M186" i="6"/>
  <c r="H186" i="6"/>
  <c r="F186" i="6"/>
  <c r="F182" i="6"/>
  <c r="H182" i="6"/>
  <c r="G182" i="6"/>
  <c r="C182" i="6"/>
  <c r="E182" i="6"/>
  <c r="D182" i="6"/>
  <c r="M182" i="6"/>
  <c r="I182" i="6"/>
  <c r="B182" i="6"/>
  <c r="G150" i="6"/>
  <c r="M150" i="6"/>
  <c r="B150" i="6"/>
  <c r="I150" i="6"/>
  <c r="H150" i="6"/>
  <c r="D150" i="6"/>
  <c r="E150" i="6"/>
  <c r="F150" i="6"/>
  <c r="C150" i="6"/>
  <c r="D157" i="6"/>
  <c r="B157" i="6"/>
  <c r="C157" i="6"/>
  <c r="M157" i="6"/>
  <c r="G157" i="6"/>
  <c r="I157" i="6"/>
  <c r="F157" i="6"/>
  <c r="H157" i="6"/>
  <c r="E157" i="6"/>
  <c r="H243" i="6"/>
  <c r="I243" i="6"/>
  <c r="F243" i="6"/>
  <c r="G243" i="6"/>
  <c r="C243" i="6"/>
  <c r="D243" i="6"/>
  <c r="M243" i="6"/>
  <c r="E243" i="6"/>
  <c r="B243" i="6"/>
  <c r="G251" i="6"/>
  <c r="C251" i="6"/>
  <c r="F251" i="6"/>
  <c r="H251" i="6"/>
  <c r="D251" i="6"/>
  <c r="I251" i="6"/>
  <c r="M251" i="6"/>
  <c r="E251" i="6"/>
  <c r="B251" i="6"/>
  <c r="H215" i="6"/>
  <c r="B215" i="6"/>
  <c r="I215" i="6"/>
  <c r="F215" i="6"/>
  <c r="M215" i="6"/>
  <c r="D215" i="6"/>
  <c r="G215" i="6"/>
  <c r="E215" i="6"/>
  <c r="C215" i="6"/>
  <c r="M221" i="6"/>
  <c r="E221" i="6"/>
  <c r="F221" i="6"/>
  <c r="H221" i="6"/>
  <c r="B221" i="6"/>
  <c r="I221" i="6"/>
  <c r="G221" i="6"/>
  <c r="C221" i="6"/>
  <c r="D221" i="6"/>
  <c r="F166" i="6"/>
  <c r="E166" i="6"/>
  <c r="G166" i="6"/>
  <c r="M166" i="6"/>
  <c r="D166" i="6"/>
  <c r="I166" i="6"/>
  <c r="C166" i="6"/>
  <c r="H166" i="6"/>
  <c r="B166" i="6"/>
  <c r="D165" i="6"/>
  <c r="C165" i="6"/>
  <c r="B165" i="6"/>
  <c r="H165" i="6"/>
  <c r="F165" i="6"/>
  <c r="E165" i="6"/>
  <c r="I165" i="6"/>
  <c r="G165" i="6"/>
  <c r="M165" i="6"/>
  <c r="M193" i="6"/>
  <c r="G193" i="6"/>
  <c r="D193" i="6"/>
  <c r="C193" i="6"/>
  <c r="E193" i="6"/>
  <c r="B193" i="6"/>
  <c r="I193" i="6"/>
  <c r="F193" i="6"/>
  <c r="H193" i="6"/>
  <c r="F180" i="6"/>
  <c r="D180" i="6"/>
  <c r="E180" i="6"/>
  <c r="M180" i="6"/>
  <c r="C180" i="6"/>
  <c r="B180" i="6"/>
  <c r="I180" i="6"/>
  <c r="H180" i="6"/>
  <c r="G180" i="6"/>
  <c r="I179" i="6"/>
  <c r="G179" i="6"/>
  <c r="E179" i="6"/>
  <c r="F179" i="6"/>
  <c r="B179" i="6"/>
  <c r="M179" i="6"/>
  <c r="C179" i="6"/>
  <c r="D179" i="6"/>
  <c r="H179" i="6"/>
  <c r="M168" i="6"/>
  <c r="I168" i="6"/>
  <c r="G168" i="6"/>
  <c r="F168" i="6"/>
  <c r="H168" i="6"/>
  <c r="B168" i="6"/>
  <c r="E168" i="6"/>
  <c r="C168" i="6"/>
  <c r="D168" i="6"/>
  <c r="I265" i="6"/>
  <c r="G265" i="6"/>
  <c r="E265" i="6"/>
  <c r="F265" i="6"/>
  <c r="M265" i="6"/>
  <c r="B265" i="6"/>
  <c r="C265" i="6"/>
  <c r="H265" i="6"/>
  <c r="D265" i="6"/>
  <c r="D258" i="6"/>
  <c r="H258" i="6"/>
  <c r="C258" i="6"/>
  <c r="E258" i="6"/>
  <c r="F258" i="6"/>
  <c r="I258" i="6"/>
  <c r="M258" i="6"/>
  <c r="B258" i="6"/>
  <c r="G258" i="6"/>
  <c r="M229" i="6"/>
  <c r="F229" i="6"/>
  <c r="B229" i="6"/>
  <c r="C229" i="6"/>
  <c r="I229" i="6"/>
  <c r="G229" i="6"/>
  <c r="H229" i="6"/>
  <c r="D229" i="6"/>
  <c r="E229" i="6"/>
  <c r="B228" i="6"/>
  <c r="F228" i="6"/>
  <c r="D228" i="6"/>
  <c r="C228" i="6"/>
  <c r="G228" i="6"/>
  <c r="I228" i="6"/>
  <c r="E228" i="6"/>
  <c r="H228" i="6"/>
  <c r="M228" i="6"/>
  <c r="B174" i="6"/>
  <c r="F174" i="6"/>
  <c r="H174" i="6"/>
  <c r="D174" i="6"/>
  <c r="G174" i="6"/>
  <c r="M174" i="6"/>
  <c r="C174" i="6"/>
  <c r="E174" i="6"/>
  <c r="I174" i="6"/>
  <c r="C162" i="6"/>
  <c r="M162" i="6"/>
  <c r="D162" i="6"/>
  <c r="B162" i="6"/>
  <c r="I162" i="6"/>
  <c r="G162" i="6"/>
  <c r="F162" i="6"/>
  <c r="H162" i="6"/>
  <c r="E162" i="6"/>
  <c r="E146" i="6"/>
  <c r="C146" i="6"/>
  <c r="F146" i="6"/>
  <c r="M146" i="6"/>
  <c r="H146" i="6"/>
  <c r="I146" i="6"/>
  <c r="D146" i="6"/>
  <c r="B146" i="6"/>
  <c r="G146" i="6"/>
  <c r="B155" i="6"/>
  <c r="H155" i="6"/>
  <c r="G155" i="6"/>
  <c r="D155" i="6"/>
  <c r="I155" i="6"/>
  <c r="M155" i="6"/>
  <c r="C155" i="6"/>
  <c r="F155" i="6"/>
  <c r="E155" i="6"/>
  <c r="F159" i="6"/>
  <c r="E159" i="6"/>
  <c r="H159" i="6"/>
  <c r="M159" i="6"/>
  <c r="B159" i="6"/>
  <c r="I159" i="6"/>
  <c r="G159" i="6"/>
  <c r="C159" i="6"/>
  <c r="D159" i="6"/>
  <c r="M147" i="6"/>
  <c r="G147" i="6"/>
  <c r="D147" i="6"/>
  <c r="C147" i="6"/>
  <c r="I147" i="6"/>
  <c r="E147" i="6"/>
  <c r="H147" i="6"/>
  <c r="B147" i="6"/>
  <c r="F147" i="6"/>
  <c r="C164" i="6"/>
  <c r="G164" i="6"/>
  <c r="B164" i="6"/>
  <c r="E164" i="6"/>
  <c r="H164" i="6"/>
  <c r="M164" i="6"/>
  <c r="F164" i="6"/>
  <c r="D164" i="6"/>
  <c r="I164" i="6"/>
  <c r="M244" i="6"/>
  <c r="F244" i="6"/>
  <c r="I244" i="6"/>
  <c r="D244" i="6"/>
  <c r="E244" i="6"/>
  <c r="G244" i="6"/>
  <c r="C244" i="6"/>
  <c r="B244" i="6"/>
  <c r="H244" i="6"/>
  <c r="H272" i="6"/>
  <c r="G272" i="6"/>
  <c r="E272" i="6"/>
  <c r="D272" i="6"/>
  <c r="F272" i="6"/>
  <c r="M272" i="6"/>
  <c r="C272" i="6"/>
  <c r="B272" i="6"/>
  <c r="I272" i="6"/>
  <c r="M256" i="6"/>
  <c r="C256" i="6"/>
  <c r="H256" i="6"/>
  <c r="I256" i="6"/>
  <c r="E256" i="6"/>
  <c r="G256" i="6"/>
  <c r="F256" i="6"/>
  <c r="B256" i="6"/>
  <c r="D256" i="6"/>
  <c r="D202" i="6"/>
  <c r="F202" i="6"/>
  <c r="E202" i="6"/>
  <c r="I202" i="6"/>
  <c r="H202" i="6"/>
  <c r="B202" i="6"/>
  <c r="C202" i="6"/>
  <c r="M202" i="6"/>
  <c r="G202" i="6"/>
  <c r="I171" i="6"/>
  <c r="F171" i="6"/>
  <c r="E171" i="6"/>
  <c r="M171" i="6"/>
  <c r="H171" i="6"/>
  <c r="C171" i="6"/>
  <c r="B171" i="6"/>
  <c r="G171" i="6"/>
  <c r="D171" i="6"/>
  <c r="M196" i="6"/>
  <c r="E196" i="6"/>
  <c r="I196" i="6"/>
  <c r="D196" i="6"/>
  <c r="C196" i="6"/>
  <c r="F196" i="6"/>
  <c r="B196" i="6"/>
  <c r="G196" i="6"/>
  <c r="H196" i="6"/>
  <c r="C181" i="6"/>
  <c r="M181" i="6"/>
  <c r="E181" i="6"/>
  <c r="D181" i="6"/>
  <c r="I181" i="6"/>
  <c r="H181" i="6"/>
  <c r="B181" i="6"/>
  <c r="F181" i="6"/>
  <c r="G181" i="6"/>
  <c r="M153" i="6"/>
  <c r="B153" i="6"/>
  <c r="C153" i="6"/>
  <c r="F153" i="6"/>
  <c r="H153" i="6"/>
  <c r="I153" i="6"/>
  <c r="G153" i="6"/>
  <c r="D153" i="6"/>
  <c r="E153" i="6"/>
  <c r="I154" i="6"/>
  <c r="C154" i="6"/>
  <c r="B154" i="6"/>
  <c r="E154" i="6"/>
  <c r="F154" i="6"/>
  <c r="H154" i="6"/>
  <c r="M154" i="6"/>
  <c r="D154" i="6"/>
  <c r="G154" i="6"/>
  <c r="C200" i="6"/>
  <c r="B200" i="6"/>
  <c r="I200" i="6"/>
  <c r="F200" i="6"/>
  <c r="G200" i="6"/>
  <c r="M200" i="6"/>
  <c r="H200" i="6"/>
  <c r="E200" i="6"/>
  <c r="D200" i="6"/>
  <c r="M152" i="6"/>
  <c r="H152" i="6"/>
  <c r="B152" i="6"/>
  <c r="I152" i="6"/>
  <c r="G152" i="6"/>
  <c r="E152" i="6"/>
  <c r="F152" i="6"/>
  <c r="C152" i="6"/>
  <c r="D152" i="6"/>
  <c r="M194" i="6"/>
  <c r="E194" i="6"/>
  <c r="C194" i="6"/>
  <c r="B194" i="6"/>
  <c r="G194" i="6"/>
  <c r="I194" i="6"/>
  <c r="D194" i="6"/>
  <c r="F194" i="6"/>
  <c r="H194" i="6"/>
  <c r="I279" i="6"/>
  <c r="F279" i="6"/>
  <c r="G279" i="6"/>
  <c r="M279" i="6"/>
  <c r="D279" i="6"/>
  <c r="C279" i="6"/>
  <c r="E279" i="6"/>
  <c r="H279" i="6"/>
  <c r="B279" i="6"/>
  <c r="C237" i="6"/>
  <c r="G237" i="6"/>
  <c r="E237" i="6"/>
  <c r="D237" i="6"/>
  <c r="F237" i="6"/>
  <c r="M237" i="6"/>
  <c r="H237" i="6"/>
  <c r="B237" i="6"/>
  <c r="I237" i="6"/>
  <c r="F264" i="6"/>
  <c r="E264" i="6"/>
  <c r="G264" i="6"/>
  <c r="I264" i="6"/>
  <c r="C264" i="6"/>
  <c r="B264" i="6"/>
  <c r="D264" i="6"/>
  <c r="M264" i="6"/>
  <c r="H264" i="6"/>
  <c r="H270" i="6"/>
  <c r="B270" i="6"/>
  <c r="I270" i="6"/>
  <c r="E270" i="6"/>
  <c r="D270" i="6"/>
  <c r="G270" i="6"/>
  <c r="F270" i="6"/>
  <c r="C270" i="6"/>
  <c r="M270" i="6"/>
  <c r="D188" i="6"/>
  <c r="B188" i="6"/>
  <c r="H188" i="6"/>
  <c r="I188" i="6"/>
  <c r="G188" i="6"/>
  <c r="M188" i="6"/>
  <c r="E188" i="6"/>
  <c r="F188" i="6"/>
  <c r="C188" i="6"/>
  <c r="F190" i="6"/>
  <c r="C190" i="6"/>
  <c r="D190" i="6"/>
  <c r="H190" i="6"/>
  <c r="I190" i="6"/>
  <c r="B190" i="6"/>
  <c r="G190" i="6"/>
  <c r="E190" i="6"/>
  <c r="M190" i="6"/>
  <c r="M144" i="6"/>
  <c r="F144" i="6"/>
  <c r="C144" i="6"/>
  <c r="E144" i="6"/>
  <c r="B144" i="6"/>
  <c r="H144" i="6"/>
  <c r="D144" i="6"/>
  <c r="G144" i="6"/>
  <c r="I144" i="6"/>
  <c r="H173" i="6"/>
  <c r="M173" i="6"/>
  <c r="C173" i="6"/>
  <c r="G173" i="6"/>
  <c r="F173" i="6"/>
  <c r="B173" i="6"/>
  <c r="D173" i="6"/>
  <c r="E173" i="6"/>
  <c r="I173" i="6"/>
  <c r="B161" i="6"/>
  <c r="M161" i="6"/>
  <c r="I161" i="6"/>
  <c r="G161" i="6"/>
  <c r="H161" i="6"/>
  <c r="C161" i="6"/>
  <c r="F161" i="6"/>
  <c r="D161" i="6"/>
  <c r="E161" i="6"/>
  <c r="B183" i="6"/>
  <c r="E183" i="6"/>
  <c r="F183" i="6"/>
  <c r="D183" i="6"/>
  <c r="H183" i="6"/>
  <c r="C183" i="6"/>
  <c r="M183" i="6"/>
  <c r="I183" i="6"/>
  <c r="G183" i="6"/>
  <c r="E143" i="6"/>
  <c r="F143" i="6"/>
  <c r="G143" i="6"/>
  <c r="C143" i="6"/>
  <c r="I143" i="6"/>
  <c r="H143" i="6"/>
  <c r="D143" i="6"/>
  <c r="M143" i="6"/>
  <c r="B143" i="6"/>
  <c r="G151" i="6"/>
  <c r="E151" i="6"/>
  <c r="F151" i="6"/>
  <c r="M151" i="6"/>
  <c r="D151" i="6"/>
  <c r="B151" i="6"/>
  <c r="I151" i="6"/>
  <c r="H151" i="6"/>
  <c r="C151" i="6"/>
  <c r="C271" i="6"/>
  <c r="F271" i="6"/>
  <c r="M271" i="6"/>
  <c r="D271" i="6"/>
  <c r="I271" i="6"/>
  <c r="B271" i="6"/>
  <c r="E271" i="6"/>
  <c r="H271" i="6"/>
  <c r="G271" i="6"/>
  <c r="I285" i="6"/>
  <c r="G285" i="6"/>
  <c r="M285" i="6"/>
  <c r="C285" i="6"/>
  <c r="B285" i="6"/>
  <c r="E285" i="6"/>
  <c r="D285" i="6"/>
  <c r="H285" i="6"/>
  <c r="F285" i="6"/>
  <c r="G230" i="6"/>
  <c r="F230" i="6"/>
  <c r="I230" i="6"/>
  <c r="M230" i="6"/>
  <c r="B230" i="6"/>
  <c r="D230" i="6"/>
  <c r="C230" i="6"/>
  <c r="H230" i="6"/>
  <c r="E230" i="6"/>
  <c r="C235" i="6"/>
  <c r="M235" i="6"/>
  <c r="I235" i="6"/>
  <c r="G235" i="6"/>
  <c r="B235" i="6"/>
  <c r="F235" i="6"/>
  <c r="E235" i="6"/>
  <c r="D235" i="6"/>
  <c r="H235" i="6"/>
  <c r="D249" i="6"/>
  <c r="C249" i="6"/>
  <c r="I249" i="6"/>
  <c r="M249" i="6"/>
  <c r="E249" i="6"/>
  <c r="F249" i="6"/>
  <c r="B249" i="6"/>
  <c r="H249" i="6"/>
  <c r="G249" i="6"/>
  <c r="F187" i="6"/>
  <c r="H187" i="6"/>
  <c r="D187" i="6"/>
  <c r="B187" i="6"/>
  <c r="M187" i="6"/>
  <c r="I187" i="6"/>
  <c r="E187" i="6"/>
  <c r="G187" i="6"/>
  <c r="C187" i="6"/>
  <c r="G172" i="6"/>
  <c r="E172" i="6"/>
  <c r="C172" i="6"/>
  <c r="F172" i="6"/>
  <c r="D172" i="6"/>
  <c r="B172" i="6"/>
  <c r="H172" i="6"/>
  <c r="I172" i="6"/>
  <c r="M172" i="6"/>
  <c r="G201" i="6"/>
  <c r="M201" i="6"/>
  <c r="H201" i="6"/>
  <c r="B201" i="6"/>
  <c r="C201" i="6"/>
  <c r="D201" i="6"/>
  <c r="F201" i="6"/>
  <c r="I201" i="6"/>
  <c r="E201" i="6"/>
  <c r="M203" i="6"/>
  <c r="H203" i="6"/>
  <c r="G203" i="6"/>
  <c r="B203" i="6"/>
  <c r="C203" i="6"/>
  <c r="I203" i="6"/>
  <c r="D203" i="6"/>
  <c r="F203" i="6"/>
  <c r="E203" i="6"/>
  <c r="F169" i="6"/>
  <c r="B169" i="6"/>
  <c r="M169" i="6"/>
  <c r="C169" i="6"/>
  <c r="I169" i="6"/>
  <c r="G169" i="6"/>
  <c r="H169" i="6"/>
  <c r="D169" i="6"/>
  <c r="E169" i="6"/>
  <c r="F185" i="6"/>
  <c r="I185" i="6"/>
  <c r="E185" i="6"/>
  <c r="H185" i="6"/>
  <c r="M185" i="6"/>
  <c r="B185" i="6"/>
  <c r="G185" i="6"/>
  <c r="D185" i="6"/>
  <c r="C185" i="6"/>
  <c r="D286" i="6"/>
  <c r="E286" i="6"/>
  <c r="M286" i="6"/>
  <c r="B286" i="6"/>
  <c r="C286" i="6"/>
  <c r="I286" i="6"/>
  <c r="F286" i="6"/>
  <c r="G286" i="6"/>
  <c r="H286" i="6"/>
  <c r="B223" i="6"/>
  <c r="F223" i="6"/>
  <c r="I223" i="6"/>
  <c r="M223" i="6"/>
  <c r="D223" i="6"/>
  <c r="E223" i="6"/>
  <c r="C223" i="6"/>
  <c r="H223" i="6"/>
  <c r="G223" i="6"/>
  <c r="I277" i="6"/>
  <c r="G277" i="6"/>
  <c r="E277" i="6"/>
  <c r="F277" i="6"/>
  <c r="B277" i="6"/>
  <c r="H277" i="6"/>
  <c r="M277" i="6"/>
  <c r="D277" i="6"/>
  <c r="C277" i="6"/>
  <c r="D242" i="6"/>
  <c r="G242" i="6"/>
  <c r="E242" i="6"/>
  <c r="F242" i="6"/>
  <c r="H242" i="6"/>
  <c r="B242" i="6"/>
  <c r="I242" i="6"/>
  <c r="C242" i="6"/>
  <c r="M242" i="6"/>
  <c r="E197" i="6"/>
  <c r="G197" i="6"/>
  <c r="B197" i="6"/>
  <c r="F197" i="6"/>
  <c r="M197" i="6"/>
  <c r="D197" i="6"/>
  <c r="C197" i="6"/>
  <c r="I197" i="6"/>
  <c r="H197" i="6"/>
  <c r="F167" i="6"/>
  <c r="D167" i="6"/>
  <c r="I167" i="6"/>
  <c r="H167" i="6"/>
  <c r="G167" i="6"/>
  <c r="B167" i="6"/>
  <c r="E167" i="6"/>
  <c r="C167" i="6"/>
  <c r="M167" i="6"/>
  <c r="I199" i="6"/>
  <c r="C199" i="6"/>
  <c r="B199" i="6"/>
  <c r="M199" i="6"/>
  <c r="D199" i="6"/>
  <c r="E199" i="6"/>
  <c r="G199" i="6"/>
  <c r="F199" i="6"/>
  <c r="H199" i="6"/>
  <c r="M176" i="6"/>
  <c r="D176" i="6"/>
  <c r="E176" i="6"/>
  <c r="C176" i="6"/>
  <c r="I176" i="6"/>
  <c r="G176" i="6"/>
  <c r="H176" i="6"/>
  <c r="B176" i="6"/>
  <c r="F176" i="6"/>
  <c r="D236" i="6"/>
  <c r="M236" i="6"/>
  <c r="C236" i="6"/>
  <c r="B236" i="6"/>
  <c r="H236" i="6"/>
  <c r="F236" i="6"/>
  <c r="G236" i="6"/>
  <c r="I236" i="6"/>
  <c r="E236" i="6"/>
  <c r="M278" i="6"/>
  <c r="I278" i="6"/>
  <c r="B278" i="6"/>
  <c r="F278" i="6"/>
  <c r="H278" i="6"/>
  <c r="D278" i="6"/>
  <c r="G278" i="6"/>
  <c r="C278" i="6"/>
  <c r="E278" i="6"/>
  <c r="D250" i="6"/>
  <c r="C250" i="6"/>
  <c r="I250" i="6"/>
  <c r="B250" i="6"/>
  <c r="F250" i="6"/>
  <c r="M250" i="6"/>
  <c r="G250" i="6"/>
  <c r="H250" i="6"/>
  <c r="E250" i="6"/>
  <c r="B284" i="6"/>
  <c r="E284" i="6"/>
  <c r="I284" i="6"/>
  <c r="H284" i="6"/>
  <c r="G284" i="6"/>
  <c r="M284" i="6"/>
  <c r="C284" i="6"/>
  <c r="F284" i="6"/>
  <c r="D284" i="6"/>
  <c r="F214" i="6"/>
  <c r="D214" i="6"/>
  <c r="I214" i="6"/>
  <c r="B214" i="6"/>
  <c r="M214" i="6"/>
  <c r="H214" i="6"/>
  <c r="E214" i="6"/>
  <c r="C214" i="6"/>
  <c r="G214" i="6"/>
  <c r="E145" i="6"/>
  <c r="I145" i="6"/>
  <c r="F145" i="6"/>
  <c r="D145" i="6"/>
  <c r="H145" i="6"/>
  <c r="C145" i="6"/>
  <c r="G145" i="6"/>
  <c r="M145" i="6"/>
  <c r="B145" i="6"/>
  <c r="F189" i="6"/>
  <c r="M189" i="6"/>
  <c r="D189" i="6"/>
  <c r="C189" i="6"/>
  <c r="I189" i="6"/>
  <c r="G189" i="6"/>
  <c r="E189" i="6"/>
  <c r="H189" i="6"/>
  <c r="B189" i="6"/>
  <c r="M160" i="6"/>
  <c r="F160" i="6"/>
  <c r="B160" i="6"/>
  <c r="H160" i="6"/>
  <c r="E160" i="6"/>
  <c r="D160" i="6"/>
  <c r="G160" i="6"/>
  <c r="C160" i="6"/>
  <c r="I160" i="6"/>
  <c r="B195" i="6"/>
  <c r="H195" i="6"/>
  <c r="G195" i="6"/>
  <c r="C195" i="6"/>
  <c r="E195" i="6"/>
  <c r="M195" i="6"/>
  <c r="I195" i="6"/>
  <c r="D195" i="6"/>
  <c r="F195" i="6"/>
  <c r="F175" i="6"/>
  <c r="M175" i="6"/>
  <c r="G175" i="6"/>
  <c r="D175" i="6"/>
  <c r="I175" i="6"/>
  <c r="C175" i="6"/>
  <c r="B175" i="6"/>
  <c r="H175" i="6"/>
  <c r="E175" i="6"/>
  <c r="M178" i="6"/>
  <c r="D178" i="6"/>
  <c r="H178" i="6"/>
  <c r="I178" i="6"/>
  <c r="E178" i="6"/>
  <c r="G178" i="6"/>
  <c r="C178" i="6"/>
  <c r="B178" i="6"/>
  <c r="F178" i="6"/>
  <c r="F192" i="6"/>
  <c r="G192" i="6"/>
  <c r="E192" i="6"/>
  <c r="H192" i="6"/>
  <c r="M192" i="6"/>
  <c r="D192" i="6"/>
  <c r="C192" i="6"/>
  <c r="B192" i="6"/>
  <c r="I192" i="6"/>
  <c r="G257" i="6"/>
  <c r="D257" i="6"/>
  <c r="M257" i="6"/>
  <c r="C257" i="6"/>
  <c r="F257" i="6"/>
  <c r="E257" i="6"/>
  <c r="I257" i="6"/>
  <c r="B257" i="6"/>
  <c r="H257" i="6"/>
  <c r="M222" i="6"/>
  <c r="F222" i="6"/>
  <c r="G222" i="6"/>
  <c r="B222" i="6"/>
  <c r="E222" i="6"/>
  <c r="I222" i="6"/>
  <c r="C222" i="6"/>
  <c r="D222" i="6"/>
  <c r="H222" i="6"/>
  <c r="F274" i="6"/>
  <c r="I274" i="6"/>
  <c r="G274" i="6"/>
  <c r="E274" i="6"/>
  <c r="C274" i="6"/>
  <c r="H274" i="6"/>
  <c r="B274" i="6"/>
  <c r="D274" i="6"/>
  <c r="M274" i="6"/>
  <c r="C252" i="6"/>
  <c r="E252" i="6"/>
  <c r="H252" i="6"/>
  <c r="D252" i="6"/>
  <c r="I252" i="6"/>
  <c r="B252" i="6"/>
  <c r="M252" i="6"/>
  <c r="F252" i="6"/>
  <c r="G252" i="6"/>
  <c r="G246" i="6"/>
  <c r="E246" i="6"/>
  <c r="M246" i="6"/>
  <c r="D246" i="6"/>
  <c r="I246" i="6"/>
  <c r="B246" i="6"/>
  <c r="C246" i="6"/>
  <c r="H246" i="6"/>
  <c r="F246" i="6"/>
  <c r="C225" i="6"/>
  <c r="G225" i="6"/>
  <c r="H225" i="6"/>
  <c r="E225" i="6"/>
  <c r="M225" i="6"/>
  <c r="D225" i="6"/>
  <c r="I225" i="6"/>
  <c r="B225" i="6"/>
  <c r="F225" i="6"/>
  <c r="M273" i="6"/>
  <c r="H273" i="6"/>
  <c r="B273" i="6"/>
  <c r="G273" i="6"/>
  <c r="C273" i="6"/>
  <c r="I273" i="6"/>
  <c r="E273" i="6"/>
  <c r="F273" i="6"/>
  <c r="D273" i="6"/>
  <c r="C226" i="6"/>
  <c r="I226" i="6"/>
  <c r="G226" i="6"/>
  <c r="F226" i="6"/>
  <c r="E226" i="6"/>
  <c r="D226" i="6"/>
  <c r="B226" i="6"/>
  <c r="H226" i="6"/>
  <c r="M226" i="6"/>
  <c r="C266" i="6"/>
  <c r="B266" i="6"/>
  <c r="D266" i="6"/>
  <c r="I266" i="6"/>
  <c r="F266" i="6"/>
  <c r="G266" i="6"/>
  <c r="M266" i="6"/>
  <c r="H266" i="6"/>
  <c r="E266" i="6"/>
  <c r="D254" i="6"/>
  <c r="F254" i="6"/>
  <c r="G254" i="6"/>
  <c r="E254" i="6"/>
  <c r="H254" i="6"/>
  <c r="M254" i="6"/>
  <c r="I254" i="6"/>
  <c r="C254" i="6"/>
  <c r="B254" i="6"/>
  <c r="B282" i="6"/>
  <c r="G282" i="6"/>
  <c r="F282" i="6"/>
  <c r="C282" i="6"/>
  <c r="H282" i="6"/>
  <c r="E282" i="6"/>
  <c r="I282" i="6"/>
  <c r="D282" i="6"/>
  <c r="M282" i="6"/>
  <c r="E281" i="6"/>
  <c r="G281" i="6"/>
  <c r="I281" i="6"/>
  <c r="F281" i="6"/>
  <c r="B281" i="6"/>
  <c r="H281" i="6"/>
  <c r="M281" i="6"/>
  <c r="D281" i="6"/>
  <c r="C281" i="6"/>
  <c r="C287" i="6"/>
  <c r="H287" i="6"/>
  <c r="F287" i="6"/>
  <c r="I287" i="6"/>
  <c r="E287" i="6"/>
  <c r="G287" i="6"/>
  <c r="B287" i="6"/>
  <c r="D287" i="6"/>
  <c r="M287" i="6"/>
  <c r="H233" i="6"/>
  <c r="E233" i="6"/>
  <c r="I233" i="6"/>
  <c r="G233" i="6"/>
  <c r="B233" i="6"/>
  <c r="D233" i="6"/>
  <c r="C233" i="6"/>
  <c r="M233" i="6"/>
  <c r="F233" i="6"/>
  <c r="E231" i="6"/>
  <c r="B231" i="6"/>
  <c r="H231" i="6"/>
  <c r="G231" i="6"/>
  <c r="C231" i="6"/>
  <c r="F231" i="6"/>
  <c r="D231" i="6"/>
  <c r="M231" i="6"/>
  <c r="I231" i="6"/>
  <c r="H280" i="6"/>
  <c r="F280" i="6"/>
  <c r="I280" i="6"/>
  <c r="M280" i="6"/>
  <c r="G280" i="6"/>
  <c r="E280" i="6"/>
  <c r="C280" i="6"/>
  <c r="B280" i="6"/>
  <c r="D280" i="6"/>
  <c r="F232" i="6"/>
  <c r="G232" i="6"/>
  <c r="C232" i="6"/>
  <c r="E232" i="6"/>
  <c r="M232" i="6"/>
  <c r="D232" i="6"/>
  <c r="I232" i="6"/>
  <c r="H232" i="6"/>
  <c r="B232" i="6"/>
  <c r="D260" i="6"/>
  <c r="C260" i="6"/>
  <c r="E260" i="6"/>
  <c r="F260" i="6"/>
  <c r="H260" i="6"/>
  <c r="I260" i="6"/>
  <c r="G260" i="6"/>
  <c r="M260" i="6"/>
  <c r="B260" i="6"/>
  <c r="C245" i="6"/>
  <c r="G245" i="6"/>
  <c r="I245" i="6"/>
  <c r="M245" i="6"/>
  <c r="B245" i="6"/>
  <c r="F245" i="6"/>
  <c r="H245" i="6"/>
  <c r="D245" i="6"/>
  <c r="E245" i="6"/>
  <c r="B240" i="6"/>
  <c r="I240" i="6"/>
  <c r="M240" i="6"/>
  <c r="C240" i="6"/>
  <c r="H240" i="6"/>
  <c r="D240" i="6"/>
  <c r="F240" i="6"/>
  <c r="G240" i="6"/>
  <c r="E240" i="6"/>
  <c r="E224" i="6"/>
  <c r="G224" i="6"/>
  <c r="M224" i="6"/>
  <c r="B224" i="6"/>
  <c r="F224" i="6"/>
  <c r="I224" i="6"/>
  <c r="H224" i="6"/>
  <c r="C224" i="6"/>
  <c r="D224" i="6"/>
  <c r="E289" i="6"/>
  <c r="B289" i="6"/>
  <c r="I289" i="6"/>
  <c r="G289" i="6"/>
  <c r="D289" i="6"/>
  <c r="C289" i="6"/>
  <c r="H289" i="6"/>
  <c r="M289" i="6"/>
  <c r="F289" i="6"/>
  <c r="H267" i="6"/>
  <c r="G267" i="6"/>
  <c r="F267" i="6"/>
  <c r="C267" i="6"/>
  <c r="B267" i="6"/>
  <c r="E267" i="6"/>
  <c r="I267" i="6"/>
  <c r="M267" i="6"/>
  <c r="D267" i="6"/>
  <c r="G253" i="6"/>
  <c r="B253" i="6"/>
  <c r="I253" i="6"/>
  <c r="C253" i="6"/>
  <c r="H253" i="6"/>
  <c r="F253" i="6"/>
  <c r="M253" i="6"/>
  <c r="E253" i="6"/>
  <c r="D253" i="6"/>
  <c r="E275" i="6"/>
  <c r="G275" i="6"/>
  <c r="B275" i="6"/>
  <c r="M275" i="6"/>
  <c r="I275" i="6"/>
  <c r="C275" i="6"/>
  <c r="F275" i="6"/>
  <c r="D275" i="6"/>
  <c r="H275" i="6"/>
  <c r="H238" i="6"/>
  <c r="E238" i="6"/>
  <c r="C238" i="6"/>
  <c r="I238" i="6"/>
  <c r="B238" i="6"/>
  <c r="D238" i="6"/>
  <c r="G238" i="6"/>
  <c r="F238" i="6"/>
  <c r="M238" i="6"/>
  <c r="H288" i="6"/>
  <c r="G288" i="6"/>
  <c r="I288" i="6"/>
  <c r="C288" i="6"/>
  <c r="B288" i="6"/>
  <c r="D288" i="6"/>
  <c r="F288" i="6"/>
  <c r="E288" i="6"/>
  <c r="M288" i="6"/>
  <c r="M261" i="6"/>
  <c r="G261" i="6"/>
  <c r="B261" i="6"/>
  <c r="I261" i="6"/>
  <c r="D261" i="6"/>
  <c r="E261" i="6"/>
  <c r="F261" i="6"/>
  <c r="H261" i="6"/>
  <c r="C261" i="6"/>
  <c r="D259" i="6"/>
  <c r="E259" i="6"/>
  <c r="I259" i="6"/>
  <c r="F259" i="6"/>
  <c r="G259" i="6"/>
  <c r="M259" i="6"/>
  <c r="C259" i="6"/>
  <c r="B259" i="6"/>
  <c r="H259" i="6"/>
  <c r="B268" i="6"/>
  <c r="C268" i="6"/>
  <c r="F268" i="6"/>
  <c r="M268" i="6"/>
  <c r="H268" i="6"/>
  <c r="E268" i="6"/>
  <c r="G268" i="6"/>
  <c r="D268" i="6"/>
  <c r="I268" i="6"/>
  <c r="F247" i="6"/>
  <c r="G247" i="6"/>
  <c r="D247" i="6"/>
  <c r="B247" i="6"/>
  <c r="I247" i="6"/>
  <c r="C247" i="6"/>
  <c r="M247" i="6"/>
  <c r="E247" i="6"/>
  <c r="H247" i="6"/>
  <c r="D239" i="6"/>
  <c r="E239" i="6"/>
  <c r="F239" i="6"/>
  <c r="H239" i="6"/>
  <c r="G239" i="6"/>
  <c r="M239" i="6"/>
  <c r="I239" i="6"/>
  <c r="B239" i="6"/>
  <c r="C239" i="6"/>
  <c r="Q150" i="10"/>
  <c r="R111" i="10"/>
  <c r="S111" i="10" s="1"/>
  <c r="T111" i="10" s="1"/>
  <c r="X111" i="10" s="1"/>
  <c r="BR68" i="27" s="1"/>
  <c r="U111" i="10"/>
  <c r="V111" i="10" s="1"/>
  <c r="W111" i="10" s="1"/>
  <c r="Y111" i="10" s="1"/>
  <c r="BR69" i="27" s="1"/>
  <c r="U168" i="11"/>
  <c r="V168" i="11" s="1"/>
  <c r="W168" i="11" s="1"/>
  <c r="Y168" i="11" s="1"/>
  <c r="BT90" i="20" s="1"/>
  <c r="R168" i="11"/>
  <c r="S168" i="11" s="1"/>
  <c r="T168" i="11" s="1"/>
  <c r="X168" i="11" s="1"/>
  <c r="BT89" i="20" s="1"/>
  <c r="U97" i="11"/>
  <c r="V97" i="11" s="1"/>
  <c r="W97" i="11" s="1"/>
  <c r="Y97" i="11" s="1"/>
  <c r="BT111" i="29" s="1"/>
  <c r="R97" i="11"/>
  <c r="S97" i="11" s="1"/>
  <c r="T97" i="11" s="1"/>
  <c r="X97" i="11" s="1"/>
  <c r="BT110" i="29" s="1"/>
  <c r="R87" i="11"/>
  <c r="S87" i="11" s="1"/>
  <c r="T87" i="11" s="1"/>
  <c r="X87" i="11" s="1"/>
  <c r="BT68" i="14" s="1"/>
  <c r="U87" i="11"/>
  <c r="V87" i="11" s="1"/>
  <c r="W87" i="11" s="1"/>
  <c r="Y87" i="11" s="1"/>
  <c r="BT69" i="14" s="1"/>
  <c r="E135" i="10"/>
  <c r="F135" i="10" s="1"/>
  <c r="H135" i="10" s="1"/>
  <c r="L135" i="10" s="1"/>
  <c r="BQ68" i="24" s="1"/>
  <c r="I135" i="10"/>
  <c r="J135" i="10" s="1"/>
  <c r="K135" i="10" s="1"/>
  <c r="M135" i="10" s="1"/>
  <c r="BQ69" i="24" s="1"/>
  <c r="Q166" i="10"/>
  <c r="I142" i="10"/>
  <c r="J142" i="10" s="1"/>
  <c r="K142" i="10" s="1"/>
  <c r="M142" i="10" s="1"/>
  <c r="BQ48" i="23" s="1"/>
  <c r="E142" i="10"/>
  <c r="F142" i="10" s="1"/>
  <c r="H142" i="10" s="1"/>
  <c r="L142" i="10" s="1"/>
  <c r="BQ47" i="23" s="1"/>
  <c r="I95" i="10"/>
  <c r="J95" i="10" s="1"/>
  <c r="K95" i="10" s="1"/>
  <c r="M95" i="10" s="1"/>
  <c r="BQ69" i="29" s="1"/>
  <c r="E95" i="10"/>
  <c r="F95" i="10" s="1"/>
  <c r="H95" i="10" s="1"/>
  <c r="L95" i="10" s="1"/>
  <c r="BQ68" i="29" s="1"/>
  <c r="E138" i="10"/>
  <c r="F138" i="10" s="1"/>
  <c r="H138" i="10" s="1"/>
  <c r="L138" i="10" s="1"/>
  <c r="BQ131" i="24" s="1"/>
  <c r="I138" i="10"/>
  <c r="J138" i="10" s="1"/>
  <c r="K138" i="10" s="1"/>
  <c r="M138" i="10" s="1"/>
  <c r="BQ132" i="24" s="1"/>
  <c r="I96" i="11"/>
  <c r="J96" i="11" s="1"/>
  <c r="K96" i="11" s="1"/>
  <c r="M96" i="11" s="1"/>
  <c r="BS90" i="29" s="1"/>
  <c r="E96" i="11"/>
  <c r="F96" i="11" s="1"/>
  <c r="H96" i="11" s="1"/>
  <c r="L96" i="11" s="1"/>
  <c r="BS89" i="29" s="1"/>
  <c r="Q94" i="10"/>
  <c r="U161" i="10"/>
  <c r="V161" i="10" s="1"/>
  <c r="W161" i="10" s="1"/>
  <c r="Y161" i="10" s="1"/>
  <c r="BR111" i="21" s="1"/>
  <c r="R161" i="10"/>
  <c r="S161" i="10" s="1"/>
  <c r="T161" i="10" s="1"/>
  <c r="X161" i="10" s="1"/>
  <c r="BR110" i="21" s="1"/>
  <c r="I115" i="11"/>
  <c r="J115" i="11" s="1"/>
  <c r="K115" i="11" s="1"/>
  <c r="M115" i="11" s="1"/>
  <c r="BS153" i="27" s="1"/>
  <c r="E115" i="11"/>
  <c r="F115" i="11" s="1"/>
  <c r="H115" i="11" s="1"/>
  <c r="L115" i="11" s="1"/>
  <c r="BS152" i="27" s="1"/>
  <c r="U171" i="10"/>
  <c r="V171" i="10" s="1"/>
  <c r="W171" i="10" s="1"/>
  <c r="Y171" i="10" s="1"/>
  <c r="R171" i="10"/>
  <c r="S171" i="10" s="1"/>
  <c r="T171" i="10" s="1"/>
  <c r="X171" i="10" s="1"/>
  <c r="BR152" i="20" s="1"/>
  <c r="E121" i="10"/>
  <c r="F121" i="10" s="1"/>
  <c r="H121" i="10" s="1"/>
  <c r="L121" i="10" s="1"/>
  <c r="BQ110" i="26" s="1"/>
  <c r="I121" i="10"/>
  <c r="J121" i="10" s="1"/>
  <c r="K121" i="10" s="1"/>
  <c r="M121" i="10" s="1"/>
  <c r="BQ111" i="26" s="1"/>
  <c r="I110" i="10"/>
  <c r="J110" i="10" s="1"/>
  <c r="K110" i="10" s="1"/>
  <c r="M110" i="10" s="1"/>
  <c r="BQ48" i="27" s="1"/>
  <c r="E110" i="10"/>
  <c r="F110" i="10" s="1"/>
  <c r="H110" i="10" s="1"/>
  <c r="L110" i="10" s="1"/>
  <c r="BQ47" i="27" s="1"/>
  <c r="I89" i="11"/>
  <c r="J89" i="11" s="1"/>
  <c r="K89" i="11" s="1"/>
  <c r="M89" i="11" s="1"/>
  <c r="BS111" i="14" s="1"/>
  <c r="E89" i="11"/>
  <c r="F89" i="11" s="1"/>
  <c r="H89" i="11" s="1"/>
  <c r="L89" i="11" s="1"/>
  <c r="BS110" i="14" s="1"/>
  <c r="R147" i="10"/>
  <c r="S147" i="10" s="1"/>
  <c r="T147" i="10" s="1"/>
  <c r="X147" i="10" s="1"/>
  <c r="BR152" i="23" s="1"/>
  <c r="U147" i="10"/>
  <c r="V147" i="10" s="1"/>
  <c r="W147" i="10" s="1"/>
  <c r="Y147" i="10" s="1"/>
  <c r="BR153" i="23" s="1"/>
  <c r="R95" i="11"/>
  <c r="S95" i="11" s="1"/>
  <c r="T95" i="11" s="1"/>
  <c r="X95" i="11" s="1"/>
  <c r="BT68" i="29" s="1"/>
  <c r="U95" i="11"/>
  <c r="V95" i="11" s="1"/>
  <c r="W95" i="11" s="1"/>
  <c r="Y95" i="11" s="1"/>
  <c r="BT69" i="29" s="1"/>
  <c r="R123" i="10"/>
  <c r="S123" i="10" s="1"/>
  <c r="T123" i="10" s="1"/>
  <c r="X123" i="10" s="1"/>
  <c r="BR152" i="26" s="1"/>
  <c r="U123" i="10"/>
  <c r="V123" i="10" s="1"/>
  <c r="W123" i="10" s="1"/>
  <c r="Y123" i="10" s="1"/>
  <c r="BR153" i="26" s="1"/>
  <c r="E122" i="11"/>
  <c r="F122" i="11" s="1"/>
  <c r="H122" i="11" s="1"/>
  <c r="L122" i="11" s="1"/>
  <c r="BS131" i="26" s="1"/>
  <c r="I122" i="11"/>
  <c r="J122" i="11" s="1"/>
  <c r="K122" i="11" s="1"/>
  <c r="M122" i="11" s="1"/>
  <c r="BS132" i="26" s="1"/>
  <c r="I145" i="10"/>
  <c r="J145" i="10" s="1"/>
  <c r="K145" i="10" s="1"/>
  <c r="M145" i="10" s="1"/>
  <c r="BQ111" i="23" s="1"/>
  <c r="E145" i="10"/>
  <c r="F145" i="10" s="1"/>
  <c r="H145" i="10" s="1"/>
  <c r="L145" i="10" s="1"/>
  <c r="BQ110" i="23" s="1"/>
  <c r="E163" i="10"/>
  <c r="F163" i="10" s="1"/>
  <c r="H163" i="10" s="1"/>
  <c r="L163" i="10" s="1"/>
  <c r="BQ152" i="21" s="1"/>
  <c r="I163" i="10"/>
  <c r="J163" i="10" s="1"/>
  <c r="K163" i="10" s="1"/>
  <c r="M163" i="10" s="1"/>
  <c r="BQ153" i="21" s="1"/>
  <c r="E130" i="10"/>
  <c r="F130" i="10" s="1"/>
  <c r="H130" i="10" s="1"/>
  <c r="L130" i="10" s="1"/>
  <c r="BQ131" i="25" s="1"/>
  <c r="I130" i="10"/>
  <c r="J130" i="10" s="1"/>
  <c r="K130" i="10" s="1"/>
  <c r="M130" i="10" s="1"/>
  <c r="BQ132" i="25" s="1"/>
  <c r="E160" i="10"/>
  <c r="F160" i="10" s="1"/>
  <c r="H160" i="10" s="1"/>
  <c r="L160" i="10" s="1"/>
  <c r="BQ89" i="21" s="1"/>
  <c r="I160" i="10"/>
  <c r="J160" i="10" s="1"/>
  <c r="K160" i="10" s="1"/>
  <c r="M160" i="10" s="1"/>
  <c r="BQ90" i="21" s="1"/>
  <c r="I121" i="11"/>
  <c r="J121" i="11" s="1"/>
  <c r="K121" i="11" s="1"/>
  <c r="M121" i="11" s="1"/>
  <c r="BS111" i="26" s="1"/>
  <c r="E121" i="11"/>
  <c r="F121" i="11" s="1"/>
  <c r="H121" i="11" s="1"/>
  <c r="L121" i="11" s="1"/>
  <c r="BS110" i="26" s="1"/>
  <c r="R113" i="11"/>
  <c r="S113" i="11" s="1"/>
  <c r="T113" i="11" s="1"/>
  <c r="X113" i="11" s="1"/>
  <c r="BT110" i="27" s="1"/>
  <c r="U113" i="11"/>
  <c r="V113" i="11" s="1"/>
  <c r="W113" i="11" s="1"/>
  <c r="Y113" i="11" s="1"/>
  <c r="BT111" i="27" s="1"/>
  <c r="R114" i="11"/>
  <c r="S114" i="11" s="1"/>
  <c r="T114" i="11" s="1"/>
  <c r="X114" i="11" s="1"/>
  <c r="BT131" i="27" s="1"/>
  <c r="U114" i="11"/>
  <c r="V114" i="11" s="1"/>
  <c r="W114" i="11" s="1"/>
  <c r="Y114" i="11" s="1"/>
  <c r="BT132" i="27" s="1"/>
  <c r="R135" i="10"/>
  <c r="S135" i="10" s="1"/>
  <c r="T135" i="10" s="1"/>
  <c r="X135" i="10" s="1"/>
  <c r="BR68" i="24" s="1"/>
  <c r="U135" i="10"/>
  <c r="V135" i="10" s="1"/>
  <c r="W135" i="10" s="1"/>
  <c r="Y135" i="10" s="1"/>
  <c r="BR69" i="24" s="1"/>
  <c r="I166" i="10"/>
  <c r="J166" i="10" s="1"/>
  <c r="K166" i="10" s="1"/>
  <c r="M166" i="10" s="1"/>
  <c r="BQ48" i="20" s="1"/>
  <c r="E166" i="10"/>
  <c r="F166" i="10" s="1"/>
  <c r="H166" i="10" s="1"/>
  <c r="L166" i="10" s="1"/>
  <c r="BQ47" i="20" s="1"/>
  <c r="I119" i="10"/>
  <c r="J119" i="10" s="1"/>
  <c r="K119" i="10" s="1"/>
  <c r="M119" i="10" s="1"/>
  <c r="BQ69" i="26" s="1"/>
  <c r="E119" i="10"/>
  <c r="F119" i="10" s="1"/>
  <c r="H119" i="10" s="1"/>
  <c r="L119" i="10" s="1"/>
  <c r="BQ68" i="26" s="1"/>
  <c r="R138" i="10"/>
  <c r="S138" i="10" s="1"/>
  <c r="T138" i="10" s="1"/>
  <c r="X138" i="10" s="1"/>
  <c r="BR131" i="24" s="1"/>
  <c r="U138" i="10"/>
  <c r="V138" i="10" s="1"/>
  <c r="W138" i="10" s="1"/>
  <c r="Y138" i="10" s="1"/>
  <c r="BR132" i="24" s="1"/>
  <c r="R96" i="11"/>
  <c r="S96" i="11" s="1"/>
  <c r="T96" i="11" s="1"/>
  <c r="X96" i="11" s="1"/>
  <c r="BT89" i="29" s="1"/>
  <c r="U96" i="11"/>
  <c r="V96" i="11" s="1"/>
  <c r="W96" i="11" s="1"/>
  <c r="Y96" i="11" s="1"/>
  <c r="BT90" i="29" s="1"/>
  <c r="E94" i="10"/>
  <c r="F94" i="10" s="1"/>
  <c r="H94" i="10" s="1"/>
  <c r="L94" i="10" s="1"/>
  <c r="BQ47" i="29" s="1"/>
  <c r="I94" i="10"/>
  <c r="J94" i="10" s="1"/>
  <c r="K94" i="10" s="1"/>
  <c r="M94" i="10" s="1"/>
  <c r="BQ48" i="29" s="1"/>
  <c r="I161" i="10"/>
  <c r="J161" i="10" s="1"/>
  <c r="K161" i="10" s="1"/>
  <c r="M161" i="10" s="1"/>
  <c r="BQ111" i="21" s="1"/>
  <c r="E161" i="10"/>
  <c r="F161" i="10" s="1"/>
  <c r="H161" i="10" s="1"/>
  <c r="L161" i="10" s="1"/>
  <c r="BQ110" i="21" s="1"/>
  <c r="U115" i="11"/>
  <c r="V115" i="11" s="1"/>
  <c r="W115" i="11" s="1"/>
  <c r="Y115" i="11" s="1"/>
  <c r="BT153" i="27" s="1"/>
  <c r="R115" i="11"/>
  <c r="S115" i="11" s="1"/>
  <c r="T115" i="11" s="1"/>
  <c r="X115" i="11" s="1"/>
  <c r="BT152" i="27" s="1"/>
  <c r="E171" i="10"/>
  <c r="F171" i="10" s="1"/>
  <c r="H171" i="10" s="1"/>
  <c r="L171" i="10" s="1"/>
  <c r="BQ152" i="20" s="1"/>
  <c r="I171" i="10"/>
  <c r="J171" i="10" s="1"/>
  <c r="K171" i="10" s="1"/>
  <c r="M171" i="10" s="1"/>
  <c r="BQ153" i="20" s="1"/>
  <c r="U121" i="10"/>
  <c r="V121" i="10" s="1"/>
  <c r="W121" i="10" s="1"/>
  <c r="Y121" i="10" s="1"/>
  <c r="BR111" i="26" s="1"/>
  <c r="R121" i="10"/>
  <c r="S121" i="10" s="1"/>
  <c r="T121" i="10" s="1"/>
  <c r="X121" i="10" s="1"/>
  <c r="BR110" i="26" s="1"/>
  <c r="U119" i="11"/>
  <c r="V119" i="11" s="1"/>
  <c r="W119" i="11" s="1"/>
  <c r="Y119" i="11" s="1"/>
  <c r="BT69" i="26" s="1"/>
  <c r="R119" i="11"/>
  <c r="S119" i="11" s="1"/>
  <c r="T119" i="11" s="1"/>
  <c r="X119" i="11" s="1"/>
  <c r="BT68" i="26" s="1"/>
  <c r="I129" i="10"/>
  <c r="J129" i="10" s="1"/>
  <c r="K129" i="10" s="1"/>
  <c r="M129" i="10" s="1"/>
  <c r="BQ111" i="25" s="1"/>
  <c r="E129" i="10"/>
  <c r="F129" i="10" s="1"/>
  <c r="H129" i="10" s="1"/>
  <c r="L129" i="10" s="1"/>
  <c r="BQ110" i="25" s="1"/>
  <c r="E86" i="11"/>
  <c r="F86" i="11" s="1"/>
  <c r="H86" i="11" s="1"/>
  <c r="L86" i="11" s="1"/>
  <c r="BS47" i="14" s="1"/>
  <c r="I86" i="11"/>
  <c r="J86" i="11" s="1"/>
  <c r="K86" i="11" s="1"/>
  <c r="M86" i="11" s="1"/>
  <c r="BS48" i="14" s="1"/>
  <c r="I90" i="11"/>
  <c r="J90" i="11" s="1"/>
  <c r="K90" i="11" s="1"/>
  <c r="M90" i="11" s="1"/>
  <c r="BS132" i="14" s="1"/>
  <c r="E90" i="11"/>
  <c r="F90" i="11" s="1"/>
  <c r="H90" i="11" s="1"/>
  <c r="L90" i="11" s="1"/>
  <c r="BS131" i="14" s="1"/>
  <c r="U97" i="10"/>
  <c r="V97" i="10" s="1"/>
  <c r="W97" i="10" s="1"/>
  <c r="Y97" i="10" s="1"/>
  <c r="BR111" i="29" s="1"/>
  <c r="R97" i="10"/>
  <c r="S97" i="10" s="1"/>
  <c r="T97" i="10" s="1"/>
  <c r="X97" i="10" s="1"/>
  <c r="BR110" i="29" s="1"/>
  <c r="R120" i="11"/>
  <c r="S120" i="11" s="1"/>
  <c r="T120" i="11" s="1"/>
  <c r="X120" i="11" s="1"/>
  <c r="BT89" i="26" s="1"/>
  <c r="U120" i="11"/>
  <c r="V120" i="11" s="1"/>
  <c r="W120" i="11" s="1"/>
  <c r="Y120" i="11" s="1"/>
  <c r="BT90" i="26" s="1"/>
  <c r="R145" i="10"/>
  <c r="S145" i="10" s="1"/>
  <c r="T145" i="10" s="1"/>
  <c r="X145" i="10" s="1"/>
  <c r="BR110" i="23" s="1"/>
  <c r="U145" i="10"/>
  <c r="V145" i="10" s="1"/>
  <c r="W145" i="10" s="1"/>
  <c r="Y145" i="10" s="1"/>
  <c r="BR111" i="23" s="1"/>
  <c r="U163" i="10"/>
  <c r="V163" i="10" s="1"/>
  <c r="W163" i="10" s="1"/>
  <c r="Y163" i="10" s="1"/>
  <c r="BR153" i="21" s="1"/>
  <c r="R163" i="10"/>
  <c r="S163" i="10" s="1"/>
  <c r="T163" i="10" s="1"/>
  <c r="X163" i="10" s="1"/>
  <c r="BR152" i="21" s="1"/>
  <c r="U106" i="11"/>
  <c r="V106" i="11" s="1"/>
  <c r="W106" i="11" s="1"/>
  <c r="Y106" i="11" s="1"/>
  <c r="BT132" i="28" s="1"/>
  <c r="R106" i="11"/>
  <c r="S106" i="11" s="1"/>
  <c r="T106" i="11" s="1"/>
  <c r="X106" i="11" s="1"/>
  <c r="BT131" i="28" s="1"/>
  <c r="R160" i="10"/>
  <c r="S160" i="10" s="1"/>
  <c r="T160" i="10" s="1"/>
  <c r="X160" i="10" s="1"/>
  <c r="BR89" i="21" s="1"/>
  <c r="U160" i="10"/>
  <c r="V160" i="10" s="1"/>
  <c r="W160" i="10" s="1"/>
  <c r="Y160" i="10" s="1"/>
  <c r="BR90" i="21" s="1"/>
  <c r="U121" i="11"/>
  <c r="V121" i="11" s="1"/>
  <c r="W121" i="11" s="1"/>
  <c r="Y121" i="11" s="1"/>
  <c r="BT111" i="26" s="1"/>
  <c r="R121" i="11"/>
  <c r="S121" i="11" s="1"/>
  <c r="T121" i="11" s="1"/>
  <c r="X121" i="11" s="1"/>
  <c r="BT110" i="26" s="1"/>
  <c r="I113" i="11"/>
  <c r="J113" i="11" s="1"/>
  <c r="K113" i="11" s="1"/>
  <c r="M113" i="11" s="1"/>
  <c r="BS111" i="27" s="1"/>
  <c r="E113" i="11"/>
  <c r="F113" i="11" s="1"/>
  <c r="H113" i="11" s="1"/>
  <c r="L113" i="11" s="1"/>
  <c r="BS110" i="27" s="1"/>
  <c r="I114" i="11"/>
  <c r="J114" i="11" s="1"/>
  <c r="K114" i="11" s="1"/>
  <c r="M114" i="11" s="1"/>
  <c r="BS132" i="27" s="1"/>
  <c r="E114" i="11"/>
  <c r="F114" i="11" s="1"/>
  <c r="H114" i="11" s="1"/>
  <c r="L114" i="11" s="1"/>
  <c r="BS131" i="27" s="1"/>
  <c r="R94" i="11"/>
  <c r="S94" i="11" s="1"/>
  <c r="T94" i="11" s="1"/>
  <c r="X94" i="11" s="1"/>
  <c r="BT47" i="29" s="1"/>
  <c r="U94" i="11"/>
  <c r="V94" i="11" s="1"/>
  <c r="W94" i="11" s="1"/>
  <c r="Y94" i="11" s="1"/>
  <c r="BT48" i="29" s="1"/>
  <c r="U119" i="10"/>
  <c r="V119" i="10" s="1"/>
  <c r="W119" i="10" s="1"/>
  <c r="Y119" i="10" s="1"/>
  <c r="BR69" i="26" s="1"/>
  <c r="R119" i="10"/>
  <c r="S119" i="10" s="1"/>
  <c r="T119" i="10" s="1"/>
  <c r="X119" i="10" s="1"/>
  <c r="BR68" i="26" s="1"/>
  <c r="R154" i="10"/>
  <c r="S154" i="10" s="1"/>
  <c r="T154" i="10" s="1"/>
  <c r="X154" i="10" s="1"/>
  <c r="BR131" i="22" s="1"/>
  <c r="U154" i="10"/>
  <c r="V154" i="10" s="1"/>
  <c r="W154" i="10" s="1"/>
  <c r="Y154" i="10" s="1"/>
  <c r="BR132" i="22" s="1"/>
  <c r="I88" i="10"/>
  <c r="J88" i="10" s="1"/>
  <c r="K88" i="10" s="1"/>
  <c r="M88" i="10" s="1"/>
  <c r="BQ90" i="14" s="1"/>
  <c r="E88" i="10"/>
  <c r="F88" i="10" s="1"/>
  <c r="H88" i="10" s="1"/>
  <c r="L88" i="10" s="1"/>
  <c r="BQ89" i="14" s="1"/>
  <c r="R167" i="11"/>
  <c r="S167" i="11" s="1"/>
  <c r="T167" i="11" s="1"/>
  <c r="X167" i="11" s="1"/>
  <c r="BT68" i="20" s="1"/>
  <c r="U167" i="11"/>
  <c r="V167" i="11" s="1"/>
  <c r="W167" i="11" s="1"/>
  <c r="Y167" i="11" s="1"/>
  <c r="BT69" i="20" s="1"/>
  <c r="E107" i="10"/>
  <c r="F107" i="10" s="1"/>
  <c r="H107" i="10" s="1"/>
  <c r="L107" i="10" s="1"/>
  <c r="BQ152" i="28" s="1"/>
  <c r="I107" i="10"/>
  <c r="J107" i="10" s="1"/>
  <c r="K107" i="10" s="1"/>
  <c r="M107" i="10" s="1"/>
  <c r="BQ153" i="28" s="1"/>
  <c r="R136" i="10"/>
  <c r="S136" i="10" s="1"/>
  <c r="T136" i="10" s="1"/>
  <c r="X136" i="10" s="1"/>
  <c r="BR89" i="24" s="1"/>
  <c r="U136" i="10"/>
  <c r="V136" i="10" s="1"/>
  <c r="W136" i="10" s="1"/>
  <c r="Y136" i="10" s="1"/>
  <c r="BR90" i="24" s="1"/>
  <c r="I162" i="10"/>
  <c r="J162" i="10" s="1"/>
  <c r="K162" i="10" s="1"/>
  <c r="M162" i="10" s="1"/>
  <c r="BQ132" i="21" s="1"/>
  <c r="E162" i="10"/>
  <c r="F162" i="10" s="1"/>
  <c r="H162" i="10" s="1"/>
  <c r="L162" i="10" s="1"/>
  <c r="BQ131" i="21" s="1"/>
  <c r="I111" i="11"/>
  <c r="J111" i="11" s="1"/>
  <c r="K111" i="11" s="1"/>
  <c r="M111" i="11" s="1"/>
  <c r="BS69" i="27" s="1"/>
  <c r="E111" i="11"/>
  <c r="F111" i="11" s="1"/>
  <c r="H111" i="11" s="1"/>
  <c r="L111" i="11" s="1"/>
  <c r="BS68" i="27" s="1"/>
  <c r="E119" i="11"/>
  <c r="F119" i="11" s="1"/>
  <c r="H119" i="11" s="1"/>
  <c r="L119" i="11" s="1"/>
  <c r="BS68" i="26" s="1"/>
  <c r="I119" i="11"/>
  <c r="J119" i="11" s="1"/>
  <c r="K119" i="11" s="1"/>
  <c r="M119" i="11" s="1"/>
  <c r="BS69" i="26" s="1"/>
  <c r="U129" i="10"/>
  <c r="V129" i="10" s="1"/>
  <c r="W129" i="10" s="1"/>
  <c r="Y129" i="10" s="1"/>
  <c r="BR111" i="25" s="1"/>
  <c r="R129" i="10"/>
  <c r="S129" i="10" s="1"/>
  <c r="T129" i="10" s="1"/>
  <c r="X129" i="10" s="1"/>
  <c r="BR110" i="25" s="1"/>
  <c r="U86" i="11"/>
  <c r="V86" i="11" s="1"/>
  <c r="W86" i="11" s="1"/>
  <c r="Y86" i="11" s="1"/>
  <c r="BT48" i="14" s="1"/>
  <c r="R86" i="11"/>
  <c r="S86" i="11" s="1"/>
  <c r="T86" i="11" s="1"/>
  <c r="X86" i="11" s="1"/>
  <c r="BT47" i="14" s="1"/>
  <c r="R90" i="11"/>
  <c r="S90" i="11" s="1"/>
  <c r="T90" i="11" s="1"/>
  <c r="X90" i="11" s="1"/>
  <c r="BT131" i="14" s="1"/>
  <c r="U90" i="11"/>
  <c r="V90" i="11" s="1"/>
  <c r="W90" i="11" s="1"/>
  <c r="Y90" i="11" s="1"/>
  <c r="BT132" i="14" s="1"/>
  <c r="I97" i="10"/>
  <c r="J97" i="10" s="1"/>
  <c r="K97" i="10" s="1"/>
  <c r="M97" i="10" s="1"/>
  <c r="BQ111" i="29" s="1"/>
  <c r="E97" i="10"/>
  <c r="F97" i="10" s="1"/>
  <c r="H97" i="10" s="1"/>
  <c r="L97" i="10" s="1"/>
  <c r="BQ110" i="29" s="1"/>
  <c r="I120" i="11"/>
  <c r="J120" i="11" s="1"/>
  <c r="K120" i="11" s="1"/>
  <c r="M120" i="11" s="1"/>
  <c r="BS90" i="26" s="1"/>
  <c r="E120" i="11"/>
  <c r="F120" i="11" s="1"/>
  <c r="H120" i="11" s="1"/>
  <c r="L120" i="11" s="1"/>
  <c r="BS89" i="26" s="1"/>
  <c r="E105" i="11"/>
  <c r="F105" i="11" s="1"/>
  <c r="H105" i="11" s="1"/>
  <c r="L105" i="11" s="1"/>
  <c r="BS110" i="28" s="1"/>
  <c r="I105" i="11"/>
  <c r="J105" i="11" s="1"/>
  <c r="K105" i="11" s="1"/>
  <c r="M105" i="11" s="1"/>
  <c r="BS111" i="28" s="1"/>
  <c r="E155" i="10"/>
  <c r="F155" i="10" s="1"/>
  <c r="H155" i="10" s="1"/>
  <c r="L155" i="10" s="1"/>
  <c r="BQ152" i="22" s="1"/>
  <c r="I155" i="10"/>
  <c r="J155" i="10" s="1"/>
  <c r="K155" i="10" s="1"/>
  <c r="M155" i="10" s="1"/>
  <c r="BQ153" i="22" s="1"/>
  <c r="U120" i="10"/>
  <c r="V120" i="10" s="1"/>
  <c r="W120" i="10" s="1"/>
  <c r="Y120" i="10" s="1"/>
  <c r="BR90" i="26" s="1"/>
  <c r="R120" i="10"/>
  <c r="S120" i="10" s="1"/>
  <c r="T120" i="10" s="1"/>
  <c r="X120" i="10" s="1"/>
  <c r="BR89" i="26" s="1"/>
  <c r="U118" i="11"/>
  <c r="V118" i="11" s="1"/>
  <c r="W118" i="11" s="1"/>
  <c r="Y118" i="11" s="1"/>
  <c r="BT48" i="26" s="1"/>
  <c r="R118" i="11"/>
  <c r="S118" i="11" s="1"/>
  <c r="T118" i="11" s="1"/>
  <c r="X118" i="11" s="1"/>
  <c r="BT47" i="26" s="1"/>
  <c r="U107" i="11"/>
  <c r="V107" i="11" s="1"/>
  <c r="W107" i="11" s="1"/>
  <c r="Y107" i="11" s="1"/>
  <c r="BT153" i="28" s="1"/>
  <c r="R107" i="11"/>
  <c r="S107" i="11" s="1"/>
  <c r="T107" i="11" s="1"/>
  <c r="X107" i="11" s="1"/>
  <c r="BT152" i="28" s="1"/>
  <c r="U114" i="10"/>
  <c r="V114" i="10" s="1"/>
  <c r="W114" i="10" s="1"/>
  <c r="Y114" i="10" s="1"/>
  <c r="BR132" i="27" s="1"/>
  <c r="R114" i="10"/>
  <c r="S114" i="10" s="1"/>
  <c r="T114" i="10" s="1"/>
  <c r="X114" i="10" s="1"/>
  <c r="BR131" i="27" s="1"/>
  <c r="R168" i="10"/>
  <c r="S168" i="10" s="1"/>
  <c r="T168" i="10" s="1"/>
  <c r="X168" i="10" s="1"/>
  <c r="BR89" i="20" s="1"/>
  <c r="U168" i="10"/>
  <c r="V168" i="10" s="1"/>
  <c r="W168" i="10" s="1"/>
  <c r="Y168" i="10" s="1"/>
  <c r="BR90" i="20" s="1"/>
  <c r="I94" i="11"/>
  <c r="J94" i="11" s="1"/>
  <c r="K94" i="11" s="1"/>
  <c r="M94" i="11" s="1"/>
  <c r="BS48" i="29" s="1"/>
  <c r="E94" i="11"/>
  <c r="F94" i="11" s="1"/>
  <c r="H94" i="11" s="1"/>
  <c r="L94" i="11" s="1"/>
  <c r="BS47" i="29" s="1"/>
  <c r="R106" i="10"/>
  <c r="S106" i="10" s="1"/>
  <c r="T106" i="10" s="1"/>
  <c r="X106" i="10" s="1"/>
  <c r="BR131" i="28" s="1"/>
  <c r="U106" i="10"/>
  <c r="V106" i="10" s="1"/>
  <c r="W106" i="10" s="1"/>
  <c r="Y106" i="10" s="1"/>
  <c r="BR132" i="28" s="1"/>
  <c r="E154" i="10"/>
  <c r="F154" i="10" s="1"/>
  <c r="H154" i="10" s="1"/>
  <c r="L154" i="10" s="1"/>
  <c r="BQ131" i="22" s="1"/>
  <c r="I154" i="10"/>
  <c r="J154" i="10" s="1"/>
  <c r="K154" i="10" s="1"/>
  <c r="M154" i="10" s="1"/>
  <c r="BQ132" i="22" s="1"/>
  <c r="R88" i="10"/>
  <c r="S88" i="10" s="1"/>
  <c r="T88" i="10" s="1"/>
  <c r="X88" i="10" s="1"/>
  <c r="BR89" i="14" s="1"/>
  <c r="U88" i="10"/>
  <c r="V88" i="10" s="1"/>
  <c r="W88" i="10" s="1"/>
  <c r="Y88" i="10" s="1"/>
  <c r="BR90" i="14" s="1"/>
  <c r="E167" i="11"/>
  <c r="F167" i="11" s="1"/>
  <c r="H167" i="11" s="1"/>
  <c r="L167" i="11" s="1"/>
  <c r="BS68" i="20" s="1"/>
  <c r="I167" i="11"/>
  <c r="J167" i="11" s="1"/>
  <c r="K167" i="11" s="1"/>
  <c r="M167" i="11" s="1"/>
  <c r="BS69" i="20" s="1"/>
  <c r="R107" i="10"/>
  <c r="S107" i="10" s="1"/>
  <c r="T107" i="10" s="1"/>
  <c r="X107" i="10" s="1"/>
  <c r="BR152" i="28" s="1"/>
  <c r="U107" i="10"/>
  <c r="V107" i="10" s="1"/>
  <c r="W107" i="10" s="1"/>
  <c r="Y107" i="10" s="1"/>
  <c r="BR153" i="28" s="1"/>
  <c r="I136" i="10"/>
  <c r="J136" i="10" s="1"/>
  <c r="K136" i="10" s="1"/>
  <c r="M136" i="10" s="1"/>
  <c r="BQ90" i="24" s="1"/>
  <c r="E136" i="10"/>
  <c r="F136" i="10" s="1"/>
  <c r="H136" i="10" s="1"/>
  <c r="L136" i="10" s="1"/>
  <c r="BQ89" i="24" s="1"/>
  <c r="U162" i="10"/>
  <c r="V162" i="10" s="1"/>
  <c r="W162" i="10" s="1"/>
  <c r="Y162" i="10" s="1"/>
  <c r="BR132" i="21" s="1"/>
  <c r="R162" i="10"/>
  <c r="S162" i="10" s="1"/>
  <c r="T162" i="10" s="1"/>
  <c r="X162" i="10" s="1"/>
  <c r="BR131" i="21" s="1"/>
  <c r="R111" i="11"/>
  <c r="S111" i="11" s="1"/>
  <c r="T111" i="11" s="1"/>
  <c r="X111" i="11" s="1"/>
  <c r="BT68" i="27" s="1"/>
  <c r="U111" i="11"/>
  <c r="V111" i="11" s="1"/>
  <c r="W111" i="11" s="1"/>
  <c r="Y111" i="11" s="1"/>
  <c r="BT69" i="27" s="1"/>
  <c r="E102" i="10"/>
  <c r="F102" i="10" s="1"/>
  <c r="H102" i="10" s="1"/>
  <c r="L102" i="10" s="1"/>
  <c r="BQ47" i="28" s="1"/>
  <c r="I102" i="10"/>
  <c r="J102" i="10" s="1"/>
  <c r="K102" i="10" s="1"/>
  <c r="M102" i="10" s="1"/>
  <c r="BQ48" i="28" s="1"/>
  <c r="E159" i="10"/>
  <c r="F159" i="10" s="1"/>
  <c r="H159" i="10" s="1"/>
  <c r="L159" i="10" s="1"/>
  <c r="BQ68" i="21" s="1"/>
  <c r="I159" i="10"/>
  <c r="J159" i="10" s="1"/>
  <c r="K159" i="10" s="1"/>
  <c r="M159" i="10" s="1"/>
  <c r="BQ69" i="21" s="1"/>
  <c r="I99" i="10"/>
  <c r="J99" i="10" s="1"/>
  <c r="K99" i="10" s="1"/>
  <c r="M99" i="10" s="1"/>
  <c r="BQ153" i="29" s="1"/>
  <c r="E99" i="10"/>
  <c r="F99" i="10" s="1"/>
  <c r="H99" i="10" s="1"/>
  <c r="L99" i="10" s="1"/>
  <c r="BQ152" i="29" s="1"/>
  <c r="I170" i="10"/>
  <c r="J170" i="10" s="1"/>
  <c r="K170" i="10" s="1"/>
  <c r="M170" i="10" s="1"/>
  <c r="BQ132" i="20" s="1"/>
  <c r="E170" i="10"/>
  <c r="F170" i="10" s="1"/>
  <c r="H170" i="10" s="1"/>
  <c r="L170" i="10" s="1"/>
  <c r="BQ131" i="20" s="1"/>
  <c r="U115" i="10"/>
  <c r="V115" i="10" s="1"/>
  <c r="W115" i="10" s="1"/>
  <c r="Y115" i="10" s="1"/>
  <c r="BR153" i="27" s="1"/>
  <c r="R115" i="10"/>
  <c r="S115" i="10" s="1"/>
  <c r="T115" i="10" s="1"/>
  <c r="X115" i="10" s="1"/>
  <c r="BR152" i="27" s="1"/>
  <c r="I127" i="10"/>
  <c r="J127" i="10" s="1"/>
  <c r="K127" i="10" s="1"/>
  <c r="M127" i="10" s="1"/>
  <c r="BQ69" i="25" s="1"/>
  <c r="E127" i="10"/>
  <c r="F127" i="10" s="1"/>
  <c r="H127" i="10" s="1"/>
  <c r="L127" i="10" s="1"/>
  <c r="BQ68" i="25" s="1"/>
  <c r="U112" i="11"/>
  <c r="V112" i="11" s="1"/>
  <c r="W112" i="11" s="1"/>
  <c r="Y112" i="11" s="1"/>
  <c r="BT90" i="27" s="1"/>
  <c r="R112" i="11"/>
  <c r="S112" i="11" s="1"/>
  <c r="T112" i="11" s="1"/>
  <c r="X112" i="11" s="1"/>
  <c r="BT89" i="27" s="1"/>
  <c r="R105" i="11"/>
  <c r="S105" i="11" s="1"/>
  <c r="T105" i="11" s="1"/>
  <c r="X105" i="11" s="1"/>
  <c r="BT110" i="28" s="1"/>
  <c r="U105" i="11"/>
  <c r="V105" i="11" s="1"/>
  <c r="W105" i="11" s="1"/>
  <c r="Y105" i="11" s="1"/>
  <c r="BT111" i="28" s="1"/>
  <c r="U155" i="10"/>
  <c r="V155" i="10" s="1"/>
  <c r="W155" i="10" s="1"/>
  <c r="Y155" i="10" s="1"/>
  <c r="BR153" i="22" s="1"/>
  <c r="R155" i="10"/>
  <c r="S155" i="10" s="1"/>
  <c r="T155" i="10" s="1"/>
  <c r="X155" i="10" s="1"/>
  <c r="BR152" i="22" s="1"/>
  <c r="I120" i="10"/>
  <c r="J120" i="10" s="1"/>
  <c r="K120" i="10" s="1"/>
  <c r="M120" i="10" s="1"/>
  <c r="BQ90" i="26" s="1"/>
  <c r="E120" i="10"/>
  <c r="F120" i="10" s="1"/>
  <c r="H120" i="10" s="1"/>
  <c r="L120" i="10" s="1"/>
  <c r="BQ89" i="26" s="1"/>
  <c r="I118" i="11"/>
  <c r="J118" i="11" s="1"/>
  <c r="K118" i="11" s="1"/>
  <c r="M118" i="11" s="1"/>
  <c r="BS48" i="26" s="1"/>
  <c r="E118" i="11"/>
  <c r="F118" i="11" s="1"/>
  <c r="H118" i="11" s="1"/>
  <c r="L118" i="11" s="1"/>
  <c r="BS47" i="26" s="1"/>
  <c r="I123" i="11"/>
  <c r="J123" i="11" s="1"/>
  <c r="K123" i="11" s="1"/>
  <c r="M123" i="11" s="1"/>
  <c r="BS153" i="26" s="1"/>
  <c r="E123" i="11"/>
  <c r="F123" i="11" s="1"/>
  <c r="H123" i="11" s="1"/>
  <c r="L123" i="11" s="1"/>
  <c r="BS152" i="26" s="1"/>
  <c r="I113" i="10"/>
  <c r="J113" i="10" s="1"/>
  <c r="K113" i="10" s="1"/>
  <c r="M113" i="10" s="1"/>
  <c r="BQ111" i="27" s="1"/>
  <c r="E113" i="10"/>
  <c r="F113" i="10" s="1"/>
  <c r="H113" i="10" s="1"/>
  <c r="L113" i="10" s="1"/>
  <c r="BQ110" i="27" s="1"/>
  <c r="I170" i="11"/>
  <c r="J170" i="11" s="1"/>
  <c r="K170" i="11" s="1"/>
  <c r="M170" i="11" s="1"/>
  <c r="BS132" i="20" s="1"/>
  <c r="E170" i="11"/>
  <c r="F170" i="11" s="1"/>
  <c r="H170" i="11" s="1"/>
  <c r="L170" i="11" s="1"/>
  <c r="BS131" i="20" s="1"/>
  <c r="U123" i="11"/>
  <c r="V123" i="11" s="1"/>
  <c r="W123" i="11" s="1"/>
  <c r="Y123" i="11" s="1"/>
  <c r="BT153" i="26" s="1"/>
  <c r="R123" i="11"/>
  <c r="S123" i="11" s="1"/>
  <c r="T123" i="11" s="1"/>
  <c r="X123" i="11" s="1"/>
  <c r="BT152" i="26" s="1"/>
  <c r="I107" i="11"/>
  <c r="J107" i="11" s="1"/>
  <c r="K107" i="11" s="1"/>
  <c r="M107" i="11" s="1"/>
  <c r="BS153" i="28" s="1"/>
  <c r="E107" i="11"/>
  <c r="F107" i="11" s="1"/>
  <c r="H107" i="11" s="1"/>
  <c r="L107" i="11" s="1"/>
  <c r="BS152" i="28" s="1"/>
  <c r="R113" i="10"/>
  <c r="S113" i="10" s="1"/>
  <c r="T113" i="10" s="1"/>
  <c r="X113" i="10" s="1"/>
  <c r="BR110" i="27" s="1"/>
  <c r="U113" i="10"/>
  <c r="V113" i="10" s="1"/>
  <c r="W113" i="10" s="1"/>
  <c r="Y113" i="10" s="1"/>
  <c r="BR111" i="27" s="1"/>
  <c r="E114" i="10"/>
  <c r="F114" i="10" s="1"/>
  <c r="H114" i="10" s="1"/>
  <c r="L114" i="10" s="1"/>
  <c r="BQ131" i="27" s="1"/>
  <c r="I114" i="10"/>
  <c r="J114" i="10" s="1"/>
  <c r="K114" i="10" s="1"/>
  <c r="M114" i="10" s="1"/>
  <c r="BQ132" i="27" s="1"/>
  <c r="I168" i="10"/>
  <c r="J168" i="10" s="1"/>
  <c r="K168" i="10" s="1"/>
  <c r="M168" i="10" s="1"/>
  <c r="BQ90" i="20" s="1"/>
  <c r="E168" i="10"/>
  <c r="F168" i="10" s="1"/>
  <c r="H168" i="10" s="1"/>
  <c r="L168" i="10" s="1"/>
  <c r="BQ89" i="20" s="1"/>
  <c r="I106" i="10"/>
  <c r="J106" i="10" s="1"/>
  <c r="K106" i="10" s="1"/>
  <c r="M106" i="10" s="1"/>
  <c r="BQ132" i="28" s="1"/>
  <c r="E106" i="10"/>
  <c r="F106" i="10" s="1"/>
  <c r="H106" i="10" s="1"/>
  <c r="L106" i="10" s="1"/>
  <c r="BQ131" i="28" s="1"/>
  <c r="E103" i="10"/>
  <c r="F103" i="10" s="1"/>
  <c r="H103" i="10" s="1"/>
  <c r="L103" i="10" s="1"/>
  <c r="BQ68" i="28" s="1"/>
  <c r="I103" i="10"/>
  <c r="J103" i="10" s="1"/>
  <c r="K103" i="10" s="1"/>
  <c r="M103" i="10" s="1"/>
  <c r="BQ69" i="28" s="1"/>
  <c r="Q134" i="10"/>
  <c r="E137" i="10"/>
  <c r="F137" i="10" s="1"/>
  <c r="H137" i="10" s="1"/>
  <c r="L137" i="10" s="1"/>
  <c r="BQ110" i="24" s="1"/>
  <c r="I137" i="10"/>
  <c r="J137" i="10" s="1"/>
  <c r="K137" i="10" s="1"/>
  <c r="M137" i="10" s="1"/>
  <c r="BQ111" i="24" s="1"/>
  <c r="U153" i="10"/>
  <c r="V153" i="10" s="1"/>
  <c r="W153" i="10" s="1"/>
  <c r="Y153" i="10" s="1"/>
  <c r="BR111" i="22" s="1"/>
  <c r="R153" i="10"/>
  <c r="S153" i="10" s="1"/>
  <c r="T153" i="10" s="1"/>
  <c r="X153" i="10" s="1"/>
  <c r="BR110" i="22" s="1"/>
  <c r="U169" i="10"/>
  <c r="V169" i="10" s="1"/>
  <c r="W169" i="10" s="1"/>
  <c r="Y169" i="10" s="1"/>
  <c r="BR111" i="20" s="1"/>
  <c r="R169" i="10"/>
  <c r="S169" i="10" s="1"/>
  <c r="T169" i="10" s="1"/>
  <c r="X169" i="10" s="1"/>
  <c r="BR110" i="20" s="1"/>
  <c r="U103" i="11"/>
  <c r="V103" i="11" s="1"/>
  <c r="W103" i="11" s="1"/>
  <c r="Y103" i="11" s="1"/>
  <c r="BT69" i="28" s="1"/>
  <c r="R103" i="11"/>
  <c r="S103" i="11" s="1"/>
  <c r="T103" i="11" s="1"/>
  <c r="X103" i="11" s="1"/>
  <c r="BT68" i="28" s="1"/>
  <c r="E104" i="11"/>
  <c r="F104" i="11" s="1"/>
  <c r="H104" i="11" s="1"/>
  <c r="L104" i="11" s="1"/>
  <c r="BS89" i="28" s="1"/>
  <c r="I104" i="11"/>
  <c r="J104" i="11" s="1"/>
  <c r="K104" i="11" s="1"/>
  <c r="M104" i="11" s="1"/>
  <c r="BS90" i="28" s="1"/>
  <c r="Q102" i="10"/>
  <c r="U159" i="10"/>
  <c r="V159" i="10" s="1"/>
  <c r="W159" i="10" s="1"/>
  <c r="Y159" i="10" s="1"/>
  <c r="BR69" i="21" s="1"/>
  <c r="R159" i="10"/>
  <c r="S159" i="10" s="1"/>
  <c r="T159" i="10" s="1"/>
  <c r="X159" i="10" s="1"/>
  <c r="BR68" i="21" s="1"/>
  <c r="R99" i="10"/>
  <c r="S99" i="10" s="1"/>
  <c r="T99" i="10" s="1"/>
  <c r="X99" i="10" s="1"/>
  <c r="BR152" i="29" s="1"/>
  <c r="U99" i="10"/>
  <c r="V99" i="10" s="1"/>
  <c r="W99" i="10" s="1"/>
  <c r="Y99" i="10" s="1"/>
  <c r="BR153" i="29" s="1"/>
  <c r="R170" i="10"/>
  <c r="S170" i="10" s="1"/>
  <c r="T170" i="10" s="1"/>
  <c r="X170" i="10" s="1"/>
  <c r="BR131" i="20" s="1"/>
  <c r="U170" i="10"/>
  <c r="V170" i="10" s="1"/>
  <c r="W170" i="10" s="1"/>
  <c r="Y170" i="10" s="1"/>
  <c r="BR132" i="20" s="1"/>
  <c r="I115" i="10"/>
  <c r="J115" i="10" s="1"/>
  <c r="K115" i="10" s="1"/>
  <c r="M115" i="10" s="1"/>
  <c r="BQ153" i="27" s="1"/>
  <c r="E115" i="10"/>
  <c r="F115" i="10" s="1"/>
  <c r="H115" i="10" s="1"/>
  <c r="L115" i="10" s="1"/>
  <c r="BQ152" i="27" s="1"/>
  <c r="R127" i="10"/>
  <c r="S127" i="10" s="1"/>
  <c r="T127" i="10" s="1"/>
  <c r="X127" i="10" s="1"/>
  <c r="BR68" i="25" s="1"/>
  <c r="U127" i="10"/>
  <c r="V127" i="10" s="1"/>
  <c r="W127" i="10" s="1"/>
  <c r="Y127" i="10" s="1"/>
  <c r="BR69" i="25" s="1"/>
  <c r="I112" i="11"/>
  <c r="J112" i="11" s="1"/>
  <c r="K112" i="11" s="1"/>
  <c r="M112" i="11" s="1"/>
  <c r="BS90" i="27" s="1"/>
  <c r="E112" i="11"/>
  <c r="F112" i="11" s="1"/>
  <c r="H112" i="11" s="1"/>
  <c r="L112" i="11" s="1"/>
  <c r="BS89" i="27" s="1"/>
  <c r="U167" i="10"/>
  <c r="V167" i="10" s="1"/>
  <c r="W167" i="10" s="1"/>
  <c r="Y167" i="10" s="1"/>
  <c r="BR69" i="20" s="1"/>
  <c r="R167" i="10"/>
  <c r="S167" i="10" s="1"/>
  <c r="T167" i="10" s="1"/>
  <c r="X167" i="10" s="1"/>
  <c r="BR68" i="20" s="1"/>
  <c r="U91" i="10"/>
  <c r="V91" i="10" s="1"/>
  <c r="W91" i="10" s="1"/>
  <c r="Y91" i="10" s="1"/>
  <c r="BR153" i="14" s="1"/>
  <c r="R91" i="10"/>
  <c r="S91" i="10" s="1"/>
  <c r="T91" i="10" s="1"/>
  <c r="X91" i="10" s="1"/>
  <c r="BR152" i="14" s="1"/>
  <c r="E104" i="10"/>
  <c r="F104" i="10" s="1"/>
  <c r="H104" i="10" s="1"/>
  <c r="L104" i="10" s="1"/>
  <c r="BQ89" i="28" s="1"/>
  <c r="I104" i="10"/>
  <c r="J104" i="10" s="1"/>
  <c r="K104" i="10" s="1"/>
  <c r="M104" i="10" s="1"/>
  <c r="BQ90" i="28" s="1"/>
  <c r="R105" i="10"/>
  <c r="S105" i="10" s="1"/>
  <c r="T105" i="10" s="1"/>
  <c r="X105" i="10" s="1"/>
  <c r="BR110" i="28" s="1"/>
  <c r="U105" i="10"/>
  <c r="V105" i="10" s="1"/>
  <c r="W105" i="10" s="1"/>
  <c r="Y105" i="10" s="1"/>
  <c r="BR111" i="28" s="1"/>
  <c r="R170" i="11"/>
  <c r="S170" i="11" s="1"/>
  <c r="T170" i="11" s="1"/>
  <c r="X170" i="11" s="1"/>
  <c r="BT131" i="20" s="1"/>
  <c r="U170" i="11"/>
  <c r="V170" i="11" s="1"/>
  <c r="W170" i="11" s="1"/>
  <c r="Y170" i="11" s="1"/>
  <c r="BT132" i="20" s="1"/>
  <c r="R98" i="11"/>
  <c r="S98" i="11" s="1"/>
  <c r="T98" i="11" s="1"/>
  <c r="X98" i="11" s="1"/>
  <c r="BT131" i="29" s="1"/>
  <c r="U98" i="11"/>
  <c r="V98" i="11" s="1"/>
  <c r="W98" i="11" s="1"/>
  <c r="Y98" i="11" s="1"/>
  <c r="BT132" i="29" s="1"/>
  <c r="I90" i="10"/>
  <c r="J90" i="10" s="1"/>
  <c r="K90" i="10" s="1"/>
  <c r="M90" i="10" s="1"/>
  <c r="BQ132" i="14" s="1"/>
  <c r="E90" i="10"/>
  <c r="F90" i="10" s="1"/>
  <c r="H90" i="10" s="1"/>
  <c r="L90" i="10" s="1"/>
  <c r="BQ131" i="14" s="1"/>
  <c r="I112" i="10"/>
  <c r="J112" i="10" s="1"/>
  <c r="K112" i="10" s="1"/>
  <c r="M112" i="10" s="1"/>
  <c r="BQ90" i="27" s="1"/>
  <c r="E112" i="10"/>
  <c r="F112" i="10" s="1"/>
  <c r="H112" i="10" s="1"/>
  <c r="L112" i="10" s="1"/>
  <c r="BQ89" i="27" s="1"/>
  <c r="E126" i="10"/>
  <c r="F126" i="10" s="1"/>
  <c r="I126" i="10"/>
  <c r="J126" i="10" s="1"/>
  <c r="K126" i="10" s="1"/>
  <c r="M126" i="10" s="1"/>
  <c r="BQ48" i="25" s="1"/>
  <c r="U98" i="10"/>
  <c r="V98" i="10" s="1"/>
  <c r="W98" i="10" s="1"/>
  <c r="Y98" i="10" s="1"/>
  <c r="BR132" i="29" s="1"/>
  <c r="R98" i="10"/>
  <c r="S98" i="10" s="1"/>
  <c r="T98" i="10" s="1"/>
  <c r="X98" i="10" s="1"/>
  <c r="BR131" i="29" s="1"/>
  <c r="I88" i="11"/>
  <c r="J88" i="11" s="1"/>
  <c r="K88" i="11" s="1"/>
  <c r="M88" i="11" s="1"/>
  <c r="BS90" i="14" s="1"/>
  <c r="E88" i="11"/>
  <c r="F88" i="11" s="1"/>
  <c r="H88" i="11" s="1"/>
  <c r="L88" i="11" s="1"/>
  <c r="BS89" i="14" s="1"/>
  <c r="E143" i="10"/>
  <c r="F143" i="10" s="1"/>
  <c r="H143" i="10" s="1"/>
  <c r="L143" i="10" s="1"/>
  <c r="BQ68" i="23" s="1"/>
  <c r="I143" i="10"/>
  <c r="J143" i="10" s="1"/>
  <c r="K143" i="10" s="1"/>
  <c r="M143" i="10" s="1"/>
  <c r="BQ69" i="23" s="1"/>
  <c r="U103" i="10"/>
  <c r="V103" i="10" s="1"/>
  <c r="W103" i="10" s="1"/>
  <c r="Y103" i="10" s="1"/>
  <c r="BR69" i="28" s="1"/>
  <c r="R103" i="10"/>
  <c r="S103" i="10" s="1"/>
  <c r="T103" i="10" s="1"/>
  <c r="X103" i="10" s="1"/>
  <c r="BR68" i="28" s="1"/>
  <c r="I110" i="11"/>
  <c r="J110" i="11" s="1"/>
  <c r="K110" i="11" s="1"/>
  <c r="M110" i="11" s="1"/>
  <c r="BS48" i="27" s="1"/>
  <c r="E110" i="11"/>
  <c r="F110" i="11" s="1"/>
  <c r="H110" i="11" s="1"/>
  <c r="L110" i="11" s="1"/>
  <c r="BS47" i="27" s="1"/>
  <c r="I134" i="10"/>
  <c r="J134" i="10" s="1"/>
  <c r="K134" i="10" s="1"/>
  <c r="M134" i="10" s="1"/>
  <c r="BQ48" i="24" s="1"/>
  <c r="E134" i="10"/>
  <c r="F134" i="10" s="1"/>
  <c r="H134" i="10" s="1"/>
  <c r="L134" i="10" s="1"/>
  <c r="BQ47" i="24" s="1"/>
  <c r="R137" i="10"/>
  <c r="S137" i="10" s="1"/>
  <c r="T137" i="10" s="1"/>
  <c r="X137" i="10" s="1"/>
  <c r="BR110" i="24" s="1"/>
  <c r="U137" i="10"/>
  <c r="V137" i="10" s="1"/>
  <c r="W137" i="10" s="1"/>
  <c r="Y137" i="10" s="1"/>
  <c r="BR111" i="24" s="1"/>
  <c r="E153" i="10"/>
  <c r="F153" i="10" s="1"/>
  <c r="H153" i="10" s="1"/>
  <c r="L153" i="10" s="1"/>
  <c r="BQ110" i="22" s="1"/>
  <c r="I153" i="10"/>
  <c r="J153" i="10" s="1"/>
  <c r="K153" i="10" s="1"/>
  <c r="M153" i="10" s="1"/>
  <c r="BQ111" i="22" s="1"/>
  <c r="E158" i="10"/>
  <c r="F158" i="10" s="1"/>
  <c r="H158" i="10" s="1"/>
  <c r="L158" i="10" s="1"/>
  <c r="BQ47" i="21" s="1"/>
  <c r="I158" i="10"/>
  <c r="J158" i="10" s="1"/>
  <c r="K158" i="10" s="1"/>
  <c r="M158" i="10" s="1"/>
  <c r="BQ48" i="21" s="1"/>
  <c r="I169" i="10"/>
  <c r="J169" i="10" s="1"/>
  <c r="K169" i="10" s="1"/>
  <c r="M169" i="10" s="1"/>
  <c r="BQ111" i="20" s="1"/>
  <c r="E169" i="10"/>
  <c r="F169" i="10" s="1"/>
  <c r="H169" i="10" s="1"/>
  <c r="L169" i="10" s="1"/>
  <c r="BQ110" i="20" s="1"/>
  <c r="I103" i="11"/>
  <c r="J103" i="11" s="1"/>
  <c r="K103" i="11" s="1"/>
  <c r="M103" i="11" s="1"/>
  <c r="BS69" i="28" s="1"/>
  <c r="E103" i="11"/>
  <c r="F103" i="11" s="1"/>
  <c r="H103" i="11" s="1"/>
  <c r="L103" i="11" s="1"/>
  <c r="BS68" i="28" s="1"/>
  <c r="U104" i="11"/>
  <c r="V104" i="11" s="1"/>
  <c r="W104" i="11" s="1"/>
  <c r="Y104" i="11" s="1"/>
  <c r="BT90" i="28" s="1"/>
  <c r="R104" i="11"/>
  <c r="S104" i="11" s="1"/>
  <c r="T104" i="11" s="1"/>
  <c r="X104" i="11" s="1"/>
  <c r="BT89" i="28" s="1"/>
  <c r="U99" i="11"/>
  <c r="V99" i="11" s="1"/>
  <c r="W99" i="11" s="1"/>
  <c r="Y99" i="11" s="1"/>
  <c r="BT153" i="29" s="1"/>
  <c r="R99" i="11"/>
  <c r="S99" i="11" s="1"/>
  <c r="T99" i="11" s="1"/>
  <c r="X99" i="11" s="1"/>
  <c r="BT152" i="29" s="1"/>
  <c r="U146" i="10"/>
  <c r="V146" i="10" s="1"/>
  <c r="W146" i="10" s="1"/>
  <c r="Y146" i="10" s="1"/>
  <c r="BR132" i="23" s="1"/>
  <c r="R146" i="10"/>
  <c r="S146" i="10" s="1"/>
  <c r="T146" i="10" s="1"/>
  <c r="X146" i="10" s="1"/>
  <c r="BR131" i="23" s="1"/>
  <c r="I152" i="10"/>
  <c r="J152" i="10" s="1"/>
  <c r="K152" i="10" s="1"/>
  <c r="M152" i="10" s="1"/>
  <c r="BQ90" i="22" s="1"/>
  <c r="E152" i="10"/>
  <c r="F152" i="10" s="1"/>
  <c r="H152" i="10" s="1"/>
  <c r="L152" i="10" s="1"/>
  <c r="BQ89" i="22" s="1"/>
  <c r="I139" i="10"/>
  <c r="J139" i="10" s="1"/>
  <c r="K139" i="10" s="1"/>
  <c r="M139" i="10" s="1"/>
  <c r="BQ153" i="24" s="1"/>
  <c r="E139" i="10"/>
  <c r="F139" i="10" s="1"/>
  <c r="H139" i="10" s="1"/>
  <c r="L139" i="10" s="1"/>
  <c r="BQ152" i="24" s="1"/>
  <c r="E87" i="10"/>
  <c r="F87" i="10" s="1"/>
  <c r="H87" i="10" s="1"/>
  <c r="L87" i="10" s="1"/>
  <c r="BQ68" i="14" s="1"/>
  <c r="I87" i="10"/>
  <c r="J87" i="10" s="1"/>
  <c r="K87" i="10" s="1"/>
  <c r="M87" i="10" s="1"/>
  <c r="BQ69" i="14" s="1"/>
  <c r="I166" i="11"/>
  <c r="J166" i="11" s="1"/>
  <c r="K166" i="11" s="1"/>
  <c r="M166" i="11" s="1"/>
  <c r="BS48" i="20" s="1"/>
  <c r="E166" i="11"/>
  <c r="F166" i="11" s="1"/>
  <c r="H166" i="11" s="1"/>
  <c r="L166" i="11" s="1"/>
  <c r="BS47" i="20" s="1"/>
  <c r="E167" i="10"/>
  <c r="F167" i="10" s="1"/>
  <c r="H167" i="10" s="1"/>
  <c r="L167" i="10" s="1"/>
  <c r="BQ68" i="20" s="1"/>
  <c r="I167" i="10"/>
  <c r="J167" i="10" s="1"/>
  <c r="K167" i="10" s="1"/>
  <c r="M167" i="10" s="1"/>
  <c r="BQ69" i="20" s="1"/>
  <c r="I91" i="10"/>
  <c r="J91" i="10" s="1"/>
  <c r="K91" i="10" s="1"/>
  <c r="M91" i="10" s="1"/>
  <c r="BQ153" i="14" s="1"/>
  <c r="E91" i="10"/>
  <c r="F91" i="10" s="1"/>
  <c r="H91" i="10" s="1"/>
  <c r="L91" i="10" s="1"/>
  <c r="BQ152" i="14" s="1"/>
  <c r="R104" i="10"/>
  <c r="S104" i="10" s="1"/>
  <c r="T104" i="10" s="1"/>
  <c r="X104" i="10" s="1"/>
  <c r="BR89" i="28" s="1"/>
  <c r="U104" i="10"/>
  <c r="V104" i="10" s="1"/>
  <c r="W104" i="10" s="1"/>
  <c r="Y104" i="10" s="1"/>
  <c r="BR90" i="28" s="1"/>
  <c r="U130" i="10"/>
  <c r="V130" i="10" s="1"/>
  <c r="W130" i="10" s="1"/>
  <c r="Y130" i="10" s="1"/>
  <c r="BR132" i="25" s="1"/>
  <c r="R130" i="10"/>
  <c r="S130" i="10" s="1"/>
  <c r="T130" i="10" s="1"/>
  <c r="X130" i="10" s="1"/>
  <c r="BR131" i="25" s="1"/>
  <c r="I98" i="11"/>
  <c r="J98" i="11" s="1"/>
  <c r="K98" i="11" s="1"/>
  <c r="M98" i="11" s="1"/>
  <c r="BS132" i="29" s="1"/>
  <c r="E98" i="11"/>
  <c r="F98" i="11" s="1"/>
  <c r="H98" i="11" s="1"/>
  <c r="L98" i="11" s="1"/>
  <c r="BS131" i="29" s="1"/>
  <c r="U90" i="10"/>
  <c r="V90" i="10" s="1"/>
  <c r="W90" i="10" s="1"/>
  <c r="Y90" i="10" s="1"/>
  <c r="BR132" i="14" s="1"/>
  <c r="R90" i="10"/>
  <c r="S90" i="10" s="1"/>
  <c r="T90" i="10" s="1"/>
  <c r="X90" i="10" s="1"/>
  <c r="BR131" i="14" s="1"/>
  <c r="U112" i="10"/>
  <c r="V112" i="10" s="1"/>
  <c r="W112" i="10" s="1"/>
  <c r="Y112" i="10" s="1"/>
  <c r="BR90" i="27" s="1"/>
  <c r="R112" i="10"/>
  <c r="S112" i="10" s="1"/>
  <c r="T112" i="10" s="1"/>
  <c r="X112" i="10" s="1"/>
  <c r="BR89" i="27" s="1"/>
  <c r="Q126" i="10"/>
  <c r="E98" i="10"/>
  <c r="F98" i="10" s="1"/>
  <c r="H98" i="10" s="1"/>
  <c r="L98" i="10" s="1"/>
  <c r="BQ131" i="29" s="1"/>
  <c r="I98" i="10"/>
  <c r="J98" i="10" s="1"/>
  <c r="K98" i="10" s="1"/>
  <c r="M98" i="10" s="1"/>
  <c r="BQ132" i="29" s="1"/>
  <c r="U88" i="11"/>
  <c r="V88" i="11" s="1"/>
  <c r="W88" i="11" s="1"/>
  <c r="Y88" i="11" s="1"/>
  <c r="BT90" i="14" s="1"/>
  <c r="R88" i="11"/>
  <c r="S88" i="11" s="1"/>
  <c r="T88" i="11" s="1"/>
  <c r="X88" i="11" s="1"/>
  <c r="BT89" i="14" s="1"/>
  <c r="R143" i="10"/>
  <c r="S143" i="10" s="1"/>
  <c r="T143" i="10" s="1"/>
  <c r="X143" i="10" s="1"/>
  <c r="BR68" i="23" s="1"/>
  <c r="U143" i="10"/>
  <c r="V143" i="10" s="1"/>
  <c r="W143" i="10" s="1"/>
  <c r="Y143" i="10" s="1"/>
  <c r="BR69" i="23" s="1"/>
  <c r="I91" i="11"/>
  <c r="J91" i="11" s="1"/>
  <c r="K91" i="11" s="1"/>
  <c r="M91" i="11" s="1"/>
  <c r="BS153" i="14" s="1"/>
  <c r="E91" i="11"/>
  <c r="F91" i="11" s="1"/>
  <c r="H91" i="11" s="1"/>
  <c r="L91" i="11" s="1"/>
  <c r="BS152" i="14" s="1"/>
  <c r="E96" i="10"/>
  <c r="F96" i="10" s="1"/>
  <c r="H96" i="10" s="1"/>
  <c r="L96" i="10" s="1"/>
  <c r="BQ89" i="29" s="1"/>
  <c r="I96" i="10"/>
  <c r="J96" i="10" s="1"/>
  <c r="K96" i="10" s="1"/>
  <c r="M96" i="10" s="1"/>
  <c r="BQ90" i="29" s="1"/>
  <c r="Q110" i="11"/>
  <c r="I169" i="11"/>
  <c r="J169" i="11" s="1"/>
  <c r="K169" i="11" s="1"/>
  <c r="M169" i="11" s="1"/>
  <c r="BS111" i="20" s="1"/>
  <c r="E169" i="11"/>
  <c r="F169" i="11" s="1"/>
  <c r="H169" i="11" s="1"/>
  <c r="L169" i="11" s="1"/>
  <c r="BS110" i="20" s="1"/>
  <c r="I122" i="10"/>
  <c r="J122" i="10" s="1"/>
  <c r="K122" i="10" s="1"/>
  <c r="M122" i="10" s="1"/>
  <c r="BQ132" i="26" s="1"/>
  <c r="E122" i="10"/>
  <c r="F122" i="10" s="1"/>
  <c r="H122" i="10" s="1"/>
  <c r="L122" i="10" s="1"/>
  <c r="BQ131" i="26" s="1"/>
  <c r="U128" i="10"/>
  <c r="V128" i="10" s="1"/>
  <c r="W128" i="10" s="1"/>
  <c r="Y128" i="10" s="1"/>
  <c r="BR90" i="25" s="1"/>
  <c r="R128" i="10"/>
  <c r="S128" i="10" s="1"/>
  <c r="T128" i="10" s="1"/>
  <c r="X128" i="10" s="1"/>
  <c r="BR89" i="25" s="1"/>
  <c r="Q118" i="10"/>
  <c r="Q158" i="10"/>
  <c r="U131" i="10"/>
  <c r="V131" i="10" s="1"/>
  <c r="W131" i="10" s="1"/>
  <c r="Y131" i="10" s="1"/>
  <c r="BR153" i="25" s="1"/>
  <c r="R131" i="10"/>
  <c r="S131" i="10" s="1"/>
  <c r="T131" i="10" s="1"/>
  <c r="X131" i="10" s="1"/>
  <c r="BR152" i="25" s="1"/>
  <c r="R171" i="11"/>
  <c r="S171" i="11" s="1"/>
  <c r="T171" i="11" s="1"/>
  <c r="X171" i="11" s="1"/>
  <c r="BT152" i="20" s="1"/>
  <c r="U171" i="11"/>
  <c r="V171" i="11" s="1"/>
  <c r="W171" i="11" s="1"/>
  <c r="Y171" i="11" s="1"/>
  <c r="U102" i="11"/>
  <c r="V102" i="11" s="1"/>
  <c r="W102" i="11" s="1"/>
  <c r="Y102" i="11" s="1"/>
  <c r="BT48" i="28" s="1"/>
  <c r="R102" i="11"/>
  <c r="S102" i="11" s="1"/>
  <c r="T102" i="11" s="1"/>
  <c r="X102" i="11" s="1"/>
  <c r="BT47" i="28" s="1"/>
  <c r="I99" i="11"/>
  <c r="J99" i="11" s="1"/>
  <c r="K99" i="11" s="1"/>
  <c r="M99" i="11" s="1"/>
  <c r="BS153" i="29" s="1"/>
  <c r="E99" i="11"/>
  <c r="F99" i="11" s="1"/>
  <c r="H99" i="11" s="1"/>
  <c r="L99" i="11" s="1"/>
  <c r="BS152" i="29" s="1"/>
  <c r="E146" i="10"/>
  <c r="F146" i="10" s="1"/>
  <c r="H146" i="10" s="1"/>
  <c r="L146" i="10" s="1"/>
  <c r="BQ131" i="23" s="1"/>
  <c r="I146" i="10"/>
  <c r="J146" i="10" s="1"/>
  <c r="K146" i="10" s="1"/>
  <c r="M146" i="10" s="1"/>
  <c r="BQ132" i="23" s="1"/>
  <c r="U152" i="10"/>
  <c r="V152" i="10" s="1"/>
  <c r="W152" i="10" s="1"/>
  <c r="Y152" i="10" s="1"/>
  <c r="BR90" i="22" s="1"/>
  <c r="R152" i="10"/>
  <c r="S152" i="10" s="1"/>
  <c r="T152" i="10" s="1"/>
  <c r="X152" i="10" s="1"/>
  <c r="BR89" i="22" s="1"/>
  <c r="R139" i="10"/>
  <c r="S139" i="10" s="1"/>
  <c r="T139" i="10" s="1"/>
  <c r="X139" i="10" s="1"/>
  <c r="BR152" i="24" s="1"/>
  <c r="U139" i="10"/>
  <c r="V139" i="10" s="1"/>
  <c r="W139" i="10" s="1"/>
  <c r="Y139" i="10" s="1"/>
  <c r="BR153" i="24" s="1"/>
  <c r="R87" i="10"/>
  <c r="S87" i="10" s="1"/>
  <c r="T87" i="10" s="1"/>
  <c r="X87" i="10" s="1"/>
  <c r="BR68" i="14" s="1"/>
  <c r="U87" i="10"/>
  <c r="V87" i="10" s="1"/>
  <c r="W87" i="10" s="1"/>
  <c r="Y87" i="10" s="1"/>
  <c r="BR69" i="14" s="1"/>
  <c r="U166" i="11"/>
  <c r="V166" i="11" s="1"/>
  <c r="W166" i="11" s="1"/>
  <c r="Y166" i="11" s="1"/>
  <c r="BT48" i="20" s="1"/>
  <c r="R166" i="11"/>
  <c r="S166" i="11" s="1"/>
  <c r="T166" i="11" s="1"/>
  <c r="X166" i="11" s="1"/>
  <c r="BT47" i="20" s="1"/>
  <c r="I86" i="10"/>
  <c r="J86" i="10" s="1"/>
  <c r="K86" i="10" s="1"/>
  <c r="M86" i="10" s="1"/>
  <c r="BQ48" i="14" s="1"/>
  <c r="E86" i="10"/>
  <c r="F86" i="10" s="1"/>
  <c r="H86" i="10" s="1"/>
  <c r="L86" i="10" s="1"/>
  <c r="BQ47" i="14" s="1"/>
  <c r="R89" i="10"/>
  <c r="S89" i="10" s="1"/>
  <c r="T89" i="10" s="1"/>
  <c r="X89" i="10" s="1"/>
  <c r="BR110" i="14" s="1"/>
  <c r="U89" i="10"/>
  <c r="V89" i="10" s="1"/>
  <c r="W89" i="10" s="1"/>
  <c r="Y89" i="10" s="1"/>
  <c r="BR111" i="14" s="1"/>
  <c r="I151" i="10"/>
  <c r="J151" i="10" s="1"/>
  <c r="K151" i="10" s="1"/>
  <c r="M151" i="10" s="1"/>
  <c r="BQ69" i="22" s="1"/>
  <c r="E151" i="10"/>
  <c r="F151" i="10" s="1"/>
  <c r="H151" i="10" s="1"/>
  <c r="L151" i="10" s="1"/>
  <c r="BQ68" i="22" s="1"/>
  <c r="E144" i="10"/>
  <c r="F144" i="10" s="1"/>
  <c r="H144" i="10" s="1"/>
  <c r="L144" i="10" s="1"/>
  <c r="BQ89" i="23" s="1"/>
  <c r="I144" i="10"/>
  <c r="J144" i="10" s="1"/>
  <c r="K144" i="10" s="1"/>
  <c r="M144" i="10" s="1"/>
  <c r="BQ90" i="23" s="1"/>
  <c r="E106" i="11"/>
  <c r="F106" i="11" s="1"/>
  <c r="H106" i="11" s="1"/>
  <c r="L106" i="11" s="1"/>
  <c r="BS131" i="28" s="1"/>
  <c r="I106" i="11"/>
  <c r="J106" i="11" s="1"/>
  <c r="K106" i="11" s="1"/>
  <c r="M106" i="11" s="1"/>
  <c r="BS132" i="28" s="1"/>
  <c r="I150" i="10"/>
  <c r="J150" i="10" s="1"/>
  <c r="K150" i="10" s="1"/>
  <c r="M150" i="10" s="1"/>
  <c r="BQ48" i="22" s="1"/>
  <c r="E150" i="10"/>
  <c r="F150" i="10" s="1"/>
  <c r="H150" i="10" s="1"/>
  <c r="L150" i="10" s="1"/>
  <c r="BQ47" i="22" s="1"/>
  <c r="E105" i="10"/>
  <c r="F105" i="10" s="1"/>
  <c r="H105" i="10" s="1"/>
  <c r="L105" i="10" s="1"/>
  <c r="BQ110" i="28" s="1"/>
  <c r="I105" i="10"/>
  <c r="J105" i="10" s="1"/>
  <c r="K105" i="10" s="1"/>
  <c r="M105" i="10" s="1"/>
  <c r="BQ111" i="28" s="1"/>
  <c r="E111" i="10"/>
  <c r="F111" i="10" s="1"/>
  <c r="H111" i="10" s="1"/>
  <c r="L111" i="10" s="1"/>
  <c r="BQ68" i="27" s="1"/>
  <c r="I111" i="10"/>
  <c r="J111" i="10" s="1"/>
  <c r="K111" i="10" s="1"/>
  <c r="M111" i="10" s="1"/>
  <c r="BQ69" i="27" s="1"/>
  <c r="E168" i="11"/>
  <c r="F168" i="11" s="1"/>
  <c r="H168" i="11" s="1"/>
  <c r="L168" i="11" s="1"/>
  <c r="BS89" i="20" s="1"/>
  <c r="I168" i="11"/>
  <c r="J168" i="11" s="1"/>
  <c r="K168" i="11" s="1"/>
  <c r="M168" i="11" s="1"/>
  <c r="BS90" i="20" s="1"/>
  <c r="E97" i="11"/>
  <c r="F97" i="11" s="1"/>
  <c r="H97" i="11" s="1"/>
  <c r="L97" i="11" s="1"/>
  <c r="BS110" i="29" s="1"/>
  <c r="I97" i="11"/>
  <c r="J97" i="11" s="1"/>
  <c r="K97" i="11" s="1"/>
  <c r="M97" i="11" s="1"/>
  <c r="BS111" i="29" s="1"/>
  <c r="I87" i="11"/>
  <c r="J87" i="11" s="1"/>
  <c r="K87" i="11" s="1"/>
  <c r="M87" i="11" s="1"/>
  <c r="BS69" i="14" s="1"/>
  <c r="E87" i="11"/>
  <c r="F87" i="11" s="1"/>
  <c r="H87" i="11" s="1"/>
  <c r="L87" i="11" s="1"/>
  <c r="BS68" i="14" s="1"/>
  <c r="Q142" i="10"/>
  <c r="U95" i="10"/>
  <c r="V95" i="10" s="1"/>
  <c r="W95" i="10" s="1"/>
  <c r="Y95" i="10" s="1"/>
  <c r="BR69" i="29" s="1"/>
  <c r="R95" i="10"/>
  <c r="S95" i="10" s="1"/>
  <c r="T95" i="10" s="1"/>
  <c r="X95" i="10" s="1"/>
  <c r="BR68" i="29" s="1"/>
  <c r="R91" i="11"/>
  <c r="S91" i="11" s="1"/>
  <c r="T91" i="11" s="1"/>
  <c r="X91" i="11" s="1"/>
  <c r="BT152" i="14" s="1"/>
  <c r="U91" i="11"/>
  <c r="V91" i="11" s="1"/>
  <c r="W91" i="11" s="1"/>
  <c r="Y91" i="11" s="1"/>
  <c r="BT153" i="14" s="1"/>
  <c r="U96" i="10"/>
  <c r="V96" i="10" s="1"/>
  <c r="W96" i="10" s="1"/>
  <c r="Y96" i="10" s="1"/>
  <c r="BR90" i="29" s="1"/>
  <c r="R96" i="10"/>
  <c r="S96" i="10" s="1"/>
  <c r="T96" i="10" s="1"/>
  <c r="X96" i="10" s="1"/>
  <c r="BR89" i="29" s="1"/>
  <c r="R169" i="11"/>
  <c r="S169" i="11" s="1"/>
  <c r="T169" i="11" s="1"/>
  <c r="X169" i="11" s="1"/>
  <c r="BT110" i="20" s="1"/>
  <c r="U169" i="11"/>
  <c r="V169" i="11" s="1"/>
  <c r="W169" i="11" s="1"/>
  <c r="Y169" i="11" s="1"/>
  <c r="BT111" i="20" s="1"/>
  <c r="U122" i="10"/>
  <c r="V122" i="10" s="1"/>
  <c r="W122" i="10" s="1"/>
  <c r="Y122" i="10" s="1"/>
  <c r="BR132" i="26" s="1"/>
  <c r="R122" i="10"/>
  <c r="S122" i="10" s="1"/>
  <c r="T122" i="10" s="1"/>
  <c r="X122" i="10" s="1"/>
  <c r="BR131" i="26" s="1"/>
  <c r="I128" i="10"/>
  <c r="J128" i="10" s="1"/>
  <c r="K128" i="10" s="1"/>
  <c r="M128" i="10" s="1"/>
  <c r="BQ90" i="25" s="1"/>
  <c r="E128" i="10"/>
  <c r="F128" i="10" s="1"/>
  <c r="H128" i="10" s="1"/>
  <c r="L128" i="10" s="1"/>
  <c r="BQ89" i="25" s="1"/>
  <c r="E118" i="10"/>
  <c r="F118" i="10" s="1"/>
  <c r="H118" i="10" s="1"/>
  <c r="L118" i="10" s="1"/>
  <c r="BQ47" i="26" s="1"/>
  <c r="I118" i="10"/>
  <c r="J118" i="10" s="1"/>
  <c r="K118" i="10" s="1"/>
  <c r="M118" i="10" s="1"/>
  <c r="BQ48" i="26" s="1"/>
  <c r="I131" i="10"/>
  <c r="J131" i="10" s="1"/>
  <c r="K131" i="10" s="1"/>
  <c r="M131" i="10" s="1"/>
  <c r="BQ153" i="25" s="1"/>
  <c r="E131" i="10"/>
  <c r="F131" i="10" s="1"/>
  <c r="H131" i="10" s="1"/>
  <c r="L131" i="10" s="1"/>
  <c r="BQ152" i="25" s="1"/>
  <c r="I171" i="11"/>
  <c r="J171" i="11" s="1"/>
  <c r="K171" i="11" s="1"/>
  <c r="M171" i="11" s="1"/>
  <c r="BS153" i="20" s="1"/>
  <c r="E171" i="11"/>
  <c r="F171" i="11" s="1"/>
  <c r="H171" i="11" s="1"/>
  <c r="L171" i="11" s="1"/>
  <c r="BS152" i="20" s="1"/>
  <c r="I102" i="11"/>
  <c r="J102" i="11" s="1"/>
  <c r="K102" i="11" s="1"/>
  <c r="M102" i="11" s="1"/>
  <c r="BS48" i="28" s="1"/>
  <c r="E102" i="11"/>
  <c r="F102" i="11" s="1"/>
  <c r="H102" i="11" s="1"/>
  <c r="L102" i="11" s="1"/>
  <c r="BS47" i="28" s="1"/>
  <c r="Q110" i="10"/>
  <c r="U89" i="11"/>
  <c r="V89" i="11" s="1"/>
  <c r="W89" i="11" s="1"/>
  <c r="Y89" i="11" s="1"/>
  <c r="BT111" i="14" s="1"/>
  <c r="R89" i="11"/>
  <c r="S89" i="11" s="1"/>
  <c r="T89" i="11" s="1"/>
  <c r="X89" i="11" s="1"/>
  <c r="BT110" i="14" s="1"/>
  <c r="E147" i="10"/>
  <c r="F147" i="10" s="1"/>
  <c r="H147" i="10" s="1"/>
  <c r="L147" i="10" s="1"/>
  <c r="BQ152" i="23" s="1"/>
  <c r="I147" i="10"/>
  <c r="J147" i="10" s="1"/>
  <c r="K147" i="10" s="1"/>
  <c r="M147" i="10" s="1"/>
  <c r="BQ153" i="23" s="1"/>
  <c r="I95" i="11"/>
  <c r="J95" i="11" s="1"/>
  <c r="K95" i="11" s="1"/>
  <c r="M95" i="11" s="1"/>
  <c r="BS69" i="29" s="1"/>
  <c r="E95" i="11"/>
  <c r="F95" i="11" s="1"/>
  <c r="H95" i="11" s="1"/>
  <c r="L95" i="11" s="1"/>
  <c r="BS68" i="29" s="1"/>
  <c r="I123" i="10"/>
  <c r="J123" i="10" s="1"/>
  <c r="K123" i="10" s="1"/>
  <c r="M123" i="10" s="1"/>
  <c r="BQ153" i="26" s="1"/>
  <c r="E123" i="10"/>
  <c r="F123" i="10" s="1"/>
  <c r="H123" i="10" s="1"/>
  <c r="L123" i="10" s="1"/>
  <c r="BQ152" i="26" s="1"/>
  <c r="R122" i="11"/>
  <c r="S122" i="11" s="1"/>
  <c r="T122" i="11" s="1"/>
  <c r="X122" i="11" s="1"/>
  <c r="BT131" i="26" s="1"/>
  <c r="U122" i="11"/>
  <c r="V122" i="11" s="1"/>
  <c r="W122" i="11" s="1"/>
  <c r="Y122" i="11" s="1"/>
  <c r="BT132" i="26" s="1"/>
  <c r="Q86" i="10"/>
  <c r="E89" i="10"/>
  <c r="F89" i="10" s="1"/>
  <c r="H89" i="10" s="1"/>
  <c r="L89" i="10" s="1"/>
  <c r="BQ110" i="14" s="1"/>
  <c r="I89" i="10"/>
  <c r="J89" i="10" s="1"/>
  <c r="K89" i="10" s="1"/>
  <c r="M89" i="10" s="1"/>
  <c r="BQ111" i="14" s="1"/>
  <c r="U151" i="10"/>
  <c r="V151" i="10" s="1"/>
  <c r="W151" i="10" s="1"/>
  <c r="Y151" i="10" s="1"/>
  <c r="BR69" i="22" s="1"/>
  <c r="R151" i="10"/>
  <c r="S151" i="10" s="1"/>
  <c r="T151" i="10" s="1"/>
  <c r="X151" i="10" s="1"/>
  <c r="BR68" i="22" s="1"/>
  <c r="R144" i="10"/>
  <c r="S144" i="10" s="1"/>
  <c r="T144" i="10" s="1"/>
  <c r="X144" i="10" s="1"/>
  <c r="BR89" i="23" s="1"/>
  <c r="U144" i="10"/>
  <c r="V144" i="10" s="1"/>
  <c r="W144" i="10" s="1"/>
  <c r="Y144" i="10" s="1"/>
  <c r="BR90" i="23" s="1"/>
  <c r="K14" i="18" l="1"/>
  <c r="K13" i="18"/>
  <c r="K11" i="18"/>
  <c r="K12" i="18"/>
  <c r="BR153" i="20"/>
  <c r="BQ27" i="20"/>
  <c r="BQ27" i="22"/>
  <c r="BQ26" i="23"/>
  <c r="BQ27" i="24"/>
  <c r="BR26" i="23"/>
  <c r="BR26" i="21"/>
  <c r="BQ26" i="22"/>
  <c r="BQ26" i="20"/>
  <c r="BQ27" i="23"/>
  <c r="BR27" i="21"/>
  <c r="BR27" i="20"/>
  <c r="BQ26" i="24"/>
  <c r="BR26" i="20"/>
  <c r="BQ27" i="21"/>
  <c r="BR26" i="22"/>
  <c r="BR27" i="22"/>
  <c r="BQ26" i="21"/>
  <c r="BR27" i="24"/>
  <c r="BR27" i="23"/>
  <c r="BR26" i="24"/>
  <c r="BT153" i="20"/>
  <c r="BS89" i="22"/>
  <c r="BS89" i="25"/>
  <c r="BS110" i="25"/>
  <c r="BT111" i="21"/>
  <c r="BS90" i="22"/>
  <c r="BS152" i="21"/>
  <c r="BS110" i="22"/>
  <c r="BT89" i="23"/>
  <c r="BS152" i="25"/>
  <c r="BS111" i="21"/>
  <c r="BS111" i="25"/>
  <c r="BT69" i="23"/>
  <c r="BT132" i="23"/>
  <c r="BS153" i="25"/>
  <c r="BT110" i="25"/>
  <c r="BT153" i="24"/>
  <c r="BT48" i="21"/>
  <c r="BT152" i="23"/>
  <c r="BS153" i="21"/>
  <c r="BS90" i="23"/>
  <c r="BT90" i="25"/>
  <c r="BT89" i="22"/>
  <c r="BT132" i="25"/>
  <c r="BT89" i="25"/>
  <c r="BS90" i="21"/>
  <c r="BS110" i="24"/>
  <c r="BT131" i="22"/>
  <c r="BS153" i="24"/>
  <c r="BT90" i="21"/>
  <c r="BT152" i="24"/>
  <c r="BS90" i="25"/>
  <c r="BS132" i="22"/>
  <c r="BS110" i="21"/>
  <c r="BS132" i="23"/>
  <c r="BS131" i="25"/>
  <c r="BS89" i="23"/>
  <c r="BS131" i="23"/>
  <c r="BT110" i="21"/>
  <c r="BT110" i="23"/>
  <c r="BT131" i="23"/>
  <c r="BS152" i="23"/>
  <c r="BS152" i="22"/>
  <c r="BS131" i="22"/>
  <c r="BT153" i="23"/>
  <c r="BS111" i="23"/>
  <c r="BS111" i="24"/>
  <c r="BS110" i="23"/>
  <c r="BS111" i="22"/>
  <c r="BT152" i="22"/>
  <c r="BS153" i="22"/>
  <c r="BT111" i="23"/>
  <c r="BT90" i="22"/>
  <c r="BT111" i="25"/>
  <c r="BT111" i="22"/>
  <c r="BS132" i="24"/>
  <c r="BS89" i="24"/>
  <c r="BS153" i="23"/>
  <c r="BS132" i="25"/>
  <c r="BS131" i="24"/>
  <c r="BS131" i="21"/>
  <c r="BT110" i="22"/>
  <c r="BS152" i="24"/>
  <c r="BT153" i="22"/>
  <c r="BS89" i="21"/>
  <c r="BT90" i="23"/>
  <c r="BS132" i="21"/>
  <c r="BS90" i="24"/>
  <c r="BT132" i="22"/>
  <c r="BT47" i="24"/>
  <c r="BS47" i="25"/>
  <c r="BT69" i="24"/>
  <c r="BS48" i="22"/>
  <c r="BT48" i="24"/>
  <c r="BS26" i="25"/>
  <c r="BT69" i="22"/>
  <c r="BT48" i="22"/>
  <c r="BT132" i="21"/>
  <c r="BS47" i="22"/>
  <c r="BS69" i="23"/>
  <c r="BT69" i="21"/>
  <c r="BS48" i="23"/>
  <c r="BS68" i="23"/>
  <c r="BS68" i="22"/>
  <c r="BS27" i="22"/>
  <c r="BT68" i="22"/>
  <c r="BT89" i="24"/>
  <c r="BT47" i="22"/>
  <c r="BT48" i="23"/>
  <c r="BS47" i="21"/>
  <c r="BT47" i="25"/>
  <c r="BS69" i="24"/>
  <c r="BS27" i="23"/>
  <c r="BT47" i="23"/>
  <c r="BT26" i="23"/>
  <c r="BS26" i="21"/>
  <c r="BS27" i="24"/>
  <c r="BS47" i="23"/>
  <c r="BT68" i="24"/>
  <c r="BT68" i="23"/>
  <c r="BT132" i="24"/>
  <c r="BT47" i="21"/>
  <c r="BS27" i="21"/>
  <c r="BT90" i="24"/>
  <c r="BT131" i="25"/>
  <c r="BS48" i="25"/>
  <c r="BS27" i="25"/>
  <c r="BS48" i="24"/>
  <c r="BT48" i="25"/>
  <c r="BT153" i="25"/>
  <c r="BT131" i="21"/>
  <c r="BS48" i="21"/>
  <c r="BT110" i="24"/>
  <c r="BT153" i="21"/>
  <c r="BS68" i="25"/>
  <c r="BT152" i="21"/>
  <c r="BS26" i="23"/>
  <c r="BT131" i="24"/>
  <c r="BS68" i="24"/>
  <c r="BT152" i="25"/>
  <c r="BT26" i="24"/>
  <c r="BS26" i="24"/>
  <c r="BT111" i="24"/>
  <c r="BT89" i="21"/>
  <c r="BS26" i="22"/>
  <c r="BT68" i="21"/>
  <c r="BS69" i="22"/>
  <c r="BT27" i="22"/>
  <c r="BT26" i="25"/>
  <c r="BS69" i="21"/>
  <c r="BT26" i="21"/>
  <c r="BT27" i="24"/>
  <c r="BT69" i="25"/>
  <c r="BT27" i="25"/>
  <c r="BS69" i="25"/>
  <c r="BS68" i="21"/>
  <c r="BT68" i="25"/>
  <c r="BT27" i="23"/>
  <c r="BT26" i="22"/>
  <c r="BS47" i="24"/>
  <c r="BT27" i="21"/>
  <c r="BS26" i="20"/>
  <c r="BT27" i="20"/>
  <c r="BS27" i="20"/>
  <c r="BT26" i="20"/>
  <c r="K21" i="18"/>
  <c r="L21" i="18" s="1"/>
  <c r="AQ140" i="29" s="1"/>
  <c r="V156" i="39" s="1"/>
  <c r="K20" i="18"/>
  <c r="L20" i="18" s="1"/>
  <c r="AQ119" i="29" s="1"/>
  <c r="V133" i="39" s="1"/>
  <c r="K16" i="18"/>
  <c r="L16" i="18" s="1"/>
  <c r="AQ35" i="29" s="1"/>
  <c r="V41" i="39" s="1"/>
  <c r="K18" i="18"/>
  <c r="L18" i="18" s="1"/>
  <c r="AQ77" i="29" s="1"/>
  <c r="V87" i="39" s="1"/>
  <c r="K15" i="18"/>
  <c r="L15" i="18" s="1"/>
  <c r="AQ14" i="29" s="1"/>
  <c r="V18" i="39" s="1"/>
  <c r="K17" i="18"/>
  <c r="L17" i="18" s="1"/>
  <c r="AQ56" i="29" s="1"/>
  <c r="V64" i="39" s="1"/>
  <c r="K19" i="18"/>
  <c r="L19" i="18" s="1"/>
  <c r="AQ98" i="29" s="1"/>
  <c r="V110" i="39" s="1"/>
  <c r="K40" i="18"/>
  <c r="L40" i="18" s="1"/>
  <c r="AQ98" i="26" s="1"/>
  <c r="V110" i="36" s="1"/>
  <c r="K42" i="18"/>
  <c r="L42" i="18" s="1"/>
  <c r="AQ140" i="26" s="1"/>
  <c r="V156" i="36" s="1"/>
  <c r="K37" i="18"/>
  <c r="L37" i="18" s="1"/>
  <c r="AQ35" i="26" s="1"/>
  <c r="V41" i="36" s="1"/>
  <c r="K36" i="18"/>
  <c r="L36" i="18" s="1"/>
  <c r="AQ14" i="26" s="1"/>
  <c r="V18" i="36" s="1"/>
  <c r="K39" i="18"/>
  <c r="L39" i="18" s="1"/>
  <c r="AQ77" i="26" s="1"/>
  <c r="V87" i="36" s="1"/>
  <c r="K38" i="18"/>
  <c r="L38" i="18" s="1"/>
  <c r="AQ56" i="26" s="1"/>
  <c r="V64" i="36" s="1"/>
  <c r="K41" i="18"/>
  <c r="L41" i="18" s="1"/>
  <c r="AQ119" i="26" s="1"/>
  <c r="V133" i="36" s="1"/>
  <c r="K32" i="18"/>
  <c r="L32" i="18" s="1"/>
  <c r="AQ77" i="27" s="1"/>
  <c r="V87" i="37" s="1"/>
  <c r="K33" i="18"/>
  <c r="L33" i="18" s="1"/>
  <c r="AQ98" i="27" s="1"/>
  <c r="V110" i="37" s="1"/>
  <c r="K34" i="18"/>
  <c r="L34" i="18" s="1"/>
  <c r="AQ119" i="27" s="1"/>
  <c r="V133" i="37" s="1"/>
  <c r="K30" i="18"/>
  <c r="L30" i="18" s="1"/>
  <c r="AQ35" i="27" s="1"/>
  <c r="V41" i="37" s="1"/>
  <c r="K31" i="18"/>
  <c r="L31" i="18" s="1"/>
  <c r="AQ56" i="27" s="1"/>
  <c r="V64" i="37" s="1"/>
  <c r="K35" i="18"/>
  <c r="L35" i="18" s="1"/>
  <c r="AQ140" i="27" s="1"/>
  <c r="V156" i="37" s="1"/>
  <c r="K29" i="18"/>
  <c r="L29" i="18" s="1"/>
  <c r="AQ14" i="27" s="1"/>
  <c r="V18" i="37" s="1"/>
  <c r="K23" i="18"/>
  <c r="L23" i="18" s="1"/>
  <c r="AQ35" i="28" s="1"/>
  <c r="V41" i="38" s="1"/>
  <c r="K27" i="18"/>
  <c r="L27" i="18" s="1"/>
  <c r="AQ119" i="28" s="1"/>
  <c r="V133" i="38" s="1"/>
  <c r="K25" i="18"/>
  <c r="L25" i="18" s="1"/>
  <c r="AQ77" i="28" s="1"/>
  <c r="V87" i="38" s="1"/>
  <c r="K22" i="18"/>
  <c r="L22" i="18" s="1"/>
  <c r="AQ14" i="28" s="1"/>
  <c r="V18" i="38" s="1"/>
  <c r="K24" i="18"/>
  <c r="L24" i="18" s="1"/>
  <c r="AQ56" i="28" s="1"/>
  <c r="V64" i="38" s="1"/>
  <c r="K26" i="18"/>
  <c r="L26" i="18" s="1"/>
  <c r="AQ98" i="28" s="1"/>
  <c r="V110" i="38" s="1"/>
  <c r="K28" i="18"/>
  <c r="L28" i="18" s="1"/>
  <c r="AQ140" i="28" s="1"/>
  <c r="V156" i="38" s="1"/>
  <c r="AI100" i="16"/>
  <c r="AI60" i="16"/>
  <c r="E21" i="7"/>
  <c r="AL100" i="16"/>
  <c r="O100" i="16" s="1"/>
  <c r="AL60" i="16"/>
  <c r="AY60" i="16" s="1"/>
  <c r="H100" i="16"/>
  <c r="W100" i="16" s="1"/>
  <c r="B100" i="16"/>
  <c r="E100" i="16" s="1"/>
  <c r="H60" i="16"/>
  <c r="B60" i="16"/>
  <c r="E60" i="16" s="1"/>
  <c r="E20" i="7"/>
  <c r="V20" i="7"/>
  <c r="W20" i="7"/>
  <c r="U20" i="7" s="1"/>
  <c r="Q20" i="7" s="1"/>
  <c r="K215" i="6"/>
  <c r="L215" i="6" s="1"/>
  <c r="K214" i="6"/>
  <c r="L214" i="6" s="1"/>
  <c r="K289" i="6"/>
  <c r="L289" i="6" s="1"/>
  <c r="K233" i="6"/>
  <c r="L233" i="6" s="1"/>
  <c r="K226" i="6"/>
  <c r="L226" i="6" s="1"/>
  <c r="K268" i="6"/>
  <c r="L268" i="6" s="1"/>
  <c r="K261" i="6"/>
  <c r="L261" i="6" s="1"/>
  <c r="K247" i="6"/>
  <c r="L247" i="6" s="1"/>
  <c r="K275" i="6"/>
  <c r="L275" i="6" s="1"/>
  <c r="K240" i="6"/>
  <c r="L240" i="6" s="1"/>
  <c r="K282" i="6"/>
  <c r="L282" i="6" s="1"/>
  <c r="K254" i="6"/>
  <c r="L254" i="6" s="1"/>
  <c r="K232" i="6"/>
  <c r="L232" i="6" s="1"/>
  <c r="K231" i="6"/>
  <c r="L231" i="6" s="1"/>
  <c r="K246" i="6"/>
  <c r="L246" i="6" s="1"/>
  <c r="K274" i="6"/>
  <c r="L274" i="6" s="1"/>
  <c r="K253" i="6"/>
  <c r="L253" i="6" s="1"/>
  <c r="K267" i="6"/>
  <c r="L267" i="6" s="1"/>
  <c r="K260" i="6"/>
  <c r="L260" i="6" s="1"/>
  <c r="K239" i="6"/>
  <c r="L239" i="6" s="1"/>
  <c r="K288" i="6"/>
  <c r="L288" i="6" s="1"/>
  <c r="K281" i="6"/>
  <c r="L281" i="6" s="1"/>
  <c r="K225" i="6"/>
  <c r="L225" i="6" s="1"/>
  <c r="K238" i="6"/>
  <c r="L238" i="6" s="1"/>
  <c r="K287" i="6"/>
  <c r="L287" i="6" s="1"/>
  <c r="K252" i="6"/>
  <c r="L252" i="6" s="1"/>
  <c r="K273" i="6"/>
  <c r="L273" i="6" s="1"/>
  <c r="K224" i="6"/>
  <c r="L224" i="6" s="1"/>
  <c r="K266" i="6"/>
  <c r="L266" i="6" s="1"/>
  <c r="K259" i="6"/>
  <c r="L259" i="6" s="1"/>
  <c r="K245" i="6"/>
  <c r="L245" i="6" s="1"/>
  <c r="K280" i="6"/>
  <c r="L280" i="6" s="1"/>
  <c r="K244" i="6"/>
  <c r="L244" i="6" s="1"/>
  <c r="K258" i="6"/>
  <c r="L258" i="6" s="1"/>
  <c r="K265" i="6"/>
  <c r="L265" i="6" s="1"/>
  <c r="K230" i="6"/>
  <c r="L230" i="6" s="1"/>
  <c r="K272" i="6"/>
  <c r="L272" i="6" s="1"/>
  <c r="K223" i="6"/>
  <c r="L223" i="6" s="1"/>
  <c r="K251" i="6"/>
  <c r="L251" i="6" s="1"/>
  <c r="K279" i="6"/>
  <c r="L279" i="6" s="1"/>
  <c r="K237" i="6"/>
  <c r="L237" i="6" s="1"/>
  <c r="K286" i="6"/>
  <c r="L286" i="6" s="1"/>
  <c r="K222" i="6"/>
  <c r="L222" i="6" s="1"/>
  <c r="K250" i="6"/>
  <c r="L250" i="6" s="1"/>
  <c r="K285" i="6"/>
  <c r="L285" i="6" s="1"/>
  <c r="K243" i="6"/>
  <c r="L243" i="6" s="1"/>
  <c r="K278" i="6"/>
  <c r="L278" i="6" s="1"/>
  <c r="K229" i="6"/>
  <c r="L229" i="6" s="1"/>
  <c r="K257" i="6"/>
  <c r="L257" i="6" s="1"/>
  <c r="K236" i="6"/>
  <c r="L236" i="6" s="1"/>
  <c r="K271" i="6"/>
  <c r="L271" i="6" s="1"/>
  <c r="K264" i="6"/>
  <c r="L264" i="6" s="1"/>
  <c r="K249" i="6"/>
  <c r="L249" i="6" s="1"/>
  <c r="K242" i="6"/>
  <c r="L242" i="6" s="1"/>
  <c r="K270" i="6"/>
  <c r="L270" i="6" s="1"/>
  <c r="K277" i="6"/>
  <c r="L277" i="6" s="1"/>
  <c r="K284" i="6"/>
  <c r="L284" i="6" s="1"/>
  <c r="K228" i="6"/>
  <c r="L228" i="6" s="1"/>
  <c r="K263" i="6"/>
  <c r="L263" i="6" s="1"/>
  <c r="K221" i="6"/>
  <c r="L221" i="6" s="1"/>
  <c r="K235" i="6"/>
  <c r="L235" i="6" s="1"/>
  <c r="K256" i="6"/>
  <c r="L256" i="6" s="1"/>
  <c r="K276" i="6"/>
  <c r="L276" i="6" s="1"/>
  <c r="K269" i="6"/>
  <c r="L269" i="6" s="1"/>
  <c r="K241" i="6"/>
  <c r="L241" i="6" s="1"/>
  <c r="K248" i="6"/>
  <c r="L248" i="6" s="1"/>
  <c r="K227" i="6"/>
  <c r="L227" i="6" s="1"/>
  <c r="K220" i="6"/>
  <c r="L220" i="6" s="1"/>
  <c r="K255" i="6"/>
  <c r="L255" i="6" s="1"/>
  <c r="K262" i="6"/>
  <c r="L262" i="6" s="1"/>
  <c r="K283" i="6"/>
  <c r="L283" i="6" s="1"/>
  <c r="K234" i="6"/>
  <c r="L234" i="6" s="1"/>
  <c r="H126" i="10"/>
  <c r="L126" i="10" s="1"/>
  <c r="BQ47" i="25" s="1"/>
  <c r="R86" i="10"/>
  <c r="S86" i="10" s="1"/>
  <c r="T86" i="10" s="1"/>
  <c r="X86" i="10" s="1"/>
  <c r="BR47" i="14" s="1"/>
  <c r="U86" i="10"/>
  <c r="V86" i="10" s="1"/>
  <c r="W86" i="10" s="1"/>
  <c r="Y86" i="10" s="1"/>
  <c r="BR48" i="14" s="1"/>
  <c r="U118" i="10"/>
  <c r="V118" i="10" s="1"/>
  <c r="W118" i="10" s="1"/>
  <c r="Y118" i="10" s="1"/>
  <c r="BR48" i="26" s="1"/>
  <c r="R118" i="10"/>
  <c r="S118" i="10" s="1"/>
  <c r="T118" i="10" s="1"/>
  <c r="X118" i="10" s="1"/>
  <c r="BR47" i="26" s="1"/>
  <c r="R94" i="10"/>
  <c r="S94" i="10" s="1"/>
  <c r="T94" i="10" s="1"/>
  <c r="X94" i="10" s="1"/>
  <c r="BR47" i="29" s="1"/>
  <c r="U94" i="10"/>
  <c r="V94" i="10" s="1"/>
  <c r="W94" i="10" s="1"/>
  <c r="Y94" i="10" s="1"/>
  <c r="BR48" i="29" s="1"/>
  <c r="R110" i="11"/>
  <c r="S110" i="11" s="1"/>
  <c r="T110" i="11" s="1"/>
  <c r="X110" i="11" s="1"/>
  <c r="BT47" i="27" s="1"/>
  <c r="U110" i="11"/>
  <c r="V110" i="11" s="1"/>
  <c r="W110" i="11" s="1"/>
  <c r="Y110" i="11" s="1"/>
  <c r="BT48" i="27" s="1"/>
  <c r="U142" i="10"/>
  <c r="V142" i="10" s="1"/>
  <c r="W142" i="10" s="1"/>
  <c r="Y142" i="10" s="1"/>
  <c r="BR48" i="23" s="1"/>
  <c r="R142" i="10"/>
  <c r="S142" i="10" s="1"/>
  <c r="T142" i="10" s="1"/>
  <c r="X142" i="10" s="1"/>
  <c r="BR47" i="23" s="1"/>
  <c r="R126" i="10"/>
  <c r="S126" i="10" s="1"/>
  <c r="T126" i="10" s="1"/>
  <c r="X126" i="10" s="1"/>
  <c r="BR47" i="25" s="1"/>
  <c r="U126" i="10"/>
  <c r="V126" i="10" s="1"/>
  <c r="W126" i="10" s="1"/>
  <c r="Y126" i="10" s="1"/>
  <c r="BR48" i="25" s="1"/>
  <c r="U110" i="10"/>
  <c r="V110" i="10" s="1"/>
  <c r="W110" i="10" s="1"/>
  <c r="Y110" i="10" s="1"/>
  <c r="BR48" i="27" s="1"/>
  <c r="R110" i="10"/>
  <c r="S110" i="10" s="1"/>
  <c r="T110" i="10" s="1"/>
  <c r="X110" i="10" s="1"/>
  <c r="BR47" i="27" s="1"/>
  <c r="R134" i="10"/>
  <c r="S134" i="10" s="1"/>
  <c r="T134" i="10" s="1"/>
  <c r="X134" i="10" s="1"/>
  <c r="BR47" i="24" s="1"/>
  <c r="U134" i="10"/>
  <c r="V134" i="10" s="1"/>
  <c r="W134" i="10" s="1"/>
  <c r="Y134" i="10" s="1"/>
  <c r="BR48" i="24" s="1"/>
  <c r="U102" i="10"/>
  <c r="V102" i="10" s="1"/>
  <c r="W102" i="10" s="1"/>
  <c r="Y102" i="10" s="1"/>
  <c r="BR48" i="28" s="1"/>
  <c r="R102" i="10"/>
  <c r="S102" i="10" s="1"/>
  <c r="T102" i="10" s="1"/>
  <c r="X102" i="10" s="1"/>
  <c r="BR47" i="28" s="1"/>
  <c r="R158" i="10"/>
  <c r="S158" i="10" s="1"/>
  <c r="T158" i="10" s="1"/>
  <c r="X158" i="10" s="1"/>
  <c r="BR47" i="21" s="1"/>
  <c r="U158" i="10"/>
  <c r="V158" i="10" s="1"/>
  <c r="W158" i="10" s="1"/>
  <c r="Y158" i="10" s="1"/>
  <c r="BR48" i="21" s="1"/>
  <c r="U166" i="10"/>
  <c r="V166" i="10" s="1"/>
  <c r="W166" i="10" s="1"/>
  <c r="Y166" i="10" s="1"/>
  <c r="BR48" i="20" s="1"/>
  <c r="R166" i="10"/>
  <c r="S166" i="10" s="1"/>
  <c r="T166" i="10" s="1"/>
  <c r="X166" i="10" s="1"/>
  <c r="BR47" i="20" s="1"/>
  <c r="U150" i="10"/>
  <c r="V150" i="10" s="1"/>
  <c r="W150" i="10" s="1"/>
  <c r="Y150" i="10" s="1"/>
  <c r="BR48" i="22" s="1"/>
  <c r="R150" i="10"/>
  <c r="S150" i="10" s="1"/>
  <c r="T150" i="10" s="1"/>
  <c r="X150" i="10" s="1"/>
  <c r="BR47" i="22" s="1"/>
  <c r="K47" i="18" l="1"/>
  <c r="L47" i="18" s="1"/>
  <c r="AQ98" i="25" s="1"/>
  <c r="V110" i="35" s="1"/>
  <c r="K45" i="18"/>
  <c r="L45" i="18" s="1"/>
  <c r="AQ56" i="25" s="1"/>
  <c r="V64" i="35" s="1"/>
  <c r="K49" i="18"/>
  <c r="L49" i="18" s="1"/>
  <c r="AQ140" i="25" s="1"/>
  <c r="V156" i="35" s="1"/>
  <c r="K44" i="18"/>
  <c r="L44" i="18" s="1"/>
  <c r="AQ35" i="25" s="1"/>
  <c r="V41" i="35" s="1"/>
  <c r="K46" i="18"/>
  <c r="L46" i="18" s="1"/>
  <c r="AQ77" i="25" s="1"/>
  <c r="V87" i="35" s="1"/>
  <c r="K43" i="18"/>
  <c r="L43" i="18" s="1"/>
  <c r="AQ14" i="25" s="1"/>
  <c r="V18" i="35" s="1"/>
  <c r="K48" i="18"/>
  <c r="L48" i="18" s="1"/>
  <c r="AQ119" i="25" s="1"/>
  <c r="V133" i="35" s="1"/>
  <c r="K57" i="18"/>
  <c r="L57" i="18" s="1"/>
  <c r="AQ14" i="23" s="1"/>
  <c r="V18" i="33" s="1"/>
  <c r="K63" i="18"/>
  <c r="L63" i="18" s="1"/>
  <c r="AQ140" i="23" s="1"/>
  <c r="V156" i="33" s="1"/>
  <c r="K60" i="18"/>
  <c r="L60" i="18" s="1"/>
  <c r="AQ77" i="23" s="1"/>
  <c r="V87" i="33" s="1"/>
  <c r="K62" i="18"/>
  <c r="L62" i="18" s="1"/>
  <c r="AQ119" i="23" s="1"/>
  <c r="V133" i="33" s="1"/>
  <c r="K58" i="18"/>
  <c r="L58" i="18" s="1"/>
  <c r="AQ35" i="23" s="1"/>
  <c r="V41" i="33" s="1"/>
  <c r="K59" i="18"/>
  <c r="L59" i="18" s="1"/>
  <c r="AQ56" i="23" s="1"/>
  <c r="V64" i="33" s="1"/>
  <c r="K61" i="18"/>
  <c r="L61" i="18" s="1"/>
  <c r="AQ98" i="23" s="1"/>
  <c r="V110" i="33" s="1"/>
  <c r="K74" i="18"/>
  <c r="L74" i="18" s="1"/>
  <c r="AQ77" i="21" s="1"/>
  <c r="V87" i="31" s="1"/>
  <c r="K77" i="18"/>
  <c r="L77" i="18" s="1"/>
  <c r="AQ140" i="21" s="1"/>
  <c r="V156" i="31" s="1"/>
  <c r="K71" i="18"/>
  <c r="L71" i="18" s="1"/>
  <c r="AQ14" i="21" s="1"/>
  <c r="V18" i="31" s="1"/>
  <c r="K75" i="18"/>
  <c r="L75" i="18" s="1"/>
  <c r="AQ98" i="21" s="1"/>
  <c r="V110" i="31" s="1"/>
  <c r="K73" i="18"/>
  <c r="L73" i="18" s="1"/>
  <c r="AQ56" i="21" s="1"/>
  <c r="V64" i="31" s="1"/>
  <c r="K72" i="18"/>
  <c r="L72" i="18" s="1"/>
  <c r="AQ35" i="21" s="1"/>
  <c r="V41" i="31" s="1"/>
  <c r="K76" i="18"/>
  <c r="L76" i="18" s="1"/>
  <c r="AQ119" i="21" s="1"/>
  <c r="V133" i="31" s="1"/>
  <c r="K53" i="18"/>
  <c r="L53" i="18" s="1"/>
  <c r="AQ77" i="24" s="1"/>
  <c r="V87" i="34" s="1"/>
  <c r="K55" i="18"/>
  <c r="L55" i="18" s="1"/>
  <c r="AQ119" i="24" s="1"/>
  <c r="V133" i="34" s="1"/>
  <c r="K51" i="18"/>
  <c r="L51" i="18" s="1"/>
  <c r="AQ35" i="24" s="1"/>
  <c r="V41" i="34" s="1"/>
  <c r="K56" i="18"/>
  <c r="L56" i="18" s="1"/>
  <c r="AQ140" i="24" s="1"/>
  <c r="V156" i="34" s="1"/>
  <c r="K50" i="18"/>
  <c r="L50" i="18" s="1"/>
  <c r="AQ14" i="24" s="1"/>
  <c r="V18" i="34" s="1"/>
  <c r="K54" i="18"/>
  <c r="L54" i="18" s="1"/>
  <c r="AQ98" i="24" s="1"/>
  <c r="V110" i="34" s="1"/>
  <c r="K52" i="18"/>
  <c r="L52" i="18" s="1"/>
  <c r="AQ56" i="24" s="1"/>
  <c r="V64" i="34" s="1"/>
  <c r="K83" i="18"/>
  <c r="L83" i="18" s="1"/>
  <c r="AQ119" i="20" s="1"/>
  <c r="V133" i="30" s="1"/>
  <c r="K80" i="18"/>
  <c r="L80" i="18" s="1"/>
  <c r="AQ56" i="20" s="1"/>
  <c r="V64" i="30" s="1"/>
  <c r="K79" i="18"/>
  <c r="L79" i="18" s="1"/>
  <c r="AQ35" i="20" s="1"/>
  <c r="V41" i="30" s="1"/>
  <c r="K82" i="18"/>
  <c r="L82" i="18" s="1"/>
  <c r="AQ98" i="20" s="1"/>
  <c r="V110" i="30" s="1"/>
  <c r="K84" i="18"/>
  <c r="L84" i="18" s="1"/>
  <c r="AQ140" i="20" s="1"/>
  <c r="V156" i="30" s="1"/>
  <c r="K81" i="18"/>
  <c r="L81" i="18" s="1"/>
  <c r="AQ77" i="20" s="1"/>
  <c r="V87" i="30" s="1"/>
  <c r="K78" i="18"/>
  <c r="L78" i="18" s="1"/>
  <c r="AQ14" i="20" s="1"/>
  <c r="V18" i="30" s="1"/>
  <c r="K64" i="18"/>
  <c r="L64" i="18" s="1"/>
  <c r="AQ14" i="22" s="1"/>
  <c r="V18" i="32" s="1"/>
  <c r="K69" i="18"/>
  <c r="L69" i="18" s="1"/>
  <c r="AQ119" i="22" s="1"/>
  <c r="V133" i="32" s="1"/>
  <c r="K65" i="18"/>
  <c r="L65" i="18" s="1"/>
  <c r="AQ35" i="22" s="1"/>
  <c r="V41" i="32" s="1"/>
  <c r="K70" i="18"/>
  <c r="L70" i="18" s="1"/>
  <c r="AQ140" i="22" s="1"/>
  <c r="V156" i="32" s="1"/>
  <c r="K68" i="18"/>
  <c r="L68" i="18" s="1"/>
  <c r="AQ98" i="22" s="1"/>
  <c r="V110" i="32" s="1"/>
  <c r="K66" i="18"/>
  <c r="L66" i="18" s="1"/>
  <c r="AQ56" i="22" s="1"/>
  <c r="V64" i="32" s="1"/>
  <c r="K67" i="18"/>
  <c r="L67" i="18" s="1"/>
  <c r="AQ77" i="22" s="1"/>
  <c r="V87" i="32" s="1"/>
  <c r="AO100" i="16"/>
  <c r="R100" i="16" s="1"/>
  <c r="AO60" i="16"/>
  <c r="R60" i="16" s="1"/>
  <c r="AR60" i="16"/>
  <c r="T60" i="16" s="1"/>
  <c r="AR100" i="16"/>
  <c r="T100" i="16" s="1"/>
  <c r="AY100" i="16"/>
  <c r="O60" i="16"/>
  <c r="L100" i="16"/>
  <c r="AV100" i="16"/>
  <c r="AU100" i="16" s="1"/>
  <c r="AV60" i="16"/>
  <c r="AU60" i="16" s="1"/>
  <c r="L60" i="16"/>
  <c r="K213" i="6"/>
  <c r="L213" i="6" s="1"/>
  <c r="L13" i="18"/>
  <c r="L14" i="18"/>
  <c r="L11" i="18"/>
  <c r="L12" i="18"/>
  <c r="L10" i="18"/>
  <c r="AQ140" i="14" l="1"/>
  <c r="V156" i="13" s="1"/>
  <c r="AQ77" i="14"/>
  <c r="V87" i="13" s="1"/>
  <c r="AQ56" i="14"/>
  <c r="V64" i="13" s="1"/>
  <c r="AQ119" i="14"/>
  <c r="V133" i="13" s="1"/>
  <c r="AQ98" i="14"/>
  <c r="V110" i="13" s="1"/>
  <c r="F54" i="13"/>
  <c r="L52" i="13"/>
  <c r="F31" i="13"/>
  <c r="C89" i="36" l="1"/>
  <c r="L89" i="36" s="1"/>
  <c r="C112" i="36"/>
  <c r="L112" i="36" s="1"/>
  <c r="N112" i="36" s="1"/>
  <c r="C112" i="37"/>
  <c r="L112" i="37" s="1"/>
  <c r="C135" i="36"/>
  <c r="L135" i="36" s="1"/>
  <c r="C158" i="37"/>
  <c r="L158" i="37" s="1"/>
  <c r="N158" i="37" s="1"/>
  <c r="C66" i="36"/>
  <c r="L66" i="36" s="1"/>
  <c r="C66" i="37"/>
  <c r="L66" i="37" s="1"/>
  <c r="C89" i="34"/>
  <c r="L89" i="34" s="1"/>
  <c r="N89" i="34" s="1"/>
  <c r="C112" i="34"/>
  <c r="L112" i="34" s="1"/>
  <c r="N112" i="34" s="1"/>
  <c r="C135" i="34"/>
  <c r="L135" i="34" s="1"/>
  <c r="N135" i="34" s="1"/>
  <c r="C135" i="35"/>
  <c r="L135" i="35" s="1"/>
  <c r="C158" i="34"/>
  <c r="L158" i="34" s="1"/>
  <c r="N158" i="34" s="1"/>
  <c r="C66" i="34"/>
  <c r="L66" i="34" s="1"/>
  <c r="N66" i="34" s="1"/>
  <c r="C89" i="32"/>
  <c r="L89" i="32" s="1"/>
  <c r="N89" i="32" s="1"/>
  <c r="C89" i="33"/>
  <c r="L89" i="33" s="1"/>
  <c r="N89" i="33" s="1"/>
  <c r="C112" i="32"/>
  <c r="L112" i="32" s="1"/>
  <c r="N112" i="32" s="1"/>
  <c r="C112" i="33"/>
  <c r="L112" i="33" s="1"/>
  <c r="N112" i="33" s="1"/>
  <c r="C135" i="32"/>
  <c r="L135" i="32" s="1"/>
  <c r="N135" i="32" s="1"/>
  <c r="C135" i="33"/>
  <c r="L135" i="33" s="1"/>
  <c r="N135" i="33" s="1"/>
  <c r="C158" i="32"/>
  <c r="L158" i="32" s="1"/>
  <c r="N158" i="32" s="1"/>
  <c r="C158" i="33"/>
  <c r="L158" i="33" s="1"/>
  <c r="N158" i="33" s="1"/>
  <c r="C66" i="32"/>
  <c r="L66" i="32" s="1"/>
  <c r="N66" i="32" s="1"/>
  <c r="C66" i="33"/>
  <c r="L66" i="33" s="1"/>
  <c r="N66" i="33" s="1"/>
  <c r="C89" i="30"/>
  <c r="L89" i="30" s="1"/>
  <c r="N89" i="30" s="1"/>
  <c r="C89" i="31"/>
  <c r="L89" i="31" s="1"/>
  <c r="N89" i="31" s="1"/>
  <c r="C112" i="30"/>
  <c r="L112" i="30" s="1"/>
  <c r="N112" i="30" s="1"/>
  <c r="C112" i="31"/>
  <c r="L112" i="31" s="1"/>
  <c r="N112" i="31" s="1"/>
  <c r="C135" i="30"/>
  <c r="L135" i="30" s="1"/>
  <c r="N135" i="30" s="1"/>
  <c r="C135" i="31"/>
  <c r="L135" i="31" s="1"/>
  <c r="N135" i="31" s="1"/>
  <c r="C158" i="30"/>
  <c r="L158" i="30" s="1"/>
  <c r="N158" i="30" s="1"/>
  <c r="C158" i="31"/>
  <c r="L158" i="31" s="1"/>
  <c r="N158" i="31" s="1"/>
  <c r="C66" i="30"/>
  <c r="L66" i="30" s="1"/>
  <c r="N66" i="30" s="1"/>
  <c r="C66" i="31"/>
  <c r="L66" i="31" s="1"/>
  <c r="N66" i="31" s="1"/>
  <c r="C66" i="13"/>
  <c r="L66" i="13" s="1"/>
  <c r="Q51" i="13"/>
  <c r="Q52" i="13" s="1"/>
  <c r="Q53" i="13" s="1"/>
  <c r="Q54" i="13" s="1"/>
  <c r="Q97" i="13"/>
  <c r="Q98" i="13" s="1"/>
  <c r="Q99" i="13" s="1"/>
  <c r="Q100" i="13"/>
  <c r="Q123" i="13"/>
  <c r="Q120" i="13"/>
  <c r="Q121" i="13" s="1"/>
  <c r="Q122" i="13" s="1"/>
  <c r="Q146" i="13"/>
  <c r="Q143" i="13"/>
  <c r="Q144" i="13" s="1"/>
  <c r="Q145" i="13" s="1"/>
  <c r="Q77" i="13"/>
  <c r="Q74" i="13"/>
  <c r="Q75" i="13" s="1"/>
  <c r="Q76" i="13" s="1"/>
  <c r="CT73" i="6" l="1"/>
  <c r="CL1" i="28" l="1"/>
  <c r="CM9" i="28" s="1"/>
  <c r="CL1" i="29"/>
  <c r="CL1" i="26"/>
  <c r="CM4" i="26" s="1"/>
  <c r="CL1" i="27"/>
  <c r="CL1" i="24"/>
  <c r="CM3" i="24" s="1"/>
  <c r="CL1" i="25"/>
  <c r="CL1" i="22"/>
  <c r="CM5" i="22" s="1"/>
  <c r="CL1" i="23"/>
  <c r="CL1" i="20"/>
  <c r="CM7" i="20" s="1"/>
  <c r="CL1" i="21"/>
  <c r="CL1" i="7"/>
  <c r="CM4" i="7" s="1"/>
  <c r="CL1" i="14"/>
  <c r="CM15" i="28" l="1"/>
  <c r="CM14" i="28"/>
  <c r="CM21" i="28"/>
  <c r="CM13" i="28"/>
  <c r="CM20" i="28"/>
  <c r="CM12" i="28"/>
  <c r="CM18" i="28"/>
  <c r="CM10" i="28"/>
  <c r="CM19" i="28"/>
  <c r="CM11" i="28"/>
  <c r="CM17" i="28"/>
  <c r="CM8" i="28"/>
  <c r="CM16" i="28"/>
  <c r="CM7" i="28"/>
  <c r="CM4" i="28"/>
  <c r="CM5" i="28"/>
  <c r="CM6" i="28"/>
  <c r="CM20" i="24"/>
  <c r="CM3" i="28"/>
  <c r="CM14" i="24"/>
  <c r="CM2" i="28"/>
  <c r="CM21" i="26"/>
  <c r="CM17" i="26"/>
  <c r="CM18" i="26"/>
  <c r="CM21" i="24"/>
  <c r="CM16" i="26"/>
  <c r="CM15" i="26"/>
  <c r="CM14" i="26"/>
  <c r="CM13" i="26"/>
  <c r="CM3" i="29"/>
  <c r="CM4" i="29"/>
  <c r="CM2" i="29"/>
  <c r="CM5" i="29"/>
  <c r="CM6" i="29"/>
  <c r="CM7" i="29"/>
  <c r="CM8" i="29"/>
  <c r="CM9" i="29"/>
  <c r="CM10" i="29"/>
  <c r="CM11" i="29"/>
  <c r="CM12" i="29"/>
  <c r="CM13" i="29"/>
  <c r="CM14" i="29"/>
  <c r="CM15" i="29"/>
  <c r="CM16" i="29"/>
  <c r="CM17" i="29"/>
  <c r="CM18" i="29"/>
  <c r="CM19" i="29"/>
  <c r="CM20" i="29"/>
  <c r="CM21" i="29"/>
  <c r="CM9" i="26"/>
  <c r="CM13" i="24"/>
  <c r="CM8" i="26"/>
  <c r="CM17" i="24"/>
  <c r="CM20" i="26"/>
  <c r="CM12" i="26"/>
  <c r="CM16" i="24"/>
  <c r="CM19" i="26"/>
  <c r="CM11" i="26"/>
  <c r="CM15" i="24"/>
  <c r="CM10" i="26"/>
  <c r="CM3" i="26"/>
  <c r="CM2" i="26"/>
  <c r="CM7" i="26"/>
  <c r="CM6" i="26"/>
  <c r="CM5" i="26"/>
  <c r="CM12" i="24"/>
  <c r="CM19" i="24"/>
  <c r="CM11" i="24"/>
  <c r="CM18" i="24"/>
  <c r="CM10" i="24"/>
  <c r="CM9" i="24"/>
  <c r="CM2" i="27"/>
  <c r="CM4" i="27"/>
  <c r="CM3" i="27"/>
  <c r="CM5" i="27"/>
  <c r="CM6" i="27"/>
  <c r="CM7" i="27"/>
  <c r="CM8" i="27"/>
  <c r="CM9" i="27"/>
  <c r="CM10" i="27"/>
  <c r="CM11" i="27"/>
  <c r="CM12" i="27"/>
  <c r="CM13" i="27"/>
  <c r="CM14" i="27"/>
  <c r="CM15" i="27"/>
  <c r="CM16" i="27"/>
  <c r="CM17" i="27"/>
  <c r="CM18" i="27"/>
  <c r="CM19" i="27"/>
  <c r="CM20" i="27"/>
  <c r="CM21" i="27"/>
  <c r="CM8" i="24"/>
  <c r="CM7" i="24"/>
  <c r="CM4" i="24"/>
  <c r="CM2" i="24"/>
  <c r="CM6" i="24"/>
  <c r="CM5" i="24"/>
  <c r="CM17" i="22"/>
  <c r="CM16" i="22"/>
  <c r="CM15" i="22"/>
  <c r="CM14" i="22"/>
  <c r="CM10" i="22"/>
  <c r="CM21" i="22"/>
  <c r="CM19" i="22"/>
  <c r="CM8" i="22"/>
  <c r="CM3" i="25"/>
  <c r="CM2" i="25"/>
  <c r="CM4" i="25"/>
  <c r="CM5" i="25"/>
  <c r="CM6" i="25"/>
  <c r="CM7" i="25"/>
  <c r="CM8" i="25"/>
  <c r="CM9" i="25"/>
  <c r="CM10" i="25"/>
  <c r="CM11" i="25"/>
  <c r="CM12" i="25"/>
  <c r="CM13" i="25"/>
  <c r="CM14" i="25"/>
  <c r="CM15" i="25"/>
  <c r="CM16" i="25"/>
  <c r="CM17" i="25"/>
  <c r="CM18" i="25"/>
  <c r="CM19" i="25"/>
  <c r="CM20" i="25"/>
  <c r="CM21" i="25"/>
  <c r="CM9" i="22"/>
  <c r="CM18" i="22"/>
  <c r="CM7" i="22"/>
  <c r="CM2" i="22"/>
  <c r="CM11" i="22"/>
  <c r="CM3" i="22"/>
  <c r="CM6" i="22"/>
  <c r="CM13" i="22"/>
  <c r="CM4" i="22"/>
  <c r="CM20" i="22"/>
  <c r="CM12" i="22"/>
  <c r="CM19" i="20"/>
  <c r="CM17" i="20"/>
  <c r="CM16" i="20"/>
  <c r="CM8" i="20"/>
  <c r="CM2" i="23"/>
  <c r="CM4" i="23"/>
  <c r="CM3" i="23"/>
  <c r="CM6" i="23"/>
  <c r="CM5" i="23"/>
  <c r="CM7" i="23"/>
  <c r="CM8" i="23"/>
  <c r="CM9" i="23"/>
  <c r="CM10" i="23"/>
  <c r="CM11" i="23"/>
  <c r="CM12" i="23"/>
  <c r="CM13" i="23"/>
  <c r="CM14" i="23"/>
  <c r="CM15" i="23"/>
  <c r="CM16" i="23"/>
  <c r="CM17" i="23"/>
  <c r="CM18" i="23"/>
  <c r="CM19" i="23"/>
  <c r="CM20" i="23"/>
  <c r="CM21" i="23"/>
  <c r="CM3" i="20"/>
  <c r="CM11" i="20"/>
  <c r="CM9" i="20"/>
  <c r="CM18" i="20"/>
  <c r="CM10" i="20"/>
  <c r="CM2" i="20"/>
  <c r="CM15" i="20"/>
  <c r="CM5" i="20"/>
  <c r="CM14" i="20"/>
  <c r="CM6" i="20"/>
  <c r="CM21" i="20"/>
  <c r="CM4" i="20"/>
  <c r="CM13" i="20"/>
  <c r="CM20" i="20"/>
  <c r="CM12" i="20"/>
  <c r="CM2" i="21"/>
  <c r="CM5" i="21"/>
  <c r="CM6" i="21"/>
  <c r="CM4" i="21"/>
  <c r="CM3" i="21"/>
  <c r="CM7" i="21"/>
  <c r="CM8" i="21"/>
  <c r="CM9" i="21"/>
  <c r="CM10" i="21"/>
  <c r="CM11" i="21"/>
  <c r="CM12" i="21"/>
  <c r="CM13" i="21"/>
  <c r="CM14" i="21"/>
  <c r="CM15" i="21"/>
  <c r="CM16" i="21"/>
  <c r="CM17" i="21"/>
  <c r="CM18" i="21"/>
  <c r="CM19" i="21"/>
  <c r="CM20" i="21"/>
  <c r="CM21" i="21"/>
  <c r="CM17" i="14"/>
  <c r="CM16" i="14"/>
  <c r="CM18" i="14"/>
  <c r="CM19" i="14"/>
  <c r="CM20" i="14"/>
  <c r="CM21" i="14"/>
  <c r="CM17" i="7"/>
  <c r="CM19" i="7"/>
  <c r="CM11" i="7"/>
  <c r="CM3" i="7"/>
  <c r="CM18" i="7"/>
  <c r="CM15" i="7"/>
  <c r="CM9" i="7"/>
  <c r="CM13" i="7"/>
  <c r="CM10" i="7"/>
  <c r="CM12" i="7"/>
  <c r="CM14" i="7"/>
  <c r="CM16" i="7"/>
  <c r="CM5" i="7"/>
  <c r="CM2" i="7"/>
  <c r="CM7" i="7"/>
  <c r="CM6" i="7"/>
  <c r="CM8" i="7"/>
  <c r="CM20" i="7"/>
  <c r="CM21" i="7"/>
  <c r="CM2" i="14"/>
  <c r="CM3" i="14"/>
  <c r="CM4" i="14"/>
  <c r="CM5" i="14"/>
  <c r="CM6" i="14"/>
  <c r="CM7" i="14"/>
  <c r="CM8" i="14"/>
  <c r="CM9" i="14"/>
  <c r="CM10" i="14"/>
  <c r="CM11" i="14"/>
  <c r="CM12" i="14"/>
  <c r="CM13" i="14"/>
  <c r="CM14" i="14"/>
  <c r="CM15" i="14"/>
  <c r="AN39" i="14" l="1"/>
  <c r="A129" i="6" s="1"/>
  <c r="C130" i="6"/>
  <c r="I130" i="6"/>
  <c r="F130" i="6"/>
  <c r="B130" i="6"/>
  <c r="M130" i="6"/>
  <c r="G130" i="6"/>
  <c r="H130" i="6"/>
  <c r="E130" i="6"/>
  <c r="D130" i="6"/>
  <c r="C134" i="6"/>
  <c r="I134" i="6"/>
  <c r="D134" i="6"/>
  <c r="B134" i="6"/>
  <c r="H134" i="6"/>
  <c r="G134" i="6"/>
  <c r="E134" i="6"/>
  <c r="M134" i="6"/>
  <c r="F134" i="6"/>
  <c r="B128" i="6"/>
  <c r="D128" i="6"/>
  <c r="I128" i="6"/>
  <c r="H128" i="6"/>
  <c r="F128" i="6"/>
  <c r="M128" i="6"/>
  <c r="C128" i="6"/>
  <c r="G128" i="6"/>
  <c r="E128" i="6"/>
  <c r="AH39" i="14" l="1"/>
  <c r="AN41" i="14"/>
  <c r="AM41" i="14" s="1"/>
  <c r="CZ39" i="14"/>
  <c r="CY39" i="14" s="1"/>
  <c r="D129" i="6"/>
  <c r="AN40" i="14"/>
  <c r="AD39" i="14"/>
  <c r="AE39" i="14"/>
  <c r="AF39" i="14"/>
  <c r="C39" i="13" s="1"/>
  <c r="D132" i="6"/>
  <c r="C132" i="6"/>
  <c r="G132" i="6"/>
  <c r="B132" i="6"/>
  <c r="H132" i="6"/>
  <c r="I132" i="6"/>
  <c r="F132" i="6"/>
  <c r="E132" i="6"/>
  <c r="M132" i="6"/>
  <c r="G131" i="6"/>
  <c r="F131" i="6"/>
  <c r="D131" i="6"/>
  <c r="I131" i="6"/>
  <c r="E131" i="6"/>
  <c r="C131" i="6"/>
  <c r="B131" i="6"/>
  <c r="H131" i="6"/>
  <c r="M131" i="6"/>
  <c r="C133" i="6"/>
  <c r="H133" i="6"/>
  <c r="B133" i="6"/>
  <c r="M133" i="6"/>
  <c r="D133" i="6"/>
  <c r="I133" i="6"/>
  <c r="F133" i="6"/>
  <c r="G133" i="6"/>
  <c r="E133" i="6"/>
  <c r="U158" i="13"/>
  <c r="U159" i="13" s="1"/>
  <c r="T160" i="13" s="1"/>
  <c r="U66" i="13"/>
  <c r="U67" i="13" s="1"/>
  <c r="T68" i="13" s="1"/>
  <c r="AO15" i="14"/>
  <c r="AO20" i="14" s="1"/>
  <c r="U20" i="13"/>
  <c r="U21" i="13" s="1"/>
  <c r="T22" i="13" s="1"/>
  <c r="U89" i="13"/>
  <c r="U90" i="13" s="1"/>
  <c r="T91" i="13" s="1"/>
  <c r="U112" i="13"/>
  <c r="U113" i="13" s="1"/>
  <c r="T114" i="13" s="1"/>
  <c r="U135" i="13"/>
  <c r="U136" i="13" s="1"/>
  <c r="T137" i="13" s="1"/>
  <c r="DK48" i="14" l="1"/>
  <c r="DL48" i="14" s="1"/>
  <c r="DK47" i="14"/>
  <c r="DL47" i="14" s="1"/>
  <c r="DK46" i="14"/>
  <c r="DL46" i="14" s="1"/>
  <c r="DK45" i="14"/>
  <c r="DL45" i="14" s="1"/>
  <c r="DA41" i="14"/>
  <c r="DB40" i="14"/>
  <c r="DK49" i="14"/>
  <c r="DL49" i="14" s="1"/>
  <c r="DH48" i="14"/>
  <c r="DI48" i="14" s="1"/>
  <c r="DH47" i="14"/>
  <c r="DI47" i="14" s="1"/>
  <c r="DH46" i="14"/>
  <c r="DI46" i="14" s="1"/>
  <c r="DH45" i="14"/>
  <c r="DI45" i="14" s="1"/>
  <c r="DK44" i="14"/>
  <c r="DL44" i="14" s="1"/>
  <c r="DA40" i="14"/>
  <c r="DH49" i="14"/>
  <c r="DI49" i="14" s="1"/>
  <c r="DD48" i="14"/>
  <c r="DD47" i="14"/>
  <c r="DD46" i="14"/>
  <c r="DD45" i="14"/>
  <c r="DH44" i="14"/>
  <c r="DI44" i="14" s="1"/>
  <c r="DK43" i="14"/>
  <c r="DL43" i="14" s="1"/>
  <c r="DK42" i="14"/>
  <c r="DL42" i="14" s="1"/>
  <c r="DD49" i="14"/>
  <c r="DC48" i="14"/>
  <c r="DC47" i="14"/>
  <c r="DC46" i="14"/>
  <c r="DC45" i="14"/>
  <c r="DD44" i="14"/>
  <c r="DH43" i="14"/>
  <c r="DI43" i="14" s="1"/>
  <c r="DH42" i="14"/>
  <c r="DI42" i="14" s="1"/>
  <c r="DK41" i="14"/>
  <c r="DL41" i="14" s="1"/>
  <c r="DC49" i="14"/>
  <c r="DB48" i="14"/>
  <c r="DE48" i="14" s="1"/>
  <c r="DB47" i="14"/>
  <c r="DE47" i="14" s="1"/>
  <c r="DB46" i="14"/>
  <c r="DB45" i="14"/>
  <c r="DC44" i="14"/>
  <c r="DD43" i="14"/>
  <c r="DD42" i="14"/>
  <c r="DH41" i="14"/>
  <c r="DI41" i="14" s="1"/>
  <c r="DK40" i="14"/>
  <c r="DL40" i="14" s="1"/>
  <c r="DB49" i="14"/>
  <c r="DE49" i="14" s="1"/>
  <c r="DA48" i="14"/>
  <c r="DA47" i="14"/>
  <c r="DA46" i="14"/>
  <c r="DA45" i="14"/>
  <c r="DB44" i="14"/>
  <c r="DC43" i="14"/>
  <c r="DC42" i="14"/>
  <c r="DD41" i="14"/>
  <c r="DH40" i="14"/>
  <c r="DI40" i="14" s="1"/>
  <c r="DA49" i="14"/>
  <c r="DA44" i="14"/>
  <c r="DB43" i="14"/>
  <c r="DB42" i="14"/>
  <c r="DC41" i="14"/>
  <c r="DD40" i="14"/>
  <c r="DA42" i="14"/>
  <c r="DC40" i="14"/>
  <c r="DB41" i="14"/>
  <c r="DA43" i="14"/>
  <c r="DD36" i="14"/>
  <c r="DE36" i="14" s="1"/>
  <c r="DC37" i="14" s="1"/>
  <c r="D30" i="13"/>
  <c r="U43" i="13" s="1"/>
  <c r="U44" i="13" s="1"/>
  <c r="T45" i="13" s="1"/>
  <c r="AE41" i="14"/>
  <c r="AI41" i="14"/>
  <c r="AI39" i="14"/>
  <c r="AD41" i="14"/>
  <c r="AO36" i="14"/>
  <c r="AO41" i="14" s="1"/>
  <c r="AB41" i="14" s="1"/>
  <c r="AC41" i="14" s="1"/>
  <c r="AP41" i="14" s="1"/>
  <c r="AG41" i="14"/>
  <c r="AH41" i="14"/>
  <c r="AJ41" i="14"/>
  <c r="AF41" i="14"/>
  <c r="AL41" i="14"/>
  <c r="AK41" i="14"/>
  <c r="AB20" i="14"/>
  <c r="AC20" i="14" s="1"/>
  <c r="AP20" i="14" s="1"/>
  <c r="G129" i="6"/>
  <c r="E129" i="6"/>
  <c r="B129" i="6"/>
  <c r="H129" i="6"/>
  <c r="M129" i="6"/>
  <c r="AO39" i="14"/>
  <c r="AO40" i="14"/>
  <c r="F129" i="6"/>
  <c r="C129" i="6"/>
  <c r="I129" i="6"/>
  <c r="AI40" i="14"/>
  <c r="AH40" i="14"/>
  <c r="AF40" i="14"/>
  <c r="AK40" i="14"/>
  <c r="AM40" i="14"/>
  <c r="AL40" i="14"/>
  <c r="AE40" i="14"/>
  <c r="AD40" i="14"/>
  <c r="AJ40" i="14"/>
  <c r="AG40" i="14"/>
  <c r="AO19" i="14"/>
  <c r="AO18" i="14"/>
  <c r="D147" i="13"/>
  <c r="D149" i="13" s="1"/>
  <c r="I145" i="13"/>
  <c r="D101" i="13"/>
  <c r="I99" i="13"/>
  <c r="D78" i="13"/>
  <c r="I76" i="13"/>
  <c r="F99" i="13"/>
  <c r="F76" i="13"/>
  <c r="F145" i="13"/>
  <c r="I53" i="13"/>
  <c r="D55" i="13"/>
  <c r="F53" i="13"/>
  <c r="D9" i="13"/>
  <c r="I7" i="13"/>
  <c r="I122" i="13"/>
  <c r="D124" i="13"/>
  <c r="F122" i="13"/>
  <c r="AO12" i="14" l="1"/>
  <c r="AO11" i="14"/>
  <c r="AO32" i="14"/>
  <c r="AO33" i="14"/>
  <c r="DE40" i="14"/>
  <c r="DE44" i="14"/>
  <c r="DE42" i="14"/>
  <c r="DE46" i="14"/>
  <c r="DE41" i="14"/>
  <c r="DE45" i="14"/>
  <c r="DE43" i="14"/>
  <c r="DA50" i="14"/>
  <c r="DC17" i="14"/>
  <c r="CZ15" i="14" s="1"/>
  <c r="O12" i="14" s="1"/>
  <c r="AB39" i="14"/>
  <c r="DC38" i="14"/>
  <c r="CZ36" i="14" s="1"/>
  <c r="O33" i="14" s="1"/>
  <c r="I30" i="13"/>
  <c r="D32" i="13"/>
  <c r="I32" i="13" s="1"/>
  <c r="AO50" i="14"/>
  <c r="AB40" i="14"/>
  <c r="AC40" i="14" s="1"/>
  <c r="AP40" i="14" s="1"/>
  <c r="AC39" i="14"/>
  <c r="I147" i="13"/>
  <c r="AB18" i="14"/>
  <c r="AC18" i="14" s="1"/>
  <c r="AO29" i="14"/>
  <c r="AB19" i="14"/>
  <c r="AC19" i="14" s="1"/>
  <c r="AP19" i="14" s="1"/>
  <c r="D126" i="13"/>
  <c r="I124" i="13"/>
  <c r="I78" i="13"/>
  <c r="D80" i="13"/>
  <c r="I149" i="13"/>
  <c r="D154" i="13"/>
  <c r="I154" i="13" s="1"/>
  <c r="D57" i="13"/>
  <c r="I55" i="13"/>
  <c r="I9" i="13"/>
  <c r="D11" i="13"/>
  <c r="D103" i="13"/>
  <c r="I101" i="13"/>
  <c r="U9" i="13" l="1"/>
  <c r="H8" i="13" s="1"/>
  <c r="U32" i="13"/>
  <c r="DC15" i="14"/>
  <c r="CY21" i="14" s="1"/>
  <c r="DJ21" i="14" s="1"/>
  <c r="DC36" i="14"/>
  <c r="CY42" i="14" s="1"/>
  <c r="D34" i="13"/>
  <c r="D39" i="13" s="1"/>
  <c r="I39" i="13" s="1"/>
  <c r="AB50" i="14"/>
  <c r="U33" i="13" s="1"/>
  <c r="AC50" i="14"/>
  <c r="AP39" i="14"/>
  <c r="AC29" i="14"/>
  <c r="H7" i="13" s="1"/>
  <c r="AP18" i="14"/>
  <c r="AB29" i="14"/>
  <c r="D62" i="13"/>
  <c r="I62" i="13" s="1"/>
  <c r="I57" i="13"/>
  <c r="D108" i="13"/>
  <c r="I108" i="13" s="1"/>
  <c r="I103" i="13"/>
  <c r="D16" i="13"/>
  <c r="I16" i="13" s="1"/>
  <c r="I11" i="13"/>
  <c r="D85" i="13"/>
  <c r="I85" i="13" s="1"/>
  <c r="I80" i="13"/>
  <c r="D131" i="13"/>
  <c r="I131" i="13" s="1"/>
  <c r="I126" i="13"/>
  <c r="H18" i="13" l="1"/>
  <c r="L18" i="13" s="1"/>
  <c r="H10" i="13"/>
  <c r="H12" i="13" s="1"/>
  <c r="L8" i="13"/>
  <c r="U10" i="13"/>
  <c r="H14" i="13" s="1"/>
  <c r="L14" i="13" s="1"/>
  <c r="DF21" i="14"/>
  <c r="CY22" i="14"/>
  <c r="CY23" i="14" s="1"/>
  <c r="CY24" i="14" s="1"/>
  <c r="DM21" i="14"/>
  <c r="CY43" i="14"/>
  <c r="CY44" i="14" s="1"/>
  <c r="CY45" i="14" s="1"/>
  <c r="DF42" i="14"/>
  <c r="DM42" i="14"/>
  <c r="DJ42" i="14"/>
  <c r="I34" i="13"/>
  <c r="AP50" i="14"/>
  <c r="X41" i="14"/>
  <c r="AP35" i="14"/>
  <c r="X20" i="14"/>
  <c r="AP29" i="14"/>
  <c r="AP14" i="14"/>
  <c r="H9" i="13"/>
  <c r="H16" i="13"/>
  <c r="L16" i="13" s="1"/>
  <c r="L10" i="13" l="1"/>
  <c r="H19" i="13"/>
  <c r="L19" i="13" s="1"/>
  <c r="H13" i="13"/>
  <c r="L13" i="13" s="1"/>
  <c r="H15" i="13"/>
  <c r="L15" i="13" s="1"/>
  <c r="AP13" i="14"/>
  <c r="C6" i="13" s="1"/>
  <c r="AA128" i="6"/>
  <c r="M6" i="13"/>
  <c r="AA129" i="6"/>
  <c r="M29" i="13"/>
  <c r="K8" i="18"/>
  <c r="L8" i="18" s="1"/>
  <c r="V21" i="13"/>
  <c r="K9" i="18"/>
  <c r="L9" i="18" s="1"/>
  <c r="V44" i="13"/>
  <c r="DM23" i="14"/>
  <c r="DM22" i="14"/>
  <c r="DJ23" i="14"/>
  <c r="DF22" i="14"/>
  <c r="DJ22" i="14"/>
  <c r="DF23" i="14"/>
  <c r="CY25" i="14"/>
  <c r="CY26" i="14" s="1"/>
  <c r="CY27" i="14" s="1"/>
  <c r="CY28" i="14" s="1"/>
  <c r="DJ24" i="14"/>
  <c r="DM24" i="14"/>
  <c r="CY46" i="14"/>
  <c r="DJ46" i="14" s="1"/>
  <c r="DF24" i="14"/>
  <c r="DF45" i="14"/>
  <c r="DM45" i="14"/>
  <c r="DJ45" i="14"/>
  <c r="DJ44" i="14"/>
  <c r="DF44" i="14"/>
  <c r="DM44" i="14"/>
  <c r="DJ43" i="14"/>
  <c r="DF43" i="14"/>
  <c r="DM43" i="14"/>
  <c r="BZ40" i="14"/>
  <c r="BZ39" i="14" s="1"/>
  <c r="E38" i="14"/>
  <c r="AP34" i="14"/>
  <c r="C29" i="13" s="1"/>
  <c r="BZ19" i="14"/>
  <c r="H11" i="13"/>
  <c r="H17" i="13"/>
  <c r="L17" i="13" s="1"/>
  <c r="L12" i="13"/>
  <c r="AQ35" i="14" l="1"/>
  <c r="V41" i="13" s="1"/>
  <c r="AQ14" i="14"/>
  <c r="V18" i="13" s="1"/>
  <c r="G38" i="14"/>
  <c r="AE109" i="16"/>
  <c r="AA109" i="16" s="1"/>
  <c r="DJ25" i="14"/>
  <c r="DF25" i="14"/>
  <c r="DM25" i="14"/>
  <c r="DF46" i="14"/>
  <c r="DM28" i="14"/>
  <c r="DJ28" i="14"/>
  <c r="DF28" i="14"/>
  <c r="DJ27" i="14"/>
  <c r="DF27" i="14"/>
  <c r="DM27" i="14"/>
  <c r="DM46" i="14"/>
  <c r="CY47" i="14"/>
  <c r="CY48" i="14" s="1"/>
  <c r="CY49" i="14" s="1"/>
  <c r="DF26" i="14"/>
  <c r="DM26" i="14"/>
  <c r="DJ26" i="14"/>
  <c r="BV42" i="14"/>
  <c r="BV41" i="14"/>
  <c r="BV40" i="14"/>
  <c r="BV39" i="14" s="1"/>
  <c r="B44" i="14" s="1"/>
  <c r="L29" i="13"/>
  <c r="BZ18" i="14"/>
  <c r="L6" i="13"/>
  <c r="DF18" i="14" l="1"/>
  <c r="DE16" i="14" s="1"/>
  <c r="DG17" i="14" s="1"/>
  <c r="AK18" i="14" s="1"/>
  <c r="C7" i="13" s="1"/>
  <c r="DJ18" i="14"/>
  <c r="AG18" i="14" s="1"/>
  <c r="DM18" i="14"/>
  <c r="AJ18" i="14" s="1"/>
  <c r="DM48" i="14"/>
  <c r="DJ48" i="14"/>
  <c r="DF48" i="14"/>
  <c r="DF49" i="14"/>
  <c r="DJ49" i="14"/>
  <c r="DM49" i="14"/>
  <c r="DM47" i="14"/>
  <c r="DF47" i="14"/>
  <c r="DJ47" i="14"/>
  <c r="C43" i="37"/>
  <c r="L43" i="37" s="1"/>
  <c r="C20" i="35"/>
  <c r="L20" i="35" s="1"/>
  <c r="N20" i="35" s="1"/>
  <c r="C43" i="35"/>
  <c r="L43" i="35" s="1"/>
  <c r="C43" i="36"/>
  <c r="L43" i="36" s="1"/>
  <c r="C20" i="33"/>
  <c r="L20" i="33" s="1"/>
  <c r="N20" i="33" s="1"/>
  <c r="C20" i="34"/>
  <c r="L20" i="34" s="1"/>
  <c r="N20" i="34" s="1"/>
  <c r="C43" i="33"/>
  <c r="L43" i="33" s="1"/>
  <c r="N43" i="33" s="1"/>
  <c r="C43" i="34"/>
  <c r="L43" i="34" s="1"/>
  <c r="N43" i="34" s="1"/>
  <c r="C20" i="31"/>
  <c r="L20" i="31" s="1"/>
  <c r="N20" i="31" s="1"/>
  <c r="C20" i="32"/>
  <c r="L20" i="32" s="1"/>
  <c r="N20" i="32" s="1"/>
  <c r="C43" i="31"/>
  <c r="L43" i="31" s="1"/>
  <c r="N43" i="31" s="1"/>
  <c r="C43" i="32"/>
  <c r="L43" i="32" s="1"/>
  <c r="N43" i="32" s="1"/>
  <c r="C20" i="13"/>
  <c r="L20" i="13" s="1"/>
  <c r="C20" i="30"/>
  <c r="L20" i="30" s="1"/>
  <c r="N20" i="30" s="1"/>
  <c r="C43" i="13"/>
  <c r="L43" i="13" s="1"/>
  <c r="C43" i="30"/>
  <c r="L43" i="30" s="1"/>
  <c r="N43" i="30" s="1"/>
  <c r="BZ42" i="14"/>
  <c r="CA42" i="14"/>
  <c r="BV21" i="14"/>
  <c r="BV20" i="14"/>
  <c r="BV19" i="14"/>
  <c r="C9" i="13" l="1"/>
  <c r="L9" i="13" s="1"/>
  <c r="C11" i="13"/>
  <c r="L11" i="13" s="1"/>
  <c r="DI17" i="14"/>
  <c r="DH17" i="14"/>
  <c r="AL18" i="14" s="1"/>
  <c r="G7" i="13" s="1"/>
  <c r="DJ39" i="14"/>
  <c r="AG39" i="14" s="1"/>
  <c r="DM39" i="14"/>
  <c r="AJ39" i="14" s="1"/>
  <c r="DF39" i="14"/>
  <c r="DE37" i="14" s="1"/>
  <c r="DH38" i="14" s="1"/>
  <c r="BV18" i="14"/>
  <c r="B23" i="14" s="1"/>
  <c r="CB42" i="14"/>
  <c r="CB43" i="14" s="1"/>
  <c r="BZ44" i="14" s="1"/>
  <c r="AO35" i="14" s="1"/>
  <c r="Q27" i="13" s="1"/>
  <c r="CA21" i="14"/>
  <c r="BZ21" i="14"/>
  <c r="C32" i="13" l="1"/>
  <c r="C34" i="13"/>
  <c r="DG38" i="14"/>
  <c r="AK39" i="14" s="1"/>
  <c r="DI38" i="14"/>
  <c r="F7" i="13"/>
  <c r="AM18" i="14"/>
  <c r="M7" i="13" s="1"/>
  <c r="Q28" i="13"/>
  <c r="Q29" i="13" s="1"/>
  <c r="Q30" i="13" s="1"/>
  <c r="Q31" i="13" s="1"/>
  <c r="CB21" i="14"/>
  <c r="CB22" i="14" s="1"/>
  <c r="BZ23" i="14" s="1"/>
  <c r="AO14" i="14" s="1"/>
  <c r="AL39" i="14" l="1"/>
  <c r="G30" i="13" s="1"/>
  <c r="F30" i="13" s="1"/>
  <c r="C30" i="13"/>
  <c r="Q4" i="13"/>
  <c r="Q5" i="13" s="1"/>
  <c r="Q6" i="13" s="1"/>
  <c r="Q7" i="13" s="1"/>
  <c r="Q8" i="13" s="1"/>
  <c r="L7" i="13"/>
  <c r="W111" i="16"/>
  <c r="AM39" i="14" l="1"/>
  <c r="M30" i="13" s="1"/>
  <c r="L21" i="13"/>
  <c r="L24" i="13"/>
  <c r="N7" i="13" s="1"/>
  <c r="M22" i="13" l="1"/>
  <c r="N6" i="13"/>
  <c r="K24" i="13" s="1"/>
  <c r="N13" i="13"/>
  <c r="N16" i="13"/>
  <c r="N11" i="13"/>
  <c r="N18" i="13"/>
  <c r="N17" i="13"/>
  <c r="N10" i="13"/>
  <c r="N20" i="13"/>
  <c r="N14" i="13"/>
  <c r="N15" i="13"/>
  <c r="N9" i="13"/>
  <c r="N8" i="13"/>
  <c r="N12" i="13"/>
  <c r="N19" i="13"/>
  <c r="V4" i="13" l="1"/>
  <c r="N24" i="13"/>
  <c r="G39" i="14"/>
  <c r="G40" i="14" s="1"/>
  <c r="E39" i="14"/>
  <c r="AI109" i="16" l="1"/>
  <c r="AV109" i="16" s="1"/>
  <c r="AU109" i="16" s="1"/>
  <c r="U4" i="13"/>
  <c r="L22" i="13"/>
  <c r="Q10" i="13" s="1"/>
  <c r="Q11" i="13" s="1"/>
  <c r="Q12" i="13" s="1"/>
  <c r="Q13" i="13" s="1"/>
  <c r="E41" i="14"/>
  <c r="AO109" i="16" s="1"/>
  <c r="V41" i="14"/>
  <c r="K290" i="6"/>
  <c r="A303" i="6" s="1"/>
  <c r="Q14" i="13"/>
  <c r="Q16" i="13" l="1"/>
  <c r="Q17" i="13"/>
  <c r="E17" i="14"/>
  <c r="B304" i="6"/>
  <c r="B305" i="6"/>
  <c r="B306" i="6"/>
  <c r="G17" i="14" l="1"/>
  <c r="G18" i="14" s="1"/>
  <c r="G19" i="14" s="1"/>
  <c r="AE108" i="16"/>
  <c r="AA108" i="16" s="1"/>
  <c r="B108" i="16" s="1"/>
  <c r="E108" i="16" s="1"/>
  <c r="Q18" i="13"/>
  <c r="Q15" i="13" s="1"/>
  <c r="Q19" i="13"/>
  <c r="W4" i="13" s="1"/>
  <c r="B20" i="14" s="1"/>
  <c r="E19" i="14"/>
  <c r="AL108" i="16" s="1"/>
  <c r="E18" i="14"/>
  <c r="AI108" i="16" s="1"/>
  <c r="H306" i="6"/>
  <c r="I306" i="6" s="1"/>
  <c r="L23" i="13" l="1"/>
  <c r="T4" i="13" s="1"/>
  <c r="E21" i="14"/>
  <c r="L108" i="16"/>
  <c r="AV108" i="16"/>
  <c r="AU108" i="16" s="1"/>
  <c r="O108" i="16"/>
  <c r="AY108" i="16"/>
  <c r="V20" i="14"/>
  <c r="E20" i="14"/>
  <c r="W20" i="14"/>
  <c r="U20" i="14" s="1"/>
  <c r="W108" i="16"/>
  <c r="W107" i="16" s="1"/>
  <c r="H108" i="16"/>
  <c r="AR108" i="16" l="1"/>
  <c r="T108" i="16" s="1"/>
  <c r="AO108" i="16"/>
  <c r="R108" i="16" s="1"/>
  <c r="E60" i="14" l="1"/>
  <c r="G60" i="14"/>
  <c r="G61" i="14" s="1"/>
  <c r="AI110" i="16" l="1"/>
  <c r="AV110" i="16" s="1"/>
  <c r="AU110" i="16" s="1"/>
  <c r="V62" i="14"/>
  <c r="E62" i="14"/>
  <c r="AO110" i="16" s="1"/>
  <c r="F53" i="9" l="1"/>
  <c r="F99" i="9"/>
  <c r="F76" i="9"/>
  <c r="F122" i="9"/>
  <c r="F145" i="9"/>
  <c r="T229" i="16" l="1"/>
  <c r="L252" i="16"/>
  <c r="O222" i="16"/>
  <c r="R247" i="16"/>
  <c r="T246" i="16"/>
  <c r="R255" i="16"/>
  <c r="T228" i="16"/>
  <c r="L246" i="16"/>
  <c r="L253" i="16"/>
  <c r="R245" i="16"/>
  <c r="T221" i="16"/>
  <c r="R230" i="16"/>
  <c r="L238" i="16"/>
  <c r="T230" i="16"/>
  <c r="O221" i="16"/>
  <c r="O255" i="16"/>
  <c r="T244" i="16"/>
  <c r="O230" i="16"/>
  <c r="O220" i="16"/>
  <c r="R228" i="16"/>
  <c r="T252" i="16"/>
  <c r="T236" i="16"/>
  <c r="T238" i="16"/>
  <c r="R221" i="16"/>
  <c r="L220" i="16"/>
  <c r="L245" i="16"/>
  <c r="T255" i="16"/>
  <c r="L244" i="16"/>
  <c r="R220" i="16"/>
  <c r="R244" i="16"/>
  <c r="T247" i="16"/>
  <c r="O229" i="16"/>
  <c r="O223" i="16"/>
  <c r="R246" i="16"/>
  <c r="O252" i="16"/>
  <c r="R239" i="16"/>
  <c r="O238" i="16"/>
  <c r="T222" i="16"/>
  <c r="O231" i="16"/>
  <c r="O236" i="16"/>
  <c r="R222" i="16"/>
  <c r="O247" i="16"/>
  <c r="O246" i="16"/>
  <c r="L236" i="16"/>
  <c r="T223" i="16"/>
  <c r="R237" i="16"/>
  <c r="T231" i="16"/>
  <c r="O237" i="16"/>
  <c r="T254" i="16"/>
  <c r="O245" i="16"/>
  <c r="T245" i="16"/>
  <c r="R223" i="16"/>
  <c r="L231" i="16"/>
  <c r="R252" i="16"/>
  <c r="T253" i="16"/>
  <c r="O254" i="16"/>
  <c r="T220" i="16"/>
  <c r="R238" i="16"/>
  <c r="L230" i="16"/>
  <c r="R254" i="16"/>
  <c r="L228" i="16"/>
  <c r="R231" i="16"/>
  <c r="L237" i="16"/>
  <c r="R236" i="16"/>
  <c r="R253" i="16"/>
  <c r="L239" i="16"/>
  <c r="L229" i="16"/>
  <c r="T237" i="16"/>
  <c r="L255" i="16"/>
  <c r="O244" i="16"/>
  <c r="L223" i="16"/>
  <c r="L247" i="16"/>
  <c r="T239" i="16"/>
  <c r="O239" i="16"/>
  <c r="L222" i="16"/>
  <c r="O228" i="16"/>
  <c r="R229" i="16"/>
  <c r="L221" i="16"/>
  <c r="L254" i="16"/>
  <c r="O253" i="16"/>
  <c r="H254" i="16" l="1"/>
  <c r="B254" i="16"/>
  <c r="B238" i="16"/>
  <c r="H238" i="16"/>
  <c r="B220" i="16"/>
  <c r="H220" i="16"/>
  <c r="B221" i="16"/>
  <c r="H221" i="16"/>
  <c r="B255" i="16"/>
  <c r="H255" i="16"/>
  <c r="B246" i="16"/>
  <c r="H246" i="16"/>
  <c r="B245" i="16"/>
  <c r="H245" i="16"/>
  <c r="B222" i="16"/>
  <c r="H222" i="16"/>
  <c r="H236" i="16"/>
  <c r="B236" i="16"/>
  <c r="B229" i="16"/>
  <c r="H229" i="16"/>
  <c r="H244" i="16"/>
  <c r="B244" i="16"/>
  <c r="B230" i="16"/>
  <c r="H230" i="16"/>
  <c r="B253" i="16"/>
  <c r="H253" i="16"/>
  <c r="B247" i="16"/>
  <c r="H247" i="16"/>
  <c r="B252" i="16"/>
  <c r="H252" i="16"/>
  <c r="H237" i="16"/>
  <c r="B237" i="16"/>
  <c r="H228" i="16"/>
  <c r="B228" i="16"/>
  <c r="B239" i="16"/>
  <c r="H239" i="16"/>
  <c r="B231" i="16"/>
  <c r="H231" i="16"/>
  <c r="B223" i="16"/>
  <c r="H223" i="16"/>
  <c r="W119" i="16" l="1"/>
  <c r="W122" i="16"/>
  <c r="W230" i="16"/>
  <c r="E230" i="16"/>
  <c r="E229" i="16"/>
  <c r="W229" i="16"/>
  <c r="W215" i="16"/>
  <c r="E255" i="16"/>
  <c r="W255" i="16"/>
  <c r="E220" i="16"/>
  <c r="W220" i="16"/>
  <c r="W213" i="16"/>
  <c r="W121" i="16"/>
  <c r="E236" i="16"/>
  <c r="W236" i="16"/>
  <c r="W145" i="16"/>
  <c r="E223" i="16"/>
  <c r="W223" i="16"/>
  <c r="E239" i="16"/>
  <c r="W239" i="16"/>
  <c r="E252" i="16"/>
  <c r="W252" i="16"/>
  <c r="W136" i="16"/>
  <c r="E222" i="16"/>
  <c r="W222" i="16"/>
  <c r="E246" i="16"/>
  <c r="W246" i="16"/>
  <c r="E221" i="16"/>
  <c r="W221" i="16"/>
  <c r="E238" i="16"/>
  <c r="W238" i="16"/>
  <c r="E228" i="16"/>
  <c r="W228" i="16"/>
  <c r="W144" i="16"/>
  <c r="W143" i="16"/>
  <c r="E231" i="16"/>
  <c r="W231" i="16"/>
  <c r="W247" i="16"/>
  <c r="E247" i="16"/>
  <c r="W130" i="16"/>
  <c r="W129" i="16"/>
  <c r="W245" i="16"/>
  <c r="E245" i="16"/>
  <c r="W214" i="16"/>
  <c r="W135" i="16"/>
  <c r="E244" i="16"/>
  <c r="W244" i="16"/>
  <c r="W127" i="16"/>
  <c r="W137" i="16"/>
  <c r="E254" i="16"/>
  <c r="W254" i="16"/>
  <c r="E237" i="16"/>
  <c r="W237" i="16"/>
  <c r="W146" i="16"/>
  <c r="W128" i="16"/>
  <c r="W253" i="16"/>
  <c r="E253" i="16"/>
  <c r="W120" i="16"/>
  <c r="W212" i="16"/>
  <c r="W138" i="16"/>
  <c r="W106" i="16"/>
  <c r="W105" i="16"/>
  <c r="W104" i="16"/>
  <c r="W103" i="16"/>
  <c r="B234" i="16" l="1"/>
  <c r="E234" i="16" s="1"/>
  <c r="H234" i="16"/>
  <c r="B226" i="16"/>
  <c r="E226" i="16" s="1"/>
  <c r="H226" i="16"/>
  <c r="H250" i="16"/>
  <c r="B242" i="16"/>
  <c r="E242" i="16" s="1"/>
  <c r="H242" i="16"/>
  <c r="B218" i="16"/>
  <c r="E218" i="16" s="1"/>
  <c r="H218" i="16"/>
  <c r="L242" i="16"/>
  <c r="L250" i="16"/>
  <c r="O242" i="16"/>
  <c r="O250" i="16"/>
  <c r="L226" i="16"/>
  <c r="L234" i="16"/>
  <c r="O226" i="16"/>
  <c r="O234" i="16"/>
  <c r="L218" i="16"/>
  <c r="O218" i="16"/>
  <c r="L109" i="16"/>
  <c r="H109" i="16"/>
  <c r="W218" i="16" l="1"/>
  <c r="W234" i="16"/>
  <c r="W226" i="16"/>
  <c r="W210" i="16"/>
  <c r="W242" i="16"/>
  <c r="B250" i="16"/>
  <c r="E250" i="16" s="1"/>
  <c r="W125" i="16"/>
  <c r="R242" i="16"/>
  <c r="R250" i="16"/>
  <c r="T242" i="16"/>
  <c r="T250" i="16"/>
  <c r="W133" i="16"/>
  <c r="T226" i="16"/>
  <c r="T234" i="16"/>
  <c r="R226" i="16"/>
  <c r="R234" i="16"/>
  <c r="T218" i="16"/>
  <c r="R218" i="16"/>
  <c r="W141" i="16"/>
  <c r="R109" i="16"/>
  <c r="W117" i="16"/>
  <c r="B109" i="16"/>
  <c r="E109" i="16" s="1"/>
  <c r="W250" i="16" l="1"/>
  <c r="W109" i="16"/>
  <c r="W101" i="16"/>
  <c r="B219" i="16" l="1"/>
  <c r="E219" i="16" s="1"/>
  <c r="H219" i="16"/>
  <c r="B235" i="16"/>
  <c r="E235" i="16" s="1"/>
  <c r="H235" i="16"/>
  <c r="B227" i="16"/>
  <c r="E227" i="16" s="1"/>
  <c r="H227" i="16"/>
  <c r="H251" i="16"/>
  <c r="B243" i="16"/>
  <c r="E243" i="16" s="1"/>
  <c r="H243" i="16"/>
  <c r="L243" i="16"/>
  <c r="L251" i="16"/>
  <c r="O243" i="16"/>
  <c r="O251" i="16"/>
  <c r="L227" i="16"/>
  <c r="L235" i="16"/>
  <c r="O227" i="16"/>
  <c r="O235" i="16"/>
  <c r="L219" i="16"/>
  <c r="O219" i="16"/>
  <c r="L110" i="16"/>
  <c r="B110" i="16"/>
  <c r="E110" i="16" s="1"/>
  <c r="H110" i="16"/>
  <c r="W235" i="16"/>
  <c r="W243" i="16" l="1"/>
  <c r="W219" i="16"/>
  <c r="W227" i="16"/>
  <c r="W211" i="16"/>
  <c r="B251" i="16"/>
  <c r="E251" i="16" s="1"/>
  <c r="W126" i="16"/>
  <c r="W142" i="16"/>
  <c r="R243" i="16"/>
  <c r="R251" i="16"/>
  <c r="T243" i="16"/>
  <c r="T251" i="16"/>
  <c r="T227" i="16"/>
  <c r="T235" i="16"/>
  <c r="R227" i="16"/>
  <c r="R235" i="16"/>
  <c r="R219" i="16"/>
  <c r="T219" i="16"/>
  <c r="W110" i="16"/>
  <c r="R110" i="16"/>
  <c r="W251" i="16" l="1"/>
  <c r="W134" i="16"/>
  <c r="W118" i="16"/>
  <c r="W102" i="16"/>
  <c r="AO15" i="29" l="1"/>
  <c r="Q19" i="29"/>
  <c r="Q20" i="29" s="1"/>
  <c r="S19" i="29"/>
  <c r="S20" i="29" s="1"/>
  <c r="O22" i="29"/>
  <c r="BV25" i="29"/>
  <c r="O24" i="29"/>
  <c r="O23" i="29"/>
  <c r="Q38" i="29"/>
  <c r="S40" i="29" s="1"/>
  <c r="S41" i="29" s="1"/>
  <c r="K34" i="29"/>
  <c r="AN18" i="29"/>
  <c r="A135" i="6" s="1"/>
  <c r="O44" i="29" l="1"/>
  <c r="S45" i="29"/>
  <c r="S44" i="29"/>
  <c r="Q59" i="29"/>
  <c r="BV67" i="29" s="1"/>
  <c r="BV46" i="29"/>
  <c r="CZ18" i="29"/>
  <c r="CY18" i="29" s="1"/>
  <c r="AH18" i="29"/>
  <c r="O43" i="29"/>
  <c r="AE18" i="29"/>
  <c r="AD18" i="29"/>
  <c r="K55" i="29"/>
  <c r="Q40" i="29"/>
  <c r="Q41" i="29" s="1"/>
  <c r="O45" i="29"/>
  <c r="AF18" i="29"/>
  <c r="Q61" i="29"/>
  <c r="Q62" i="29" s="1"/>
  <c r="S66" i="29" l="1"/>
  <c r="S65" i="29"/>
  <c r="Q80" i="29"/>
  <c r="O64" i="29"/>
  <c r="S61" i="29"/>
  <c r="S62" i="29" s="1"/>
  <c r="AI18" i="29"/>
  <c r="C16" i="39"/>
  <c r="DD15" i="29"/>
  <c r="DE15" i="29" s="1"/>
  <c r="DC16" i="29" s="1"/>
  <c r="DC15" i="29" s="1"/>
  <c r="D7" i="39"/>
  <c r="U20" i="39" s="1"/>
  <c r="U21" i="39" s="1"/>
  <c r="T22" i="39" s="1"/>
  <c r="DC28" i="29"/>
  <c r="DB27" i="29"/>
  <c r="DE27" i="29" s="1"/>
  <c r="DB26" i="29"/>
  <c r="DE26" i="29" s="1"/>
  <c r="DB25" i="29"/>
  <c r="DB24" i="29"/>
  <c r="DC23" i="29"/>
  <c r="DD22" i="29"/>
  <c r="DD21" i="29"/>
  <c r="DH20" i="29"/>
  <c r="DI20" i="29" s="1"/>
  <c r="DK19" i="29"/>
  <c r="DL19" i="29" s="1"/>
  <c r="DC24" i="29"/>
  <c r="DB28" i="29"/>
  <c r="DE28" i="29" s="1"/>
  <c r="DA27" i="29"/>
  <c r="DA26" i="29"/>
  <c r="DA25" i="29"/>
  <c r="DA24" i="29"/>
  <c r="DB23" i="29"/>
  <c r="DC22" i="29"/>
  <c r="DC21" i="29"/>
  <c r="DD20" i="29"/>
  <c r="DH19" i="29"/>
  <c r="DI19" i="29" s="1"/>
  <c r="DD28" i="29"/>
  <c r="DH22" i="29"/>
  <c r="DI22" i="29" s="1"/>
  <c r="DA28" i="29"/>
  <c r="DA23" i="29"/>
  <c r="DB22" i="29"/>
  <c r="DB21" i="29"/>
  <c r="DC20" i="29"/>
  <c r="DD19" i="29"/>
  <c r="DH21" i="29"/>
  <c r="DI21" i="29" s="1"/>
  <c r="DA22" i="29"/>
  <c r="DA21" i="29"/>
  <c r="DB20" i="29"/>
  <c r="DC19" i="29"/>
  <c r="DC26" i="29"/>
  <c r="DK20" i="29"/>
  <c r="DL20" i="29" s="1"/>
  <c r="DK27" i="29"/>
  <c r="DL27" i="29" s="1"/>
  <c r="DK26" i="29"/>
  <c r="DL26" i="29" s="1"/>
  <c r="DK25" i="29"/>
  <c r="DL25" i="29" s="1"/>
  <c r="DK24" i="29"/>
  <c r="DL24" i="29" s="1"/>
  <c r="DA20" i="29"/>
  <c r="DB19" i="29"/>
  <c r="DK28" i="29"/>
  <c r="DL28" i="29" s="1"/>
  <c r="DH27" i="29"/>
  <c r="DI27" i="29" s="1"/>
  <c r="DH26" i="29"/>
  <c r="DI26" i="29" s="1"/>
  <c r="DH25" i="29"/>
  <c r="DI25" i="29" s="1"/>
  <c r="DH24" i="29"/>
  <c r="DI24" i="29" s="1"/>
  <c r="DK23" i="29"/>
  <c r="DL23" i="29" s="1"/>
  <c r="DA19" i="29"/>
  <c r="DC25" i="29"/>
  <c r="DH28" i="29"/>
  <c r="DI28" i="29" s="1"/>
  <c r="DD27" i="29"/>
  <c r="DD26" i="29"/>
  <c r="DD25" i="29"/>
  <c r="DD24" i="29"/>
  <c r="DH23" i="29"/>
  <c r="DI23" i="29" s="1"/>
  <c r="DK22" i="29"/>
  <c r="DL22" i="29" s="1"/>
  <c r="DK21" i="29"/>
  <c r="DL21" i="29" s="1"/>
  <c r="DC27" i="29"/>
  <c r="DD23" i="29"/>
  <c r="E135" i="6"/>
  <c r="F135" i="6"/>
  <c r="C135" i="6"/>
  <c r="H135" i="6"/>
  <c r="I135" i="6"/>
  <c r="G135" i="6"/>
  <c r="M135" i="6"/>
  <c r="B135" i="6"/>
  <c r="D135" i="6"/>
  <c r="O65" i="29"/>
  <c r="O66" i="29"/>
  <c r="K76" i="29"/>
  <c r="DE20" i="29" l="1"/>
  <c r="Q101" i="29"/>
  <c r="S82" i="29"/>
  <c r="S83" i="29" s="1"/>
  <c r="BV88" i="29"/>
  <c r="O85" i="29"/>
  <c r="Q82" i="29"/>
  <c r="Q83" i="29" s="1"/>
  <c r="S87" i="29"/>
  <c r="S86" i="29"/>
  <c r="H7" i="39"/>
  <c r="H16" i="39" s="1"/>
  <c r="L16" i="39" s="1"/>
  <c r="DE24" i="29"/>
  <c r="DE19" i="29"/>
  <c r="DE25" i="29"/>
  <c r="DE21" i="29"/>
  <c r="DA29" i="29"/>
  <c r="DE22" i="29"/>
  <c r="DE23" i="29"/>
  <c r="CY21" i="29"/>
  <c r="D9" i="39"/>
  <c r="I7" i="39"/>
  <c r="O87" i="29"/>
  <c r="O86" i="29"/>
  <c r="K97" i="29"/>
  <c r="S108" i="29" l="1"/>
  <c r="S107" i="29"/>
  <c r="Q122" i="29"/>
  <c r="S103" i="29"/>
  <c r="S104" i="29" s="1"/>
  <c r="O106" i="29"/>
  <c r="BV109" i="29"/>
  <c r="Q103" i="29"/>
  <c r="Q104" i="29" s="1"/>
  <c r="H9" i="39"/>
  <c r="H11" i="39" s="1"/>
  <c r="DF21" i="29"/>
  <c r="DJ21" i="29"/>
  <c r="CY22" i="29"/>
  <c r="DJ22" i="29" s="1"/>
  <c r="DM21" i="29"/>
  <c r="D11" i="39"/>
  <c r="I9" i="39"/>
  <c r="O108" i="29"/>
  <c r="K118" i="29"/>
  <c r="O107" i="29"/>
  <c r="Q124" i="29" l="1"/>
  <c r="Q125" i="29" s="1"/>
  <c r="O127" i="29"/>
  <c r="S124" i="29"/>
  <c r="S125" i="29" s="1"/>
  <c r="Q143" i="29"/>
  <c r="BV130" i="29"/>
  <c r="S128" i="29"/>
  <c r="S129" i="29"/>
  <c r="CY23" i="29"/>
  <c r="CY24" i="29" s="1"/>
  <c r="DM22" i="29"/>
  <c r="DF22" i="29"/>
  <c r="I11" i="39"/>
  <c r="D16" i="39"/>
  <c r="I16" i="39" s="1"/>
  <c r="K139" i="29"/>
  <c r="O128" i="29"/>
  <c r="O129" i="29"/>
  <c r="BV151" i="29" l="1"/>
  <c r="S145" i="29"/>
  <c r="S146" i="29" s="1"/>
  <c r="Q145" i="29"/>
  <c r="Q146" i="29" s="1"/>
  <c r="O148" i="29"/>
  <c r="S149" i="29"/>
  <c r="S150" i="29"/>
  <c r="DM24" i="29"/>
  <c r="DF24" i="29"/>
  <c r="DJ24" i="29"/>
  <c r="CY25" i="29"/>
  <c r="CY26" i="29" s="1"/>
  <c r="DF23" i="29"/>
  <c r="DM23" i="29"/>
  <c r="DJ23" i="29"/>
  <c r="O150" i="29"/>
  <c r="O149" i="29"/>
  <c r="K33" i="29"/>
  <c r="K54" i="29" s="1"/>
  <c r="M12" i="39" l="1"/>
  <c r="C109" i="39"/>
  <c r="U32" i="39"/>
  <c r="D98" i="39"/>
  <c r="C102" i="39"/>
  <c r="C56" i="39"/>
  <c r="U79" i="39"/>
  <c r="C35" i="39"/>
  <c r="D29" i="39"/>
  <c r="M58" i="39"/>
  <c r="C8" i="39"/>
  <c r="C63" i="39"/>
  <c r="C33" i="39"/>
  <c r="U76" i="39"/>
  <c r="D75" i="39"/>
  <c r="D52" i="39"/>
  <c r="M35" i="39"/>
  <c r="C40" i="39"/>
  <c r="M104" i="39"/>
  <c r="C81" i="39"/>
  <c r="C104" i="39"/>
  <c r="C79" i="39"/>
  <c r="U101" i="39"/>
  <c r="C42" i="39"/>
  <c r="U9" i="39"/>
  <c r="U78" i="39"/>
  <c r="U55" i="39"/>
  <c r="U33" i="39"/>
  <c r="V67" i="39"/>
  <c r="C66" i="39" s="1"/>
  <c r="L66" i="39" s="1"/>
  <c r="U124" i="39"/>
  <c r="U125" i="39"/>
  <c r="V21" i="39"/>
  <c r="C20" i="39" s="1"/>
  <c r="L20" i="39" s="1"/>
  <c r="M146" i="39"/>
  <c r="G54" i="39"/>
  <c r="F54" i="39" s="1"/>
  <c r="G77" i="39"/>
  <c r="F77" i="39" s="1"/>
  <c r="U102" i="39"/>
  <c r="C111" i="39"/>
  <c r="U56" i="39"/>
  <c r="U129" i="39"/>
  <c r="M127" i="39"/>
  <c r="U83" i="39"/>
  <c r="C54" i="39"/>
  <c r="C31" i="39"/>
  <c r="G123" i="39"/>
  <c r="F123" i="39" s="1"/>
  <c r="U10" i="39"/>
  <c r="G100" i="39"/>
  <c r="F100" i="39" s="1"/>
  <c r="C127" i="39"/>
  <c r="U30" i="39"/>
  <c r="C132" i="39"/>
  <c r="U37" i="39"/>
  <c r="C123" i="39"/>
  <c r="D121" i="39"/>
  <c r="U53" i="39"/>
  <c r="U147" i="39"/>
  <c r="M123" i="39"/>
  <c r="C19" i="39"/>
  <c r="C144" i="39"/>
  <c r="L144" i="39" s="1"/>
  <c r="G31" i="39"/>
  <c r="F31" i="39" s="1"/>
  <c r="U99" i="39"/>
  <c r="C88" i="39"/>
  <c r="C150" i="39"/>
  <c r="U6" i="39"/>
  <c r="C134" i="39"/>
  <c r="C77" i="39"/>
  <c r="M31" i="39"/>
  <c r="M77" i="39"/>
  <c r="V90" i="39"/>
  <c r="C89" i="39" s="1"/>
  <c r="L89" i="39" s="1"/>
  <c r="C146" i="39"/>
  <c r="C65" i="39"/>
  <c r="U104" i="39"/>
  <c r="M121" i="39"/>
  <c r="C100" i="39"/>
  <c r="U122" i="39"/>
  <c r="C121" i="39"/>
  <c r="L121" i="39" s="1"/>
  <c r="C125" i="39"/>
  <c r="U52" i="39"/>
  <c r="M150" i="39"/>
  <c r="M29" i="39"/>
  <c r="C98" i="39"/>
  <c r="L98" i="39" s="1"/>
  <c r="M98" i="39"/>
  <c r="U14" i="39"/>
  <c r="U121" i="39"/>
  <c r="C155" i="39"/>
  <c r="U98" i="39"/>
  <c r="M100" i="39"/>
  <c r="G146" i="39"/>
  <c r="F146" i="39" s="1"/>
  <c r="U29" i="39"/>
  <c r="U7" i="39"/>
  <c r="C86" i="39"/>
  <c r="C148" i="39"/>
  <c r="U145" i="39"/>
  <c r="M144" i="39"/>
  <c r="D144" i="39"/>
  <c r="U127" i="39"/>
  <c r="U144" i="39"/>
  <c r="U150" i="39"/>
  <c r="M75" i="39"/>
  <c r="V44" i="39"/>
  <c r="C43" i="39" s="1"/>
  <c r="L43" i="39" s="1"/>
  <c r="V113" i="39"/>
  <c r="C112" i="39" s="1"/>
  <c r="L112" i="39" s="1"/>
  <c r="U58" i="39"/>
  <c r="V159" i="39"/>
  <c r="C158" i="39" s="1"/>
  <c r="L158" i="39" s="1"/>
  <c r="U75" i="39"/>
  <c r="U148" i="39"/>
  <c r="C75" i="39"/>
  <c r="L75" i="39" s="1"/>
  <c r="M54" i="39"/>
  <c r="U12" i="39"/>
  <c r="V136" i="39"/>
  <c r="C135" i="39" s="1"/>
  <c r="L135" i="39" s="1"/>
  <c r="U106" i="39"/>
  <c r="U35" i="39"/>
  <c r="U152" i="39"/>
  <c r="M52" i="39"/>
  <c r="U60" i="39"/>
  <c r="C52" i="39"/>
  <c r="L52" i="39" s="1"/>
  <c r="C29" i="39"/>
  <c r="L29" i="39" s="1"/>
  <c r="U81" i="39"/>
  <c r="C157" i="39"/>
  <c r="C58" i="39"/>
  <c r="M81" i="39"/>
  <c r="DJ25" i="29"/>
  <c r="DM25" i="29"/>
  <c r="DF25" i="29"/>
  <c r="DJ26" i="29"/>
  <c r="DM26" i="29"/>
  <c r="DF26" i="29"/>
  <c r="CY27" i="29"/>
  <c r="AN60" i="29"/>
  <c r="A137" i="6" s="1"/>
  <c r="K75" i="29"/>
  <c r="H38" i="29"/>
  <c r="AN39" i="29"/>
  <c r="A136" i="6" s="1"/>
  <c r="D66" i="39" l="1"/>
  <c r="I66" i="39" s="1"/>
  <c r="I52" i="39"/>
  <c r="K52" i="39"/>
  <c r="K75" i="39"/>
  <c r="I75" i="39"/>
  <c r="D89" i="39"/>
  <c r="I89" i="39" s="1"/>
  <c r="D158" i="39"/>
  <c r="I158" i="39" s="1"/>
  <c r="K144" i="39"/>
  <c r="I144" i="39"/>
  <c r="K121" i="39"/>
  <c r="D135" i="39"/>
  <c r="I135" i="39" s="1"/>
  <c r="I121" i="39"/>
  <c r="K98" i="39"/>
  <c r="D112" i="39"/>
  <c r="I112" i="39" s="1"/>
  <c r="I98" i="39"/>
  <c r="H13" i="39"/>
  <c r="L13" i="39" s="1"/>
  <c r="H18" i="39"/>
  <c r="L18" i="39" s="1"/>
  <c r="H8" i="39"/>
  <c r="H10" i="39" s="1"/>
  <c r="H15" i="39"/>
  <c r="L15" i="39" s="1"/>
  <c r="H14" i="39"/>
  <c r="L14" i="39" s="1"/>
  <c r="I29" i="39"/>
  <c r="D43" i="39"/>
  <c r="I43" i="39" s="1"/>
  <c r="K29" i="39"/>
  <c r="AO36" i="29"/>
  <c r="H59" i="29"/>
  <c r="H80" i="29" s="1"/>
  <c r="DF27" i="29"/>
  <c r="DJ27" i="29"/>
  <c r="DM27" i="29"/>
  <c r="CY28" i="29"/>
  <c r="AN81" i="29"/>
  <c r="K96" i="29"/>
  <c r="AH60" i="29"/>
  <c r="AF60" i="29"/>
  <c r="AE60" i="29"/>
  <c r="AD60" i="29"/>
  <c r="AH39" i="29"/>
  <c r="F137" i="6"/>
  <c r="CZ60" i="29"/>
  <c r="CY60" i="29" s="1"/>
  <c r="D136" i="6"/>
  <c r="CZ39" i="29"/>
  <c r="CY39" i="29" s="1"/>
  <c r="AE39" i="29"/>
  <c r="AD39" i="29"/>
  <c r="AF39" i="29"/>
  <c r="AO57" i="29" l="1"/>
  <c r="I44" i="39"/>
  <c r="I45" i="39" s="1"/>
  <c r="I46" i="39" s="1"/>
  <c r="U40" i="39"/>
  <c r="U41" i="39" s="1"/>
  <c r="T42" i="39" s="1"/>
  <c r="K30" i="39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I136" i="39"/>
  <c r="I137" i="39" s="1"/>
  <c r="I138" i="39" s="1"/>
  <c r="K122" i="39"/>
  <c r="K123" i="39" s="1"/>
  <c r="K124" i="39" s="1"/>
  <c r="K125" i="39" s="1"/>
  <c r="K126" i="39" s="1"/>
  <c r="K127" i="39" s="1"/>
  <c r="K128" i="39" s="1"/>
  <c r="K129" i="39" s="1"/>
  <c r="K130" i="39" s="1"/>
  <c r="K131" i="39" s="1"/>
  <c r="K132" i="39" s="1"/>
  <c r="K133" i="39" s="1"/>
  <c r="K134" i="39" s="1"/>
  <c r="K135" i="39" s="1"/>
  <c r="U132" i="39"/>
  <c r="U133" i="39" s="1"/>
  <c r="T134" i="39" s="1"/>
  <c r="I159" i="39"/>
  <c r="I160" i="39" s="1"/>
  <c r="I161" i="39" s="1"/>
  <c r="K145" i="39"/>
  <c r="K146" i="39" s="1"/>
  <c r="K147" i="39" s="1"/>
  <c r="K148" i="39" s="1"/>
  <c r="K149" i="39" s="1"/>
  <c r="K150" i="39" s="1"/>
  <c r="K151" i="39" s="1"/>
  <c r="K152" i="39" s="1"/>
  <c r="K153" i="39" s="1"/>
  <c r="K154" i="39" s="1"/>
  <c r="K155" i="39" s="1"/>
  <c r="K156" i="39" s="1"/>
  <c r="K157" i="39" s="1"/>
  <c r="K158" i="39" s="1"/>
  <c r="U155" i="39"/>
  <c r="U156" i="39" s="1"/>
  <c r="T157" i="39" s="1"/>
  <c r="U86" i="39"/>
  <c r="U87" i="39" s="1"/>
  <c r="T88" i="39" s="1"/>
  <c r="K76" i="39"/>
  <c r="K77" i="39" s="1"/>
  <c r="K78" i="39" s="1"/>
  <c r="K79" i="39" s="1"/>
  <c r="K80" i="39" s="1"/>
  <c r="K81" i="39" s="1"/>
  <c r="K82" i="39" s="1"/>
  <c r="K83" i="39" s="1"/>
  <c r="K84" i="39" s="1"/>
  <c r="K85" i="39" s="1"/>
  <c r="K86" i="39" s="1"/>
  <c r="K87" i="39" s="1"/>
  <c r="K88" i="39" s="1"/>
  <c r="K89" i="39" s="1"/>
  <c r="I90" i="39"/>
  <c r="I91" i="39" s="1"/>
  <c r="I92" i="39" s="1"/>
  <c r="K53" i="39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U63" i="39"/>
  <c r="U64" i="39" s="1"/>
  <c r="T65" i="39" s="1"/>
  <c r="I67" i="39"/>
  <c r="I68" i="39" s="1"/>
  <c r="I69" i="39" s="1"/>
  <c r="L8" i="39"/>
  <c r="H12" i="39"/>
  <c r="H19" i="39"/>
  <c r="L19" i="39" s="1"/>
  <c r="L10" i="39"/>
  <c r="U109" i="39"/>
  <c r="U110" i="39" s="1"/>
  <c r="T111" i="39" s="1"/>
  <c r="K99" i="39"/>
  <c r="K100" i="39" s="1"/>
  <c r="K101" i="39" s="1"/>
  <c r="K102" i="39" s="1"/>
  <c r="K103" i="39" s="1"/>
  <c r="K104" i="39" s="1"/>
  <c r="K105" i="39" s="1"/>
  <c r="K106" i="39" s="1"/>
  <c r="K107" i="39" s="1"/>
  <c r="K108" i="39" s="1"/>
  <c r="K109" i="39" s="1"/>
  <c r="K110" i="39" s="1"/>
  <c r="K111" i="39" s="1"/>
  <c r="K112" i="39" s="1"/>
  <c r="I113" i="39"/>
  <c r="I114" i="39" s="1"/>
  <c r="I115" i="39" s="1"/>
  <c r="H101" i="29"/>
  <c r="DA64" i="29"/>
  <c r="DA63" i="29"/>
  <c r="DB62" i="29"/>
  <c r="DC61" i="29"/>
  <c r="DK70" i="29"/>
  <c r="DL70" i="29" s="1"/>
  <c r="DH69" i="29"/>
  <c r="DI69" i="29" s="1"/>
  <c r="DH68" i="29"/>
  <c r="DI68" i="29" s="1"/>
  <c r="DH67" i="29"/>
  <c r="DI67" i="29" s="1"/>
  <c r="DH66" i="29"/>
  <c r="DI66" i="29" s="1"/>
  <c r="DK65" i="29"/>
  <c r="DL65" i="29" s="1"/>
  <c r="DA61" i="29"/>
  <c r="DH70" i="29"/>
  <c r="DI70" i="29" s="1"/>
  <c r="DD69" i="29"/>
  <c r="DD68" i="29"/>
  <c r="DD67" i="29"/>
  <c r="DD66" i="29"/>
  <c r="DH65" i="29"/>
  <c r="DI65" i="29" s="1"/>
  <c r="DK64" i="29"/>
  <c r="DL64" i="29" s="1"/>
  <c r="DK63" i="29"/>
  <c r="DL63" i="29" s="1"/>
  <c r="DD70" i="29"/>
  <c r="DC69" i="29"/>
  <c r="DC68" i="29"/>
  <c r="DC67" i="29"/>
  <c r="DC66" i="29"/>
  <c r="DD65" i="29"/>
  <c r="DH64" i="29"/>
  <c r="DI64" i="29" s="1"/>
  <c r="DH63" i="29"/>
  <c r="DI63" i="29" s="1"/>
  <c r="DK62" i="29"/>
  <c r="DL62" i="29" s="1"/>
  <c r="DC70" i="29"/>
  <c r="DB69" i="29"/>
  <c r="DE69" i="29" s="1"/>
  <c r="DB68" i="29"/>
  <c r="DE68" i="29" s="1"/>
  <c r="DB67" i="29"/>
  <c r="DB66" i="29"/>
  <c r="DC65" i="29"/>
  <c r="DD64" i="29"/>
  <c r="DD63" i="29"/>
  <c r="DH62" i="29"/>
  <c r="DI62" i="29" s="1"/>
  <c r="DK61" i="29"/>
  <c r="DL61" i="29" s="1"/>
  <c r="DK68" i="29"/>
  <c r="DL68" i="29" s="1"/>
  <c r="DK66" i="29"/>
  <c r="DL66" i="29" s="1"/>
  <c r="DB63" i="29"/>
  <c r="DB70" i="29"/>
  <c r="DE70" i="29" s="1"/>
  <c r="DA68" i="29"/>
  <c r="DA66" i="29"/>
  <c r="DH61" i="29"/>
  <c r="DI61" i="29" s="1"/>
  <c r="DA70" i="29"/>
  <c r="DC64" i="29"/>
  <c r="DD61" i="29"/>
  <c r="DB64" i="29"/>
  <c r="DD62" i="29"/>
  <c r="DB61" i="29"/>
  <c r="DK69" i="29"/>
  <c r="DL69" i="29" s="1"/>
  <c r="DK67" i="29"/>
  <c r="DL67" i="29" s="1"/>
  <c r="DC62" i="29"/>
  <c r="DA69" i="29"/>
  <c r="DA67" i="29"/>
  <c r="DB65" i="29"/>
  <c r="DA62" i="29"/>
  <c r="DA65" i="29"/>
  <c r="DC63" i="29"/>
  <c r="CZ81" i="29"/>
  <c r="CY81" i="29" s="1"/>
  <c r="A138" i="6"/>
  <c r="M138" i="6" s="1"/>
  <c r="DD36" i="29"/>
  <c r="DE36" i="29" s="1"/>
  <c r="DC37" i="29" s="1"/>
  <c r="DC36" i="29" s="1"/>
  <c r="D30" i="39"/>
  <c r="D32" i="39" s="1"/>
  <c r="AI39" i="29"/>
  <c r="C39" i="39"/>
  <c r="DA43" i="29"/>
  <c r="DK49" i="29"/>
  <c r="DL49" i="29" s="1"/>
  <c r="DH48" i="29"/>
  <c r="DI48" i="29" s="1"/>
  <c r="DH47" i="29"/>
  <c r="DI47" i="29" s="1"/>
  <c r="DH46" i="29"/>
  <c r="DI46" i="29" s="1"/>
  <c r="DH45" i="29"/>
  <c r="DI45" i="29" s="1"/>
  <c r="DK44" i="29"/>
  <c r="DL44" i="29" s="1"/>
  <c r="DH49" i="29"/>
  <c r="DI49" i="29" s="1"/>
  <c r="DD48" i="29"/>
  <c r="DD47" i="29"/>
  <c r="DD46" i="29"/>
  <c r="DD45" i="29"/>
  <c r="DH44" i="29"/>
  <c r="DI44" i="29" s="1"/>
  <c r="DK43" i="29"/>
  <c r="DL43" i="29" s="1"/>
  <c r="DK42" i="29"/>
  <c r="DL42" i="29" s="1"/>
  <c r="DD49" i="29"/>
  <c r="DC48" i="29"/>
  <c r="DC47" i="29"/>
  <c r="DC46" i="29"/>
  <c r="DC45" i="29"/>
  <c r="DD44" i="29"/>
  <c r="DH43" i="29"/>
  <c r="DI43" i="29" s="1"/>
  <c r="DH42" i="29"/>
  <c r="DI42" i="29" s="1"/>
  <c r="DC49" i="29"/>
  <c r="DB48" i="29"/>
  <c r="DE48" i="29" s="1"/>
  <c r="DB47" i="29"/>
  <c r="DE47" i="29" s="1"/>
  <c r="DB46" i="29"/>
  <c r="DB45" i="29"/>
  <c r="DC44" i="29"/>
  <c r="DD43" i="29"/>
  <c r="DA44" i="29"/>
  <c r="DD42" i="29"/>
  <c r="DH41" i="29"/>
  <c r="DI41" i="29" s="1"/>
  <c r="DK40" i="29"/>
  <c r="DL40" i="29" s="1"/>
  <c r="DC42" i="29"/>
  <c r="DD41" i="29"/>
  <c r="DH40" i="29"/>
  <c r="DI40" i="29" s="1"/>
  <c r="DA48" i="29"/>
  <c r="DK47" i="29"/>
  <c r="DL47" i="29" s="1"/>
  <c r="DK45" i="29"/>
  <c r="DL45" i="29" s="1"/>
  <c r="DB42" i="29"/>
  <c r="DC41" i="29"/>
  <c r="DD40" i="29"/>
  <c r="DK41" i="29"/>
  <c r="DL41" i="29" s="1"/>
  <c r="DB49" i="29"/>
  <c r="DE49" i="29" s="1"/>
  <c r="DA47" i="29"/>
  <c r="DA45" i="29"/>
  <c r="DA42" i="29"/>
  <c r="DB41" i="29"/>
  <c r="DC40" i="29"/>
  <c r="DA46" i="29"/>
  <c r="DA49" i="29"/>
  <c r="DC43" i="29"/>
  <c r="DA41" i="29"/>
  <c r="DB40" i="29"/>
  <c r="DB43" i="29"/>
  <c r="DA40" i="29"/>
  <c r="DB44" i="29"/>
  <c r="DK48" i="29"/>
  <c r="DL48" i="29" s="1"/>
  <c r="DK46" i="29"/>
  <c r="DL46" i="29" s="1"/>
  <c r="AI60" i="29"/>
  <c r="C62" i="39"/>
  <c r="DD57" i="29"/>
  <c r="DE57" i="29" s="1"/>
  <c r="DC58" i="29" s="1"/>
  <c r="DC57" i="29" s="1"/>
  <c r="D53" i="39"/>
  <c r="U66" i="39" s="1"/>
  <c r="U67" i="39" s="1"/>
  <c r="T68" i="39" s="1"/>
  <c r="DF28" i="29"/>
  <c r="DF18" i="29" s="1"/>
  <c r="DE16" i="29" s="1"/>
  <c r="DM28" i="29"/>
  <c r="DM18" i="29" s="1"/>
  <c r="AJ18" i="29" s="1"/>
  <c r="DJ28" i="29"/>
  <c r="DJ18" i="29" s="1"/>
  <c r="AG18" i="29" s="1"/>
  <c r="K117" i="29"/>
  <c r="AN102" i="29"/>
  <c r="A139" i="6" s="1"/>
  <c r="AF81" i="29"/>
  <c r="AE81" i="29"/>
  <c r="AD81" i="29"/>
  <c r="AH81" i="29"/>
  <c r="C137" i="6"/>
  <c r="AO78" i="29"/>
  <c r="M137" i="6"/>
  <c r="G137" i="6"/>
  <c r="B137" i="6"/>
  <c r="C136" i="6"/>
  <c r="I137" i="6"/>
  <c r="D137" i="6"/>
  <c r="E137" i="6"/>
  <c r="B136" i="6"/>
  <c r="I136" i="6"/>
  <c r="H137" i="6"/>
  <c r="M136" i="6"/>
  <c r="E136" i="6"/>
  <c r="G136" i="6"/>
  <c r="H136" i="6"/>
  <c r="F136" i="6"/>
  <c r="H53" i="39" l="1"/>
  <c r="H55" i="39" s="1"/>
  <c r="H54" i="39"/>
  <c r="H60" i="39"/>
  <c r="L60" i="39" s="1"/>
  <c r="H61" i="39"/>
  <c r="L61" i="39" s="1"/>
  <c r="H64" i="39"/>
  <c r="L64" i="39" s="1"/>
  <c r="H59" i="39"/>
  <c r="L59" i="39" s="1"/>
  <c r="H130" i="39"/>
  <c r="L130" i="39" s="1"/>
  <c r="H128" i="39"/>
  <c r="L128" i="39" s="1"/>
  <c r="H133" i="39"/>
  <c r="L133" i="39" s="1"/>
  <c r="H123" i="39"/>
  <c r="H129" i="39"/>
  <c r="L129" i="39" s="1"/>
  <c r="H105" i="39"/>
  <c r="L105" i="39" s="1"/>
  <c r="H100" i="39"/>
  <c r="H107" i="39"/>
  <c r="L107" i="39" s="1"/>
  <c r="H106" i="39"/>
  <c r="L106" i="39" s="1"/>
  <c r="H110" i="39"/>
  <c r="L110" i="39" s="1"/>
  <c r="H82" i="39"/>
  <c r="L82" i="39" s="1"/>
  <c r="H87" i="39"/>
  <c r="L87" i="39" s="1"/>
  <c r="H77" i="39"/>
  <c r="H83" i="39"/>
  <c r="L83" i="39" s="1"/>
  <c r="H84" i="39"/>
  <c r="L84" i="39" s="1"/>
  <c r="H38" i="39"/>
  <c r="L38" i="39" s="1"/>
  <c r="H36" i="39"/>
  <c r="L36" i="39" s="1"/>
  <c r="H41" i="39"/>
  <c r="L41" i="39" s="1"/>
  <c r="H31" i="39"/>
  <c r="H37" i="39"/>
  <c r="L37" i="39" s="1"/>
  <c r="H17" i="39"/>
  <c r="L17" i="39" s="1"/>
  <c r="L12" i="39"/>
  <c r="H151" i="39"/>
  <c r="L151" i="39" s="1"/>
  <c r="H146" i="39"/>
  <c r="H152" i="39"/>
  <c r="L152" i="39" s="1"/>
  <c r="H153" i="39"/>
  <c r="L153" i="39" s="1"/>
  <c r="H156" i="39"/>
  <c r="L156" i="39" s="1"/>
  <c r="H122" i="29"/>
  <c r="H138" i="6"/>
  <c r="C138" i="6"/>
  <c r="D138" i="6"/>
  <c r="B138" i="6"/>
  <c r="F138" i="6"/>
  <c r="G138" i="6"/>
  <c r="I138" i="6"/>
  <c r="E138" i="6"/>
  <c r="AI81" i="29"/>
  <c r="C85" i="39"/>
  <c r="C11" i="39"/>
  <c r="L11" i="39" s="1"/>
  <c r="DA85" i="29"/>
  <c r="DA84" i="29"/>
  <c r="DB83" i="29"/>
  <c r="DC82" i="29"/>
  <c r="DK91" i="29"/>
  <c r="DL91" i="29" s="1"/>
  <c r="DH90" i="29"/>
  <c r="DI90" i="29" s="1"/>
  <c r="DH89" i="29"/>
  <c r="DI89" i="29" s="1"/>
  <c r="DH88" i="29"/>
  <c r="DI88" i="29" s="1"/>
  <c r="DH87" i="29"/>
  <c r="DI87" i="29" s="1"/>
  <c r="DK86" i="29"/>
  <c r="DL86" i="29" s="1"/>
  <c r="DA82" i="29"/>
  <c r="DH91" i="29"/>
  <c r="DI91" i="29" s="1"/>
  <c r="DD90" i="29"/>
  <c r="DD89" i="29"/>
  <c r="DD88" i="29"/>
  <c r="DD87" i="29"/>
  <c r="DH86" i="29"/>
  <c r="DI86" i="29" s="1"/>
  <c r="DK85" i="29"/>
  <c r="DL85" i="29" s="1"/>
  <c r="DK84" i="29"/>
  <c r="DL84" i="29" s="1"/>
  <c r="DD91" i="29"/>
  <c r="DC90" i="29"/>
  <c r="DC89" i="29"/>
  <c r="DC88" i="29"/>
  <c r="DC87" i="29"/>
  <c r="DD86" i="29"/>
  <c r="DH85" i="29"/>
  <c r="DI85" i="29" s="1"/>
  <c r="DH84" i="29"/>
  <c r="DI84" i="29" s="1"/>
  <c r="DK83" i="29"/>
  <c r="DL83" i="29" s="1"/>
  <c r="DC91" i="29"/>
  <c r="DB90" i="29"/>
  <c r="DE90" i="29" s="1"/>
  <c r="DB89" i="29"/>
  <c r="DE89" i="29" s="1"/>
  <c r="DB88" i="29"/>
  <c r="DB87" i="29"/>
  <c r="DC86" i="29"/>
  <c r="DD85" i="29"/>
  <c r="DD84" i="29"/>
  <c r="DH83" i="29"/>
  <c r="DI83" i="29" s="1"/>
  <c r="DK82" i="29"/>
  <c r="DL82" i="29" s="1"/>
  <c r="DA91" i="29"/>
  <c r="DC85" i="29"/>
  <c r="DD82" i="29"/>
  <c r="DB85" i="29"/>
  <c r="DD83" i="29"/>
  <c r="DB82" i="29"/>
  <c r="DK90" i="29"/>
  <c r="DL90" i="29" s="1"/>
  <c r="DK88" i="29"/>
  <c r="DL88" i="29" s="1"/>
  <c r="DC83" i="29"/>
  <c r="DH82" i="29"/>
  <c r="DI82" i="29" s="1"/>
  <c r="DA90" i="29"/>
  <c r="DA88" i="29"/>
  <c r="DB86" i="29"/>
  <c r="DA83" i="29"/>
  <c r="DA89" i="29"/>
  <c r="DA86" i="29"/>
  <c r="DC84" i="29"/>
  <c r="DB84" i="29"/>
  <c r="DB91" i="29"/>
  <c r="DE91" i="29" s="1"/>
  <c r="DK89" i="29"/>
  <c r="DL89" i="29" s="1"/>
  <c r="DK87" i="29"/>
  <c r="DL87" i="29" s="1"/>
  <c r="DA87" i="29"/>
  <c r="C9" i="39"/>
  <c r="L9" i="39" s="1"/>
  <c r="DD78" i="29"/>
  <c r="DE78" i="29" s="1"/>
  <c r="DC79" i="29" s="1"/>
  <c r="DC78" i="29" s="1"/>
  <c r="D76" i="39"/>
  <c r="D78" i="39" s="1"/>
  <c r="D80" i="39" s="1"/>
  <c r="DE62" i="29"/>
  <c r="DE67" i="29"/>
  <c r="DE43" i="29"/>
  <c r="DE44" i="29"/>
  <c r="DE65" i="29"/>
  <c r="DE61" i="29"/>
  <c r="DE46" i="29"/>
  <c r="DE64" i="29"/>
  <c r="DI17" i="29"/>
  <c r="DG17" i="29"/>
  <c r="AK18" i="29" s="1"/>
  <c r="C7" i="39" s="1"/>
  <c r="DH17" i="29"/>
  <c r="DE41" i="29"/>
  <c r="DE45" i="29"/>
  <c r="DE63" i="29"/>
  <c r="DE42" i="29"/>
  <c r="DE40" i="29"/>
  <c r="CY63" i="29"/>
  <c r="DJ63" i="29" s="1"/>
  <c r="DA50" i="29"/>
  <c r="DA71" i="29"/>
  <c r="DE66" i="29"/>
  <c r="AE102" i="29"/>
  <c r="AD102" i="29"/>
  <c r="AF102" i="29"/>
  <c r="C108" i="39" s="1"/>
  <c r="AH102" i="29"/>
  <c r="D99" i="39" s="1"/>
  <c r="CZ102" i="29"/>
  <c r="CY102" i="29" s="1"/>
  <c r="AN123" i="29"/>
  <c r="A140" i="6" s="1"/>
  <c r="K138" i="29"/>
  <c r="AN144" i="29" s="1"/>
  <c r="D55" i="39"/>
  <c r="D57" i="39" s="1"/>
  <c r="I53" i="39"/>
  <c r="I30" i="39"/>
  <c r="U43" i="39"/>
  <c r="U44" i="39" s="1"/>
  <c r="T45" i="39" s="1"/>
  <c r="CY42" i="29"/>
  <c r="AO99" i="29"/>
  <c r="D34" i="39"/>
  <c r="I32" i="39"/>
  <c r="DE82" i="29" l="1"/>
  <c r="H62" i="39"/>
  <c r="L62" i="39" s="1"/>
  <c r="H33" i="39"/>
  <c r="L31" i="39"/>
  <c r="H148" i="39"/>
  <c r="L146" i="39"/>
  <c r="H102" i="39"/>
  <c r="L100" i="39"/>
  <c r="H79" i="39"/>
  <c r="L77" i="39"/>
  <c r="H125" i="39"/>
  <c r="L123" i="39"/>
  <c r="H56" i="39"/>
  <c r="L54" i="39"/>
  <c r="DE88" i="29"/>
  <c r="DE84" i="29"/>
  <c r="DE87" i="29"/>
  <c r="DE85" i="29"/>
  <c r="DE86" i="29"/>
  <c r="CY84" i="29"/>
  <c r="DJ84" i="29" s="1"/>
  <c r="DA92" i="29"/>
  <c r="DE83" i="29"/>
  <c r="H143" i="29"/>
  <c r="AO141" i="29" s="1"/>
  <c r="DA106" i="29"/>
  <c r="DA105" i="29"/>
  <c r="DB104" i="29"/>
  <c r="DC103" i="29"/>
  <c r="DK112" i="29"/>
  <c r="DL112" i="29" s="1"/>
  <c r="DH111" i="29"/>
  <c r="DI111" i="29" s="1"/>
  <c r="DH110" i="29"/>
  <c r="DI110" i="29" s="1"/>
  <c r="DH109" i="29"/>
  <c r="DI109" i="29" s="1"/>
  <c r="DH108" i="29"/>
  <c r="DI108" i="29" s="1"/>
  <c r="DK107" i="29"/>
  <c r="DL107" i="29" s="1"/>
  <c r="DA103" i="29"/>
  <c r="DH112" i="29"/>
  <c r="DI112" i="29" s="1"/>
  <c r="DD111" i="29"/>
  <c r="DD110" i="29"/>
  <c r="DD109" i="29"/>
  <c r="DD108" i="29"/>
  <c r="DH107" i="29"/>
  <c r="DI107" i="29" s="1"/>
  <c r="DK106" i="29"/>
  <c r="DL106" i="29" s="1"/>
  <c r="DK105" i="29"/>
  <c r="DL105" i="29" s="1"/>
  <c r="DD112" i="29"/>
  <c r="DC111" i="29"/>
  <c r="DC110" i="29"/>
  <c r="DC109" i="29"/>
  <c r="DC108" i="29"/>
  <c r="DD107" i="29"/>
  <c r="DH106" i="29"/>
  <c r="DI106" i="29" s="1"/>
  <c r="DH105" i="29"/>
  <c r="DI105" i="29" s="1"/>
  <c r="DK104" i="29"/>
  <c r="DL104" i="29" s="1"/>
  <c r="DC112" i="29"/>
  <c r="DB111" i="29"/>
  <c r="DE111" i="29" s="1"/>
  <c r="DB110" i="29"/>
  <c r="DE110" i="29" s="1"/>
  <c r="DB109" i="29"/>
  <c r="DB108" i="29"/>
  <c r="DC107" i="29"/>
  <c r="DD106" i="29"/>
  <c r="DD105" i="29"/>
  <c r="DH104" i="29"/>
  <c r="DI104" i="29" s="1"/>
  <c r="DK103" i="29"/>
  <c r="DL103" i="29" s="1"/>
  <c r="DK111" i="29"/>
  <c r="DL111" i="29" s="1"/>
  <c r="DK109" i="29"/>
  <c r="DL109" i="29" s="1"/>
  <c r="DC104" i="29"/>
  <c r="DD104" i="29"/>
  <c r="DA111" i="29"/>
  <c r="DA109" i="29"/>
  <c r="DB107" i="29"/>
  <c r="DA104" i="29"/>
  <c r="DB106" i="29"/>
  <c r="DA107" i="29"/>
  <c r="DC105" i="29"/>
  <c r="DB103" i="29"/>
  <c r="DB105" i="29"/>
  <c r="DK110" i="29"/>
  <c r="DL110" i="29" s="1"/>
  <c r="DK108" i="29"/>
  <c r="DL108" i="29" s="1"/>
  <c r="DB112" i="29"/>
  <c r="DE112" i="29" s="1"/>
  <c r="DA110" i="29"/>
  <c r="DA108" i="29"/>
  <c r="DH103" i="29"/>
  <c r="DI103" i="29" s="1"/>
  <c r="DA112" i="29"/>
  <c r="DC106" i="29"/>
  <c r="DD103" i="29"/>
  <c r="CZ144" i="29"/>
  <c r="CY144" i="29" s="1"/>
  <c r="A141" i="6"/>
  <c r="H141" i="6" s="1"/>
  <c r="H30" i="39"/>
  <c r="H39" i="39" s="1"/>
  <c r="L39" i="39" s="1"/>
  <c r="I78" i="39"/>
  <c r="U89" i="39"/>
  <c r="U90" i="39" s="1"/>
  <c r="T91" i="39" s="1"/>
  <c r="AL18" i="29"/>
  <c r="G7" i="39" s="1"/>
  <c r="DF63" i="29"/>
  <c r="CY64" i="29"/>
  <c r="DM64" i="29" s="1"/>
  <c r="DM63" i="29"/>
  <c r="I76" i="39"/>
  <c r="DD99" i="29"/>
  <c r="DE99" i="29" s="1"/>
  <c r="DC100" i="29" s="1"/>
  <c r="DC99" i="29" s="1"/>
  <c r="AI102" i="29"/>
  <c r="AF144" i="29"/>
  <c r="AD144" i="29"/>
  <c r="AE144" i="29"/>
  <c r="AH144" i="29"/>
  <c r="AD123" i="29"/>
  <c r="AE123" i="29"/>
  <c r="AH123" i="29"/>
  <c r="D122" i="39" s="1"/>
  <c r="AF123" i="29"/>
  <c r="C131" i="39" s="1"/>
  <c r="CZ123" i="29"/>
  <c r="CY123" i="29" s="1"/>
  <c r="G139" i="6"/>
  <c r="F139" i="6"/>
  <c r="C139" i="6"/>
  <c r="E139" i="6"/>
  <c r="D139" i="6"/>
  <c r="B139" i="6"/>
  <c r="I139" i="6"/>
  <c r="M139" i="6"/>
  <c r="H139" i="6"/>
  <c r="I55" i="39"/>
  <c r="DM42" i="29"/>
  <c r="DJ42" i="29"/>
  <c r="CY43" i="29"/>
  <c r="DF42" i="29"/>
  <c r="I80" i="39"/>
  <c r="D85" i="39"/>
  <c r="I85" i="39" s="1"/>
  <c r="H57" i="39"/>
  <c r="I34" i="39"/>
  <c r="D39" i="39"/>
  <c r="I39" i="39" s="1"/>
  <c r="D62" i="39"/>
  <c r="I62" i="39" s="1"/>
  <c r="I57" i="39"/>
  <c r="AO120" i="29"/>
  <c r="DM84" i="29" l="1"/>
  <c r="CY85" i="29"/>
  <c r="CY86" i="29" s="1"/>
  <c r="CY87" i="29" s="1"/>
  <c r="DM87" i="29" s="1"/>
  <c r="DF84" i="29"/>
  <c r="H88" i="39"/>
  <c r="L88" i="39" s="1"/>
  <c r="H81" i="39"/>
  <c r="L79" i="39"/>
  <c r="H111" i="39"/>
  <c r="L111" i="39" s="1"/>
  <c r="H104" i="39"/>
  <c r="L102" i="39"/>
  <c r="H58" i="39"/>
  <c r="H65" i="39"/>
  <c r="L65" i="39" s="1"/>
  <c r="L56" i="39"/>
  <c r="H157" i="39"/>
  <c r="L157" i="39" s="1"/>
  <c r="H150" i="39"/>
  <c r="L148" i="39"/>
  <c r="H127" i="39"/>
  <c r="H134" i="39"/>
  <c r="L134" i="39" s="1"/>
  <c r="L125" i="39"/>
  <c r="H42" i="39"/>
  <c r="L42" i="39" s="1"/>
  <c r="H35" i="39"/>
  <c r="L33" i="39"/>
  <c r="DD141" i="29"/>
  <c r="DE141" i="29" s="1"/>
  <c r="DC142" i="29" s="1"/>
  <c r="DC141" i="29" s="1"/>
  <c r="D145" i="39"/>
  <c r="U158" i="39" s="1"/>
  <c r="U159" i="39" s="1"/>
  <c r="T160" i="39" s="1"/>
  <c r="DA154" i="29"/>
  <c r="DA149" i="29"/>
  <c r="DB148" i="29"/>
  <c r="DB147" i="29"/>
  <c r="DC146" i="29"/>
  <c r="DD145" i="29"/>
  <c r="DA148" i="29"/>
  <c r="DA147" i="29"/>
  <c r="DB146" i="29"/>
  <c r="DC145" i="29"/>
  <c r="DK153" i="29"/>
  <c r="DL153" i="29" s="1"/>
  <c r="DK152" i="29"/>
  <c r="DL152" i="29" s="1"/>
  <c r="DK151" i="29"/>
  <c r="DL151" i="29" s="1"/>
  <c r="DK150" i="29"/>
  <c r="DL150" i="29" s="1"/>
  <c r="DA146" i="29"/>
  <c r="DB145" i="29"/>
  <c r="DK154" i="29"/>
  <c r="DL154" i="29" s="1"/>
  <c r="DH153" i="29"/>
  <c r="DI153" i="29" s="1"/>
  <c r="DH152" i="29"/>
  <c r="DI152" i="29" s="1"/>
  <c r="DH151" i="29"/>
  <c r="DI151" i="29" s="1"/>
  <c r="DH150" i="29"/>
  <c r="DI150" i="29" s="1"/>
  <c r="DK149" i="29"/>
  <c r="DL149" i="29" s="1"/>
  <c r="DA145" i="29"/>
  <c r="DH154" i="29"/>
  <c r="DI154" i="29" s="1"/>
  <c r="DD153" i="29"/>
  <c r="DD152" i="29"/>
  <c r="DD151" i="29"/>
  <c r="DD150" i="29"/>
  <c r="DH149" i="29"/>
  <c r="DI149" i="29" s="1"/>
  <c r="DK148" i="29"/>
  <c r="DL148" i="29" s="1"/>
  <c r="DK147" i="29"/>
  <c r="DL147" i="29" s="1"/>
  <c r="DD154" i="29"/>
  <c r="DC153" i="29"/>
  <c r="DC152" i="29"/>
  <c r="DC151" i="29"/>
  <c r="DC150" i="29"/>
  <c r="DD149" i="29"/>
  <c r="DH148" i="29"/>
  <c r="DI148" i="29" s="1"/>
  <c r="DH147" i="29"/>
  <c r="DI147" i="29" s="1"/>
  <c r="DK146" i="29"/>
  <c r="DL146" i="29" s="1"/>
  <c r="DC154" i="29"/>
  <c r="DB153" i="29"/>
  <c r="DE153" i="29" s="1"/>
  <c r="DB152" i="29"/>
  <c r="DE152" i="29" s="1"/>
  <c r="DB151" i="29"/>
  <c r="DB150" i="29"/>
  <c r="DC149" i="29"/>
  <c r="DD148" i="29"/>
  <c r="DD147" i="29"/>
  <c r="DH146" i="29"/>
  <c r="DI146" i="29" s="1"/>
  <c r="DK145" i="29"/>
  <c r="DL145" i="29" s="1"/>
  <c r="DC147" i="29"/>
  <c r="DH145" i="29"/>
  <c r="DI145" i="29" s="1"/>
  <c r="DB149" i="29"/>
  <c r="DB154" i="29"/>
  <c r="DE154" i="29" s="1"/>
  <c r="DA151" i="29"/>
  <c r="DA152" i="29"/>
  <c r="DA153" i="29"/>
  <c r="DD146" i="29"/>
  <c r="DA150" i="29"/>
  <c r="DC148" i="29"/>
  <c r="DA133" i="29"/>
  <c r="DA127" i="29"/>
  <c r="DA126" i="29"/>
  <c r="DB125" i="29"/>
  <c r="DC124" i="29"/>
  <c r="DK132" i="29"/>
  <c r="DL132" i="29" s="1"/>
  <c r="DK131" i="29"/>
  <c r="DL131" i="29" s="1"/>
  <c r="DK130" i="29"/>
  <c r="DL130" i="29" s="1"/>
  <c r="DK129" i="29"/>
  <c r="DL129" i="29" s="1"/>
  <c r="DK133" i="29"/>
  <c r="DL133" i="29" s="1"/>
  <c r="DH132" i="29"/>
  <c r="DI132" i="29" s="1"/>
  <c r="DH131" i="29"/>
  <c r="DI131" i="29" s="1"/>
  <c r="DH130" i="29"/>
  <c r="DI130" i="29" s="1"/>
  <c r="DH129" i="29"/>
  <c r="DI129" i="29" s="1"/>
  <c r="DK128" i="29"/>
  <c r="DL128" i="29" s="1"/>
  <c r="DA124" i="29"/>
  <c r="DH133" i="29"/>
  <c r="DI133" i="29" s="1"/>
  <c r="DD132" i="29"/>
  <c r="DD131" i="29"/>
  <c r="DD130" i="29"/>
  <c r="DD129" i="29"/>
  <c r="DH128" i="29"/>
  <c r="DI128" i="29" s="1"/>
  <c r="DK127" i="29"/>
  <c r="DL127" i="29" s="1"/>
  <c r="DK126" i="29"/>
  <c r="DL126" i="29" s="1"/>
  <c r="DD133" i="29"/>
  <c r="DC132" i="29"/>
  <c r="DC131" i="29"/>
  <c r="DC130" i="29"/>
  <c r="DC129" i="29"/>
  <c r="DD128" i="29"/>
  <c r="DH127" i="29"/>
  <c r="DI127" i="29" s="1"/>
  <c r="DH126" i="29"/>
  <c r="DI126" i="29" s="1"/>
  <c r="DK125" i="29"/>
  <c r="DL125" i="29" s="1"/>
  <c r="DC133" i="29"/>
  <c r="DB132" i="29"/>
  <c r="DE132" i="29" s="1"/>
  <c r="DB131" i="29"/>
  <c r="DE131" i="29" s="1"/>
  <c r="DB130" i="29"/>
  <c r="DB129" i="29"/>
  <c r="DC128" i="29"/>
  <c r="DD127" i="29"/>
  <c r="DD126" i="29"/>
  <c r="DH125" i="29"/>
  <c r="DI125" i="29" s="1"/>
  <c r="DK124" i="29"/>
  <c r="DL124" i="29" s="1"/>
  <c r="DB133" i="29"/>
  <c r="DE133" i="29" s="1"/>
  <c r="DA130" i="29"/>
  <c r="DA128" i="29"/>
  <c r="DC126" i="29"/>
  <c r="DB128" i="29"/>
  <c r="DB126" i="29"/>
  <c r="DA132" i="29"/>
  <c r="DA125" i="29"/>
  <c r="DA129" i="29"/>
  <c r="DH124" i="29"/>
  <c r="DI124" i="29" s="1"/>
  <c r="DC127" i="29"/>
  <c r="DD124" i="29"/>
  <c r="DA131" i="29"/>
  <c r="DB127" i="29"/>
  <c r="DD125" i="29"/>
  <c r="DB124" i="29"/>
  <c r="DC125" i="29"/>
  <c r="AI144" i="29"/>
  <c r="C154" i="39"/>
  <c r="H32" i="39"/>
  <c r="H34" i="39" s="1"/>
  <c r="H76" i="39"/>
  <c r="H85" i="39" s="1"/>
  <c r="L85" i="39" s="1"/>
  <c r="DF64" i="29"/>
  <c r="DJ64" i="29"/>
  <c r="G141" i="6"/>
  <c r="CY65" i="29"/>
  <c r="CY44" i="29"/>
  <c r="DF44" i="29" s="1"/>
  <c r="F7" i="39"/>
  <c r="AM18" i="29"/>
  <c r="M7" i="39" s="1"/>
  <c r="D141" i="6"/>
  <c r="B141" i="6"/>
  <c r="M141" i="6"/>
  <c r="I141" i="6"/>
  <c r="CY105" i="29"/>
  <c r="C141" i="6"/>
  <c r="E141" i="6"/>
  <c r="F141" i="6"/>
  <c r="DE108" i="29"/>
  <c r="DE103" i="29"/>
  <c r="DA113" i="29"/>
  <c r="DE105" i="29"/>
  <c r="DE106" i="29"/>
  <c r="B140" i="6"/>
  <c r="M140" i="6"/>
  <c r="D140" i="6"/>
  <c r="H140" i="6"/>
  <c r="F140" i="6"/>
  <c r="I140" i="6"/>
  <c r="C140" i="6"/>
  <c r="G140" i="6"/>
  <c r="E140" i="6"/>
  <c r="DE104" i="29"/>
  <c r="AI123" i="29"/>
  <c r="I99" i="39"/>
  <c r="D101" i="39"/>
  <c r="U112" i="39"/>
  <c r="U113" i="39" s="1"/>
  <c r="T114" i="39" s="1"/>
  <c r="H99" i="39" s="1"/>
  <c r="DE107" i="29"/>
  <c r="DE109" i="29"/>
  <c r="DD120" i="29"/>
  <c r="DE120" i="29" s="1"/>
  <c r="DC121" i="29" s="1"/>
  <c r="DC120" i="29" s="1"/>
  <c r="DJ43" i="29"/>
  <c r="DM43" i="29"/>
  <c r="DF43" i="29"/>
  <c r="DJ87" i="29" l="1"/>
  <c r="DF86" i="29"/>
  <c r="DF87" i="29"/>
  <c r="DJ85" i="29"/>
  <c r="DM86" i="29"/>
  <c r="DF85" i="29"/>
  <c r="CY88" i="29"/>
  <c r="CY89" i="29" s="1"/>
  <c r="DJ89" i="29" s="1"/>
  <c r="DJ86" i="29"/>
  <c r="DM85" i="29"/>
  <c r="DE145" i="29"/>
  <c r="H63" i="39"/>
  <c r="L63" i="39" s="1"/>
  <c r="L58" i="39"/>
  <c r="H132" i="39"/>
  <c r="L132" i="39" s="1"/>
  <c r="L127" i="39"/>
  <c r="H109" i="39"/>
  <c r="L109" i="39" s="1"/>
  <c r="L104" i="39"/>
  <c r="H155" i="39"/>
  <c r="L155" i="39" s="1"/>
  <c r="L150" i="39"/>
  <c r="H86" i="39"/>
  <c r="L86" i="39" s="1"/>
  <c r="L81" i="39"/>
  <c r="H40" i="39"/>
  <c r="L40" i="39" s="1"/>
  <c r="L35" i="39"/>
  <c r="DA155" i="29"/>
  <c r="CY147" i="29"/>
  <c r="DM147" i="29" s="1"/>
  <c r="DE151" i="29"/>
  <c r="DE146" i="29"/>
  <c r="DE126" i="29"/>
  <c r="DE147" i="29"/>
  <c r="DE149" i="29"/>
  <c r="DE150" i="29"/>
  <c r="DE148" i="29"/>
  <c r="H78" i="39"/>
  <c r="H80" i="39" s="1"/>
  <c r="H145" i="39"/>
  <c r="H147" i="39" s="1"/>
  <c r="H149" i="39" s="1"/>
  <c r="DJ44" i="29"/>
  <c r="DM44" i="29"/>
  <c r="DF65" i="29"/>
  <c r="DJ65" i="29"/>
  <c r="DM65" i="29"/>
  <c r="D147" i="39"/>
  <c r="D149" i="39" s="1"/>
  <c r="I149" i="39" s="1"/>
  <c r="L7" i="39"/>
  <c r="CY66" i="29"/>
  <c r="CY67" i="29" s="1"/>
  <c r="CY45" i="29"/>
  <c r="CY106" i="29"/>
  <c r="CY107" i="29" s="1"/>
  <c r="DM105" i="29"/>
  <c r="DF105" i="29"/>
  <c r="DJ105" i="29"/>
  <c r="I145" i="39"/>
  <c r="DE124" i="29"/>
  <c r="DE127" i="29"/>
  <c r="DE129" i="29"/>
  <c r="D124" i="39"/>
  <c r="U135" i="39"/>
  <c r="U136" i="39" s="1"/>
  <c r="T137" i="39" s="1"/>
  <c r="H122" i="39" s="1"/>
  <c r="I122" i="39"/>
  <c r="DA134" i="29"/>
  <c r="CY126" i="29"/>
  <c r="DE130" i="29"/>
  <c r="H108" i="39"/>
  <c r="L108" i="39" s="1"/>
  <c r="H101" i="39"/>
  <c r="DE125" i="29"/>
  <c r="D103" i="39"/>
  <c r="I101" i="39"/>
  <c r="DE128" i="29"/>
  <c r="DF89" i="29" l="1"/>
  <c r="DJ88" i="29"/>
  <c r="DM89" i="29"/>
  <c r="DM88" i="29"/>
  <c r="CY90" i="29"/>
  <c r="DF90" i="29" s="1"/>
  <c r="DF88" i="29"/>
  <c r="DJ147" i="29"/>
  <c r="CY148" i="29"/>
  <c r="CY149" i="29" s="1"/>
  <c r="DF149" i="29" s="1"/>
  <c r="DF147" i="29"/>
  <c r="H154" i="39"/>
  <c r="L154" i="39" s="1"/>
  <c r="I147" i="39"/>
  <c r="D154" i="39"/>
  <c r="I154" i="39" s="1"/>
  <c r="DM67" i="29"/>
  <c r="DF67" i="29"/>
  <c r="DJ67" i="29"/>
  <c r="L24" i="39"/>
  <c r="N7" i="39" s="1"/>
  <c r="L21" i="39"/>
  <c r="DJ45" i="29"/>
  <c r="DM45" i="29"/>
  <c r="DF45" i="29"/>
  <c r="DM66" i="29"/>
  <c r="DJ66" i="29"/>
  <c r="DF66" i="29"/>
  <c r="CY108" i="29"/>
  <c r="DF108" i="29" s="1"/>
  <c r="CY68" i="29"/>
  <c r="CY46" i="29"/>
  <c r="DJ106" i="29"/>
  <c r="DF106" i="29"/>
  <c r="DM106" i="29"/>
  <c r="DF107" i="29"/>
  <c r="DM107" i="29"/>
  <c r="DJ107" i="29"/>
  <c r="H103" i="39"/>
  <c r="D108" i="39"/>
  <c r="I108" i="39" s="1"/>
  <c r="I103" i="39"/>
  <c r="CY127" i="29"/>
  <c r="DM126" i="29"/>
  <c r="DF126" i="29"/>
  <c r="DJ126" i="29"/>
  <c r="H124" i="39"/>
  <c r="H126" i="39" s="1"/>
  <c r="H131" i="39"/>
  <c r="L131" i="39" s="1"/>
  <c r="I124" i="39"/>
  <c r="D126" i="39"/>
  <c r="DJ90" i="29" l="1"/>
  <c r="CY91" i="29"/>
  <c r="DF91" i="29" s="1"/>
  <c r="DF81" i="29" s="1"/>
  <c r="DE79" i="29" s="1"/>
  <c r="DM90" i="29"/>
  <c r="CY150" i="29"/>
  <c r="CY151" i="29" s="1"/>
  <c r="DM151" i="29" s="1"/>
  <c r="DF148" i="29"/>
  <c r="DM148" i="29"/>
  <c r="DJ149" i="29"/>
  <c r="DM149" i="29"/>
  <c r="DJ148" i="29"/>
  <c r="DM108" i="29"/>
  <c r="CY128" i="29"/>
  <c r="CY129" i="29" s="1"/>
  <c r="DF46" i="29"/>
  <c r="DJ46" i="29"/>
  <c r="DM46" i="29"/>
  <c r="CY47" i="29"/>
  <c r="N18" i="39"/>
  <c r="N12" i="39"/>
  <c r="N14" i="39"/>
  <c r="N8" i="39"/>
  <c r="N10" i="39"/>
  <c r="N19" i="39"/>
  <c r="N15" i="39"/>
  <c r="N6" i="39"/>
  <c r="K24" i="39" s="1"/>
  <c r="N16" i="39"/>
  <c r="N17" i="39"/>
  <c r="N20" i="39"/>
  <c r="N13" i="39"/>
  <c r="N11" i="39"/>
  <c r="N9" i="39"/>
  <c r="CY109" i="29"/>
  <c r="DF68" i="29"/>
  <c r="DJ68" i="29"/>
  <c r="DM68" i="29"/>
  <c r="M22" i="39"/>
  <c r="DJ108" i="29"/>
  <c r="CY69" i="29"/>
  <c r="CY70" i="29" s="1"/>
  <c r="I126" i="39"/>
  <c r="D131" i="39"/>
  <c r="I131" i="39" s="1"/>
  <c r="DM127" i="29"/>
  <c r="DF127" i="29"/>
  <c r="DJ127" i="29"/>
  <c r="DM91" i="29" l="1"/>
  <c r="DM81" i="29" s="1"/>
  <c r="AJ81" i="29" s="1"/>
  <c r="C78" i="39" s="1"/>
  <c r="L78" i="39" s="1"/>
  <c r="DJ91" i="29"/>
  <c r="DJ81" i="29" s="1"/>
  <c r="AG81" i="29" s="1"/>
  <c r="C80" i="39" s="1"/>
  <c r="L80" i="39" s="1"/>
  <c r="DJ150" i="29"/>
  <c r="CY152" i="29"/>
  <c r="CY153" i="29" s="1"/>
  <c r="DJ153" i="29" s="1"/>
  <c r="DF150" i="29"/>
  <c r="DF151" i="29"/>
  <c r="DJ151" i="29"/>
  <c r="DM150" i="29"/>
  <c r="DM128" i="29"/>
  <c r="DJ128" i="29"/>
  <c r="DJ129" i="29"/>
  <c r="DM129" i="29"/>
  <c r="DF129" i="29"/>
  <c r="DH80" i="29"/>
  <c r="DG80" i="29"/>
  <c r="AK81" i="29" s="1"/>
  <c r="C76" i="39" s="1"/>
  <c r="DI80" i="29"/>
  <c r="V4" i="39"/>
  <c r="N24" i="39"/>
  <c r="DF109" i="29"/>
  <c r="DM109" i="29"/>
  <c r="DJ109" i="29"/>
  <c r="DJ69" i="29"/>
  <c r="DF69" i="29"/>
  <c r="DM69" i="29"/>
  <c r="DF128" i="29"/>
  <c r="CY130" i="29"/>
  <c r="DM47" i="29"/>
  <c r="DJ47" i="29"/>
  <c r="DF47" i="29"/>
  <c r="CY48" i="29"/>
  <c r="CY110" i="29"/>
  <c r="CY111" i="29" s="1"/>
  <c r="CY112" i="29" s="1"/>
  <c r="DF70" i="29"/>
  <c r="DM70" i="29"/>
  <c r="DJ70" i="29"/>
  <c r="DM152" i="29" l="1"/>
  <c r="DF152" i="29"/>
  <c r="CY154" i="29"/>
  <c r="DF154" i="29" s="1"/>
  <c r="DJ152" i="29"/>
  <c r="DM153" i="29"/>
  <c r="DF153" i="29"/>
  <c r="DM60" i="29"/>
  <c r="AJ60" i="29" s="1"/>
  <c r="C55" i="39" s="1"/>
  <c r="L55" i="39" s="1"/>
  <c r="DJ60" i="29"/>
  <c r="AG60" i="29" s="1"/>
  <c r="DF60" i="29"/>
  <c r="DE58" i="29" s="1"/>
  <c r="DH59" i="29" s="1"/>
  <c r="DM130" i="29"/>
  <c r="DJ130" i="29"/>
  <c r="DF130" i="29"/>
  <c r="CY131" i="29"/>
  <c r="CY132" i="29" s="1"/>
  <c r="DJ110" i="29"/>
  <c r="DF110" i="29"/>
  <c r="DM110" i="29"/>
  <c r="DJ48" i="29"/>
  <c r="DF48" i="29"/>
  <c r="DM48" i="29"/>
  <c r="CY49" i="29"/>
  <c r="U4" i="39"/>
  <c r="L22" i="39"/>
  <c r="Q10" i="39" s="1"/>
  <c r="Q11" i="39" s="1"/>
  <c r="Q12" i="39" s="1"/>
  <c r="Q13" i="39" s="1"/>
  <c r="DM112" i="29"/>
  <c r="DJ112" i="29"/>
  <c r="DF112" i="29"/>
  <c r="DJ111" i="29"/>
  <c r="DM111" i="29"/>
  <c r="DF111" i="29"/>
  <c r="AL81" i="29"/>
  <c r="G76" i="39" s="1"/>
  <c r="Q14" i="39"/>
  <c r="DJ154" i="29" l="1"/>
  <c r="DJ144" i="29" s="1"/>
  <c r="AG144" i="29" s="1"/>
  <c r="C149" i="39" s="1"/>
  <c r="L149" i="39" s="1"/>
  <c r="DM154" i="29"/>
  <c r="DM144" i="29" s="1"/>
  <c r="AJ144" i="29" s="1"/>
  <c r="C147" i="39" s="1"/>
  <c r="L147" i="39" s="1"/>
  <c r="DF144" i="29"/>
  <c r="DE142" i="29" s="1"/>
  <c r="DI143" i="29" s="1"/>
  <c r="C57" i="39"/>
  <c r="L57" i="39" s="1"/>
  <c r="DI59" i="29"/>
  <c r="DG59" i="29"/>
  <c r="AK60" i="29" s="1"/>
  <c r="DF102" i="29"/>
  <c r="DE100" i="29" s="1"/>
  <c r="DI101" i="29" s="1"/>
  <c r="DM102" i="29"/>
  <c r="AJ102" i="29" s="1"/>
  <c r="Q16" i="39"/>
  <c r="DF131" i="29"/>
  <c r="DM131" i="29"/>
  <c r="DJ131" i="29"/>
  <c r="DF132" i="29"/>
  <c r="DM132" i="29"/>
  <c r="DJ132" i="29"/>
  <c r="AM81" i="29"/>
  <c r="M76" i="39" s="1"/>
  <c r="F76" i="39"/>
  <c r="DJ102" i="29"/>
  <c r="AG102" i="29" s="1"/>
  <c r="DF49" i="29"/>
  <c r="DF39" i="29" s="1"/>
  <c r="DE37" i="29" s="1"/>
  <c r="DM49" i="29"/>
  <c r="DM39" i="29" s="1"/>
  <c r="AJ39" i="29" s="1"/>
  <c r="DJ49" i="29"/>
  <c r="DJ39" i="29" s="1"/>
  <c r="AG39" i="29" s="1"/>
  <c r="Q17" i="39"/>
  <c r="CY133" i="29"/>
  <c r="DH143" i="29" l="1"/>
  <c r="DG143" i="29"/>
  <c r="AK144" i="29" s="1"/>
  <c r="C145" i="39" s="1"/>
  <c r="C32" i="39"/>
  <c r="L32" i="39" s="1"/>
  <c r="AL60" i="29"/>
  <c r="G53" i="39" s="1"/>
  <c r="F53" i="39" s="1"/>
  <c r="C53" i="39"/>
  <c r="C103" i="39"/>
  <c r="L103" i="39" s="1"/>
  <c r="C101" i="39"/>
  <c r="L101" i="39" s="1"/>
  <c r="C34" i="39"/>
  <c r="L34" i="39" s="1"/>
  <c r="DG101" i="29"/>
  <c r="AK102" i="29" s="1"/>
  <c r="C99" i="39" s="1"/>
  <c r="DH101" i="29"/>
  <c r="Q18" i="39"/>
  <c r="Q15" i="39" s="1"/>
  <c r="L76" i="39"/>
  <c r="L93" i="39" s="1"/>
  <c r="N76" i="39" s="1"/>
  <c r="DI38" i="29"/>
  <c r="DH38" i="29"/>
  <c r="DG38" i="29"/>
  <c r="AK39" i="29" s="1"/>
  <c r="C30" i="39" s="1"/>
  <c r="DF133" i="29"/>
  <c r="DF123" i="29" s="1"/>
  <c r="DE121" i="29" s="1"/>
  <c r="DJ133" i="29"/>
  <c r="DJ123" i="29" s="1"/>
  <c r="AG123" i="29" s="1"/>
  <c r="DM133" i="29"/>
  <c r="DM123" i="29" s="1"/>
  <c r="AJ123" i="29" s="1"/>
  <c r="Q19" i="39"/>
  <c r="W4" i="39" s="1"/>
  <c r="B20" i="29" s="1"/>
  <c r="AL144" i="29" l="1"/>
  <c r="G145" i="39" s="1"/>
  <c r="F145" i="39" s="1"/>
  <c r="AM60" i="29"/>
  <c r="M53" i="39" s="1"/>
  <c r="C126" i="39"/>
  <c r="L126" i="39" s="1"/>
  <c r="C124" i="39"/>
  <c r="L124" i="39" s="1"/>
  <c r="AL102" i="29"/>
  <c r="L90" i="39"/>
  <c r="M91" i="39" s="1"/>
  <c r="L53" i="39"/>
  <c r="AL39" i="29"/>
  <c r="G30" i="39" s="1"/>
  <c r="DI122" i="29"/>
  <c r="DH122" i="29"/>
  <c r="DG122" i="29"/>
  <c r="AK123" i="29" s="1"/>
  <c r="C122" i="39" s="1"/>
  <c r="N88" i="39"/>
  <c r="N89" i="39"/>
  <c r="N78" i="39"/>
  <c r="N80" i="39"/>
  <c r="N84" i="39"/>
  <c r="N82" i="39"/>
  <c r="N75" i="39"/>
  <c r="K93" i="39" s="1"/>
  <c r="N87" i="39"/>
  <c r="N83" i="39"/>
  <c r="N86" i="39"/>
  <c r="N85" i="39"/>
  <c r="N81" i="39"/>
  <c r="N79" i="39"/>
  <c r="N77" i="39"/>
  <c r="L23" i="39"/>
  <c r="T4" i="39" s="1"/>
  <c r="AM144" i="29" l="1"/>
  <c r="M145" i="39" s="1"/>
  <c r="AM102" i="29"/>
  <c r="M99" i="39" s="1"/>
  <c r="G99" i="39"/>
  <c r="F99" i="39" s="1"/>
  <c r="AL123" i="29"/>
  <c r="G122" i="39" s="1"/>
  <c r="L145" i="39"/>
  <c r="V73" i="39"/>
  <c r="N93" i="39"/>
  <c r="F30" i="39"/>
  <c r="AM39" i="29"/>
  <c r="M30" i="39" s="1"/>
  <c r="L67" i="39"/>
  <c r="L70" i="39"/>
  <c r="N53" i="39" s="1"/>
  <c r="L99" i="39" l="1"/>
  <c r="L116" i="39" s="1"/>
  <c r="N99" i="39" s="1"/>
  <c r="L30" i="39"/>
  <c r="L47" i="39" s="1"/>
  <c r="M68" i="39"/>
  <c r="U73" i="39"/>
  <c r="L91" i="39"/>
  <c r="Q79" i="39" s="1"/>
  <c r="Q80" i="39" s="1"/>
  <c r="Q81" i="39" s="1"/>
  <c r="Q82" i="39" s="1"/>
  <c r="L162" i="39"/>
  <c r="L159" i="39"/>
  <c r="N64" i="39"/>
  <c r="N61" i="39"/>
  <c r="N52" i="39"/>
  <c r="K70" i="39" s="1"/>
  <c r="N60" i="39"/>
  <c r="N54" i="39"/>
  <c r="N65" i="39"/>
  <c r="N63" i="39"/>
  <c r="N66" i="39"/>
  <c r="N59" i="39"/>
  <c r="N62" i="39"/>
  <c r="N58" i="39"/>
  <c r="N56" i="39"/>
  <c r="N57" i="39"/>
  <c r="N55" i="39"/>
  <c r="AM123" i="29"/>
  <c r="M122" i="39" s="1"/>
  <c r="F122" i="39"/>
  <c r="Q83" i="39"/>
  <c r="L113" i="39" l="1"/>
  <c r="M114" i="39" s="1"/>
  <c r="L44" i="39"/>
  <c r="M45" i="39" s="1"/>
  <c r="Q85" i="39"/>
  <c r="Q86" i="39"/>
  <c r="N145" i="39"/>
  <c r="N150" i="39"/>
  <c r="N154" i="39"/>
  <c r="N148" i="39"/>
  <c r="N157" i="39"/>
  <c r="N153" i="39"/>
  <c r="N156" i="39"/>
  <c r="N146" i="39"/>
  <c r="N147" i="39"/>
  <c r="N158" i="39"/>
  <c r="N151" i="39"/>
  <c r="N152" i="39"/>
  <c r="N149" i="39"/>
  <c r="N144" i="39"/>
  <c r="K162" i="39" s="1"/>
  <c r="N155" i="39"/>
  <c r="N30" i="39"/>
  <c r="N42" i="39"/>
  <c r="N35" i="39"/>
  <c r="N36" i="39"/>
  <c r="N33" i="39"/>
  <c r="N38" i="39"/>
  <c r="N31" i="39"/>
  <c r="N39" i="39"/>
  <c r="N29" i="39"/>
  <c r="K47" i="39" s="1"/>
  <c r="N43" i="39"/>
  <c r="N41" i="39"/>
  <c r="N37" i="39"/>
  <c r="N40" i="39"/>
  <c r="N32" i="39"/>
  <c r="N34" i="39"/>
  <c r="L122" i="39"/>
  <c r="N106" i="39"/>
  <c r="N100" i="39"/>
  <c r="N103" i="39"/>
  <c r="N98" i="39"/>
  <c r="K116" i="39" s="1"/>
  <c r="N105" i="39"/>
  <c r="N112" i="39"/>
  <c r="N111" i="39"/>
  <c r="N101" i="39"/>
  <c r="N107" i="39"/>
  <c r="N109" i="39"/>
  <c r="N104" i="39"/>
  <c r="N102" i="39"/>
  <c r="N108" i="39"/>
  <c r="N110" i="39"/>
  <c r="N70" i="39"/>
  <c r="V50" i="39"/>
  <c r="M160" i="39"/>
  <c r="Q88" i="39" l="1"/>
  <c r="W73" i="39" s="1"/>
  <c r="B83" i="29" s="1"/>
  <c r="V142" i="39"/>
  <c r="N162" i="39"/>
  <c r="N116" i="39"/>
  <c r="V96" i="39"/>
  <c r="U50" i="39"/>
  <c r="L68" i="39"/>
  <c r="Q56" i="39" s="1"/>
  <c r="Q57" i="39" s="1"/>
  <c r="Q58" i="39" s="1"/>
  <c r="Q59" i="39" s="1"/>
  <c r="V27" i="39"/>
  <c r="N47" i="39"/>
  <c r="L136" i="39"/>
  <c r="L139" i="39"/>
  <c r="Q87" i="39"/>
  <c r="Q84" i="39" s="1"/>
  <c r="Q60" i="39"/>
  <c r="L92" i="39" l="1"/>
  <c r="T73" i="39" s="1"/>
  <c r="Q62" i="39"/>
  <c r="Q63" i="39"/>
  <c r="U96" i="39"/>
  <c r="L114" i="39"/>
  <c r="Q102" i="39" s="1"/>
  <c r="Q103" i="39" s="1"/>
  <c r="Q104" i="39" s="1"/>
  <c r="Q105" i="39" s="1"/>
  <c r="U27" i="39"/>
  <c r="L45" i="39"/>
  <c r="Q33" i="39" s="1"/>
  <c r="Q34" i="39" s="1"/>
  <c r="Q35" i="39" s="1"/>
  <c r="Q36" i="39" s="1"/>
  <c r="N122" i="39"/>
  <c r="N135" i="39"/>
  <c r="N134" i="39"/>
  <c r="N124" i="39"/>
  <c r="N127" i="39"/>
  <c r="N121" i="39"/>
  <c r="K139" i="39" s="1"/>
  <c r="N129" i="39"/>
  <c r="N123" i="39"/>
  <c r="N131" i="39"/>
  <c r="N125" i="39"/>
  <c r="N128" i="39"/>
  <c r="N130" i="39"/>
  <c r="N133" i="39"/>
  <c r="N126" i="39"/>
  <c r="N132" i="39"/>
  <c r="U142" i="39"/>
  <c r="L160" i="39"/>
  <c r="Q148" i="39" s="1"/>
  <c r="Q149" i="39" s="1"/>
  <c r="Q150" i="39" s="1"/>
  <c r="Q151" i="39" s="1"/>
  <c r="M137" i="39"/>
  <c r="Q152" i="39"/>
  <c r="Q37" i="39"/>
  <c r="Q106" i="39"/>
  <c r="Q65" i="39" l="1"/>
  <c r="W50" i="39" s="1"/>
  <c r="B62" i="29" s="1"/>
  <c r="Q39" i="39"/>
  <c r="Q154" i="39"/>
  <c r="Q108" i="39"/>
  <c r="Q40" i="39"/>
  <c r="Q155" i="39"/>
  <c r="Q109" i="39"/>
  <c r="N139" i="39"/>
  <c r="V119" i="39"/>
  <c r="Q64" i="39"/>
  <c r="Q61" i="39" s="1"/>
  <c r="Q110" i="39" l="1"/>
  <c r="Q107" i="39" s="1"/>
  <c r="Q41" i="39"/>
  <c r="Q38" i="39" s="1"/>
  <c r="L69" i="39"/>
  <c r="T50" i="39" s="1"/>
  <c r="Q156" i="39"/>
  <c r="Q153" i="39" s="1"/>
  <c r="Q42" i="39"/>
  <c r="W27" i="39" s="1"/>
  <c r="B41" i="29" s="1"/>
  <c r="U119" i="39"/>
  <c r="L137" i="39"/>
  <c r="Q125" i="39" s="1"/>
  <c r="Q126" i="39" s="1"/>
  <c r="Q127" i="39" s="1"/>
  <c r="Q128" i="39" s="1"/>
  <c r="Q111" i="39"/>
  <c r="W96" i="39" s="1"/>
  <c r="B104" i="29" s="1"/>
  <c r="Q157" i="39"/>
  <c r="W142" i="39" s="1"/>
  <c r="B146" i="29" s="1"/>
  <c r="Q129" i="39"/>
  <c r="AE118" i="16" l="1"/>
  <c r="AI121" i="16"/>
  <c r="AE119" i="16"/>
  <c r="AI118" i="16"/>
  <c r="AE117" i="16"/>
  <c r="AE121" i="16"/>
  <c r="AE120" i="16"/>
  <c r="AL118" i="16"/>
  <c r="AR121" i="16"/>
  <c r="T121" i="16" s="1"/>
  <c r="AL121" i="16"/>
  <c r="AO122" i="16"/>
  <c r="R122" i="16" s="1"/>
  <c r="AI117" i="16"/>
  <c r="AE122" i="16"/>
  <c r="AR116" i="16"/>
  <c r="T116" i="16" s="1"/>
  <c r="AR118" i="16"/>
  <c r="T118" i="16" s="1"/>
  <c r="AR122" i="16"/>
  <c r="T122" i="16" s="1"/>
  <c r="AI119" i="16"/>
  <c r="AO118" i="16"/>
  <c r="R118" i="16" s="1"/>
  <c r="AL120" i="16"/>
  <c r="AI120" i="16"/>
  <c r="AO117" i="16"/>
  <c r="R117" i="16" s="1"/>
  <c r="AR119" i="16"/>
  <c r="T119" i="16" s="1"/>
  <c r="AO121" i="16"/>
  <c r="R121" i="16" s="1"/>
  <c r="AL119" i="16"/>
  <c r="AL117" i="16"/>
  <c r="AI122" i="16"/>
  <c r="AL122" i="16"/>
  <c r="AR120" i="16"/>
  <c r="T120" i="16" s="1"/>
  <c r="AR117" i="16"/>
  <c r="T117" i="16" s="1"/>
  <c r="AO119" i="16"/>
  <c r="R119" i="16" s="1"/>
  <c r="AO120" i="16"/>
  <c r="R120" i="16" s="1"/>
  <c r="L46" i="39"/>
  <c r="T27" i="39" s="1"/>
  <c r="Q131" i="39"/>
  <c r="L115" i="39"/>
  <c r="T96" i="39" s="1"/>
  <c r="Q132" i="39"/>
  <c r="L161" i="39"/>
  <c r="T142" i="39" s="1"/>
  <c r="AY119" i="16" l="1"/>
  <c r="O119" i="16"/>
  <c r="AY118" i="16"/>
  <c r="O118" i="16"/>
  <c r="AA120" i="16"/>
  <c r="B120" i="16" s="1"/>
  <c r="E120" i="16" s="1"/>
  <c r="H120" i="16"/>
  <c r="AA121" i="16"/>
  <c r="B121" i="16" s="1"/>
  <c r="E121" i="16" s="1"/>
  <c r="H121" i="16"/>
  <c r="AA122" i="16"/>
  <c r="B122" i="16" s="1"/>
  <c r="E122" i="16" s="1"/>
  <c r="H122" i="16"/>
  <c r="AA117" i="16"/>
  <c r="B117" i="16" s="1"/>
  <c r="E117" i="16" s="1"/>
  <c r="H117" i="16"/>
  <c r="AV120" i="16"/>
  <c r="AU120" i="16" s="1"/>
  <c r="L120" i="16"/>
  <c r="AV117" i="16"/>
  <c r="AU117" i="16" s="1"/>
  <c r="L117" i="16"/>
  <c r="AV118" i="16"/>
  <c r="AU118" i="16" s="1"/>
  <c r="L118" i="16"/>
  <c r="AY122" i="16"/>
  <c r="O122" i="16"/>
  <c r="AY120" i="16"/>
  <c r="O120" i="16"/>
  <c r="AA119" i="16"/>
  <c r="B119" i="16" s="1"/>
  <c r="E119" i="16" s="1"/>
  <c r="H119" i="16"/>
  <c r="AV122" i="16"/>
  <c r="AU122" i="16" s="1"/>
  <c r="L122" i="16"/>
  <c r="AY121" i="16"/>
  <c r="O121" i="16"/>
  <c r="AV121" i="16"/>
  <c r="AU121" i="16" s="1"/>
  <c r="L121" i="16"/>
  <c r="AY117" i="16"/>
  <c r="O117" i="16"/>
  <c r="AV119" i="16"/>
  <c r="AU119" i="16" s="1"/>
  <c r="L119" i="16"/>
  <c r="AA118" i="16"/>
  <c r="B118" i="16" s="1"/>
  <c r="E118" i="16" s="1"/>
  <c r="H118" i="16"/>
  <c r="Q133" i="39"/>
  <c r="Q130" i="39" s="1"/>
  <c r="Q134" i="39"/>
  <c r="W119" i="39" s="1"/>
  <c r="B125" i="29" s="1"/>
  <c r="L138" i="39" l="1"/>
  <c r="T119" i="39" s="1"/>
  <c r="A209" i="6" l="1"/>
  <c r="A210" i="6"/>
  <c r="A211" i="6"/>
  <c r="A212" i="6"/>
  <c r="AI103" i="16"/>
  <c r="AV103" i="16" s="1"/>
  <c r="AU103" i="16" s="1"/>
  <c r="AI104" i="16"/>
  <c r="AV104" i="16" s="1"/>
  <c r="AU104" i="16" s="1"/>
  <c r="AI105" i="16"/>
  <c r="AV105" i="16" s="1"/>
  <c r="AU105" i="16" s="1"/>
  <c r="AI106" i="16"/>
  <c r="AV106" i="16" s="1"/>
  <c r="AU106" i="16" s="1"/>
  <c r="AL103" i="16"/>
  <c r="AY103" i="16" s="1"/>
  <c r="AL104" i="16"/>
  <c r="AY104" i="16" s="1"/>
  <c r="AL105" i="16"/>
  <c r="AY105" i="16" s="1"/>
  <c r="AL106" i="16"/>
  <c r="AY106" i="16" s="1"/>
  <c r="D52" i="9"/>
  <c r="K52" i="9" s="1"/>
  <c r="U63" i="9" s="1"/>
  <c r="U64" i="9" s="1"/>
  <c r="T65" i="9" s="1"/>
  <c r="G212" i="6" l="1"/>
  <c r="K212" i="6" s="1"/>
  <c r="J212" i="6"/>
  <c r="G211" i="6"/>
  <c r="K211" i="6" s="1"/>
  <c r="J211" i="6"/>
  <c r="G210" i="6"/>
  <c r="K210" i="6" s="1"/>
  <c r="J210" i="6"/>
  <c r="G209" i="6"/>
  <c r="K209" i="6" s="1"/>
  <c r="J209" i="6"/>
  <c r="C75" i="9"/>
  <c r="L75" i="9" s="1"/>
  <c r="D75" i="9"/>
  <c r="K75" i="9" s="1"/>
  <c r="U86" i="9" s="1"/>
  <c r="U87" i="9" s="1"/>
  <c r="T88" i="9" s="1"/>
  <c r="C81" i="9"/>
  <c r="C77" i="9"/>
  <c r="G77" i="9"/>
  <c r="U78" i="9"/>
  <c r="U75" i="9"/>
  <c r="U76" i="9"/>
  <c r="M77" i="9"/>
  <c r="M75" i="9"/>
  <c r="M81" i="9"/>
  <c r="Q73" i="9"/>
  <c r="Q77" i="9" s="1"/>
  <c r="H77" i="9" l="1"/>
  <c r="H79" i="9" s="1"/>
  <c r="H81" i="9" s="1"/>
  <c r="L81" i="9" s="1"/>
  <c r="AE106" i="16"/>
  <c r="AA106" i="16" s="1"/>
  <c r="B106" i="16" s="1"/>
  <c r="E106" i="16" s="1"/>
  <c r="AE105" i="16"/>
  <c r="AA105" i="16" s="1"/>
  <c r="B105" i="16" s="1"/>
  <c r="E105" i="16" s="1"/>
  <c r="AE104" i="16"/>
  <c r="AA104" i="16" s="1"/>
  <c r="B104" i="16" s="1"/>
  <c r="E104" i="16" s="1"/>
  <c r="AE103" i="16"/>
  <c r="AA103" i="16" s="1"/>
  <c r="B103" i="16" s="1"/>
  <c r="E103" i="16" s="1"/>
  <c r="C98" i="9"/>
  <c r="L98" i="9" s="1"/>
  <c r="D98" i="9"/>
  <c r="K98" i="9" s="1"/>
  <c r="U109" i="9" s="1"/>
  <c r="U110" i="9" s="1"/>
  <c r="T111" i="9" s="1"/>
  <c r="C104" i="9"/>
  <c r="C100" i="9"/>
  <c r="G100" i="9"/>
  <c r="U101" i="9"/>
  <c r="U98" i="9"/>
  <c r="U99" i="9"/>
  <c r="M100" i="9"/>
  <c r="M98" i="9"/>
  <c r="M104" i="9"/>
  <c r="Q96" i="9"/>
  <c r="Q100" i="9" s="1"/>
  <c r="L77" i="9" l="1"/>
  <c r="H100" i="9"/>
  <c r="H102" i="9" s="1"/>
  <c r="H104" i="9" s="1"/>
  <c r="L104" i="9" s="1"/>
  <c r="X124" i="6"/>
  <c r="X125" i="6"/>
  <c r="X126" i="6"/>
  <c r="X127" i="6"/>
  <c r="AD124" i="6"/>
  <c r="AD125" i="6"/>
  <c r="AD126" i="6"/>
  <c r="AD127" i="6"/>
  <c r="AF124" i="6"/>
  <c r="AF125" i="6"/>
  <c r="AF126" i="6"/>
  <c r="AF127" i="6"/>
  <c r="AE124" i="6"/>
  <c r="AE125" i="6"/>
  <c r="AE126" i="6"/>
  <c r="AE127" i="6"/>
  <c r="D121" i="9"/>
  <c r="K121" i="9" s="1"/>
  <c r="U132" i="9" s="1"/>
  <c r="U133" i="9" s="1"/>
  <c r="T134" i="9" s="1"/>
  <c r="C121" i="9"/>
  <c r="L121" i="9" s="1"/>
  <c r="C88" i="9"/>
  <c r="H88" i="9"/>
  <c r="D144" i="9"/>
  <c r="K144" i="9" s="1"/>
  <c r="U155" i="9" s="1"/>
  <c r="U156" i="9" s="1"/>
  <c r="T157" i="9" s="1"/>
  <c r="C144" i="9"/>
  <c r="L144" i="9" s="1"/>
  <c r="C79" i="9"/>
  <c r="L79" i="9" s="1"/>
  <c r="V90" i="9"/>
  <c r="K4" i="18"/>
  <c r="L4" i="18" s="1"/>
  <c r="AQ77" i="7" s="1"/>
  <c r="V87" i="9" s="1"/>
  <c r="C150" i="9"/>
  <c r="C146" i="9"/>
  <c r="G146" i="9"/>
  <c r="U147" i="9"/>
  <c r="U144" i="9"/>
  <c r="U145" i="9"/>
  <c r="M146" i="9"/>
  <c r="M144" i="9"/>
  <c r="M150" i="9"/>
  <c r="Q142" i="9"/>
  <c r="Q146" i="9" s="1"/>
  <c r="L88" i="9" l="1"/>
  <c r="H146" i="9"/>
  <c r="H148" i="9" s="1"/>
  <c r="H150" i="9" s="1"/>
  <c r="L150" i="9" s="1"/>
  <c r="C89" i="9"/>
  <c r="L89" i="9" s="1"/>
  <c r="L100" i="9"/>
  <c r="U81" i="9"/>
  <c r="U79" i="9"/>
  <c r="H82" i="9" s="1"/>
  <c r="L82" i="9" s="1"/>
  <c r="L103" i="16"/>
  <c r="O106" i="16"/>
  <c r="U83" i="9"/>
  <c r="H87" i="9" s="1"/>
  <c r="L87" i="9" s="1"/>
  <c r="H103" i="16"/>
  <c r="O105" i="16"/>
  <c r="O104" i="16"/>
  <c r="H104" i="16"/>
  <c r="H106" i="16"/>
  <c r="L104" i="16"/>
  <c r="O103" i="16"/>
  <c r="C86" i="9"/>
  <c r="H86" i="9"/>
  <c r="L106" i="16"/>
  <c r="L105" i="16"/>
  <c r="H105" i="16"/>
  <c r="U148" i="9"/>
  <c r="H151" i="9" s="1"/>
  <c r="L151" i="9" s="1"/>
  <c r="C123" i="9"/>
  <c r="G123" i="9"/>
  <c r="U124" i="9"/>
  <c r="U121" i="9"/>
  <c r="U122" i="9"/>
  <c r="U102" i="9"/>
  <c r="H107" i="9" s="1"/>
  <c r="L107" i="9" s="1"/>
  <c r="C127" i="9"/>
  <c r="M123" i="9"/>
  <c r="M121" i="9"/>
  <c r="M127" i="9"/>
  <c r="AR106" i="16"/>
  <c r="T106" i="16" s="1"/>
  <c r="U152" i="9"/>
  <c r="H156" i="9" s="1"/>
  <c r="L156" i="9" s="1"/>
  <c r="C155" i="9"/>
  <c r="C134" i="9"/>
  <c r="C109" i="9"/>
  <c r="H109" i="9"/>
  <c r="C111" i="9"/>
  <c r="H111" i="9"/>
  <c r="AO103" i="16"/>
  <c r="R103" i="16" s="1"/>
  <c r="C157" i="9"/>
  <c r="I67" i="9"/>
  <c r="I68" i="9" s="1"/>
  <c r="I69" i="9" s="1"/>
  <c r="K53" i="9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AR103" i="16"/>
  <c r="T103" i="16" s="1"/>
  <c r="V159" i="9"/>
  <c r="K7" i="18"/>
  <c r="L7" i="18" s="1"/>
  <c r="AQ140" i="7" s="1"/>
  <c r="V156" i="9" s="1"/>
  <c r="C132" i="9"/>
  <c r="U125" i="9"/>
  <c r="U106" i="9"/>
  <c r="H110" i="9" s="1"/>
  <c r="L110" i="9" s="1"/>
  <c r="AO105" i="16"/>
  <c r="R105" i="16" s="1"/>
  <c r="F77" i="9"/>
  <c r="U150" i="9"/>
  <c r="C125" i="9"/>
  <c r="U129" i="9"/>
  <c r="V113" i="9"/>
  <c r="K5" i="18"/>
  <c r="L5" i="18" s="1"/>
  <c r="AQ98" i="7" s="1"/>
  <c r="V110" i="9" s="1"/>
  <c r="AR105" i="16"/>
  <c r="T105" i="16" s="1"/>
  <c r="C148" i="9"/>
  <c r="V136" i="9"/>
  <c r="K6" i="18"/>
  <c r="L6" i="18" s="1"/>
  <c r="AQ119" i="7" s="1"/>
  <c r="V133" i="9" s="1"/>
  <c r="Q119" i="9"/>
  <c r="Q123" i="9" s="1"/>
  <c r="L148" i="9" l="1"/>
  <c r="H105" i="9"/>
  <c r="L105" i="9" s="1"/>
  <c r="H128" i="9"/>
  <c r="L128" i="9" s="1"/>
  <c r="H133" i="9"/>
  <c r="L133" i="9" s="1"/>
  <c r="H152" i="9"/>
  <c r="L152" i="9" s="1"/>
  <c r="H84" i="9"/>
  <c r="L84" i="9" s="1"/>
  <c r="H123" i="9"/>
  <c r="H125" i="9" s="1"/>
  <c r="L125" i="9" s="1"/>
  <c r="L86" i="9"/>
  <c r="H83" i="9"/>
  <c r="L83" i="9" s="1"/>
  <c r="H155" i="9"/>
  <c r="L155" i="9" s="1"/>
  <c r="C135" i="9"/>
  <c r="L135" i="9" s="1"/>
  <c r="L111" i="9"/>
  <c r="H157" i="9"/>
  <c r="L157" i="9" s="1"/>
  <c r="L109" i="9"/>
  <c r="C158" i="9"/>
  <c r="L158" i="9" s="1"/>
  <c r="C112" i="9"/>
  <c r="L112" i="9" s="1"/>
  <c r="L146" i="9"/>
  <c r="K76" i="9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I90" i="9"/>
  <c r="I91" i="9" s="1"/>
  <c r="I92" i="9" s="1"/>
  <c r="AO106" i="16"/>
  <c r="R106" i="16" s="1"/>
  <c r="AO104" i="16"/>
  <c r="R104" i="16" s="1"/>
  <c r="H153" i="9"/>
  <c r="L153" i="9" s="1"/>
  <c r="U127" i="9"/>
  <c r="H129" i="9" s="1"/>
  <c r="L129" i="9" s="1"/>
  <c r="U104" i="9"/>
  <c r="H106" i="9" s="1"/>
  <c r="L106" i="9" s="1"/>
  <c r="AR104" i="16"/>
  <c r="T104" i="16" s="1"/>
  <c r="H130" i="9"/>
  <c r="L130" i="9" s="1"/>
  <c r="C102" i="9"/>
  <c r="L102" i="9" s="1"/>
  <c r="D66" i="9"/>
  <c r="I66" i="9" s="1"/>
  <c r="I52" i="9"/>
  <c r="I75" i="9"/>
  <c r="D89" i="9"/>
  <c r="I89" i="9" s="1"/>
  <c r="AA124" i="6"/>
  <c r="AA125" i="6"/>
  <c r="AA126" i="6"/>
  <c r="AA127" i="6"/>
  <c r="R123" i="6"/>
  <c r="R124" i="6"/>
  <c r="R125" i="6"/>
  <c r="R126" i="6"/>
  <c r="R127" i="6"/>
  <c r="K122" i="9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I136" i="9"/>
  <c r="I137" i="9" s="1"/>
  <c r="I138" i="9" s="1"/>
  <c r="K145" i="9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I159" i="9"/>
  <c r="I160" i="9" s="1"/>
  <c r="I161" i="9" s="1"/>
  <c r="I113" i="9"/>
  <c r="I114" i="9" s="1"/>
  <c r="I115" i="9" s="1"/>
  <c r="K99" i="9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Q143" i="9"/>
  <c r="Q144" i="9" s="1"/>
  <c r="Q145" i="9" s="1"/>
  <c r="Q97" i="9"/>
  <c r="Q98" i="9" s="1"/>
  <c r="Q99" i="9" s="1"/>
  <c r="D112" i="9"/>
  <c r="I112" i="9" s="1"/>
  <c r="I98" i="9"/>
  <c r="D158" i="9"/>
  <c r="I158" i="9" s="1"/>
  <c r="I144" i="9"/>
  <c r="I121" i="9"/>
  <c r="D135" i="9"/>
  <c r="I135" i="9" s="1"/>
  <c r="L209" i="6"/>
  <c r="F123" i="9"/>
  <c r="F100" i="9"/>
  <c r="F146" i="9"/>
  <c r="L211" i="6"/>
  <c r="L210" i="6"/>
  <c r="L212" i="6"/>
  <c r="C80" i="10"/>
  <c r="P80" i="10" s="1"/>
  <c r="C82" i="11"/>
  <c r="P82" i="11" s="1"/>
  <c r="C83" i="10"/>
  <c r="P83" i="10" s="1"/>
  <c r="C83" i="11"/>
  <c r="P83" i="11" s="1"/>
  <c r="C79" i="10"/>
  <c r="P79" i="10" s="1"/>
  <c r="C81" i="11"/>
  <c r="D81" i="11" s="1"/>
  <c r="C82" i="10"/>
  <c r="C81" i="10"/>
  <c r="C80" i="11"/>
  <c r="P80" i="11" s="1"/>
  <c r="C79" i="11"/>
  <c r="D79" i="11" s="1"/>
  <c r="E210" i="6"/>
  <c r="F210" i="6"/>
  <c r="M210" i="6"/>
  <c r="H210" i="6"/>
  <c r="I210" i="6"/>
  <c r="C210" i="6"/>
  <c r="D210" i="6"/>
  <c r="B210" i="6"/>
  <c r="D212" i="6"/>
  <c r="C212" i="6"/>
  <c r="B212" i="6"/>
  <c r="H212" i="6"/>
  <c r="F212" i="6"/>
  <c r="E212" i="6"/>
  <c r="I212" i="6"/>
  <c r="M212" i="6"/>
  <c r="M211" i="6"/>
  <c r="E211" i="6"/>
  <c r="D211" i="6"/>
  <c r="I211" i="6"/>
  <c r="C211" i="6"/>
  <c r="B211" i="6"/>
  <c r="F211" i="6"/>
  <c r="H211" i="6"/>
  <c r="H209" i="6"/>
  <c r="I209" i="6"/>
  <c r="E209" i="6"/>
  <c r="F209" i="6"/>
  <c r="M209" i="6"/>
  <c r="D209" i="6"/>
  <c r="B209" i="6"/>
  <c r="C209" i="6"/>
  <c r="Q74" i="9"/>
  <c r="Q75" i="9" s="1"/>
  <c r="Q76" i="9" s="1"/>
  <c r="Q120" i="9"/>
  <c r="Q121" i="9" s="1"/>
  <c r="Q122" i="9" s="1"/>
  <c r="H134" i="9" l="1"/>
  <c r="L134" i="9" s="1"/>
  <c r="H127" i="9"/>
  <c r="H132" i="9" s="1"/>
  <c r="L132" i="9" s="1"/>
  <c r="L123" i="9"/>
  <c r="D80" i="10"/>
  <c r="E80" i="10" s="1"/>
  <c r="F80" i="10" s="1"/>
  <c r="P79" i="11"/>
  <c r="Q79" i="11" s="1"/>
  <c r="U79" i="11" s="1"/>
  <c r="V79" i="11" s="1"/>
  <c r="D83" i="11"/>
  <c r="K83" i="11" s="1"/>
  <c r="M83" i="11" s="1"/>
  <c r="BS153" i="7" s="1"/>
  <c r="I81" i="11"/>
  <c r="J81" i="11" s="1"/>
  <c r="H81" i="11"/>
  <c r="L81" i="11" s="1"/>
  <c r="BS110" i="7" s="1"/>
  <c r="D79" i="10"/>
  <c r="D82" i="10"/>
  <c r="D80" i="11"/>
  <c r="K80" i="11" s="1"/>
  <c r="M80" i="11" s="1"/>
  <c r="BS90" i="7" s="1"/>
  <c r="D82" i="11"/>
  <c r="Q79" i="10"/>
  <c r="Q83" i="11"/>
  <c r="Q83" i="10"/>
  <c r="Q80" i="11"/>
  <c r="Q82" i="11"/>
  <c r="Q80" i="10"/>
  <c r="E79" i="11"/>
  <c r="F79" i="11" s="1"/>
  <c r="I79" i="11"/>
  <c r="J79" i="11" s="1"/>
  <c r="P81" i="10"/>
  <c r="E81" i="11"/>
  <c r="F81" i="11" s="1"/>
  <c r="D81" i="10"/>
  <c r="D83" i="10"/>
  <c r="P82" i="10"/>
  <c r="P81" i="11"/>
  <c r="K81" i="11"/>
  <c r="M81" i="11" s="1"/>
  <c r="BS111" i="7" s="1"/>
  <c r="K79" i="11" l="1"/>
  <c r="M79" i="11" s="1"/>
  <c r="BS69" i="7" s="1"/>
  <c r="H79" i="11"/>
  <c r="L79" i="11" s="1"/>
  <c r="BS68" i="7" s="1"/>
  <c r="L127" i="9"/>
  <c r="W79" i="11"/>
  <c r="Y79" i="11" s="1"/>
  <c r="BT69" i="7" s="1"/>
  <c r="R79" i="11"/>
  <c r="S79" i="11" s="1"/>
  <c r="E80" i="11"/>
  <c r="F80" i="11" s="1"/>
  <c r="I83" i="11"/>
  <c r="J83" i="11" s="1"/>
  <c r="I80" i="10"/>
  <c r="J80" i="10" s="1"/>
  <c r="K80" i="10"/>
  <c r="M80" i="10" s="1"/>
  <c r="BQ90" i="7" s="1"/>
  <c r="H80" i="10"/>
  <c r="L80" i="10" s="1"/>
  <c r="BQ89" i="7" s="1"/>
  <c r="H83" i="11"/>
  <c r="L83" i="11" s="1"/>
  <c r="BS152" i="7" s="1"/>
  <c r="E83" i="11"/>
  <c r="F83" i="11" s="1"/>
  <c r="I79" i="10"/>
  <c r="J79" i="10" s="1"/>
  <c r="E79" i="10"/>
  <c r="F79" i="10" s="1"/>
  <c r="I82" i="10"/>
  <c r="J82" i="10" s="1"/>
  <c r="H82" i="10"/>
  <c r="L82" i="10" s="1"/>
  <c r="BQ131" i="7" s="1"/>
  <c r="K82" i="10"/>
  <c r="M82" i="10" s="1"/>
  <c r="BQ132" i="7" s="1"/>
  <c r="I82" i="11"/>
  <c r="J82" i="11" s="1"/>
  <c r="K82" i="11"/>
  <c r="M82" i="11" s="1"/>
  <c r="BS132" i="7" s="1"/>
  <c r="E82" i="11"/>
  <c r="F82" i="11" s="1"/>
  <c r="H82" i="11"/>
  <c r="L82" i="11" s="1"/>
  <c r="BS131" i="7" s="1"/>
  <c r="E82" i="10"/>
  <c r="F82" i="10" s="1"/>
  <c r="I80" i="11"/>
  <c r="J80" i="11" s="1"/>
  <c r="H80" i="11"/>
  <c r="L80" i="11" s="1"/>
  <c r="BS89" i="7" s="1"/>
  <c r="Q82" i="10"/>
  <c r="R82" i="11"/>
  <c r="S82" i="11" s="1"/>
  <c r="T82" i="11"/>
  <c r="X82" i="11" s="1"/>
  <c r="BT131" i="7" s="1"/>
  <c r="U82" i="11"/>
  <c r="V82" i="11" s="1"/>
  <c r="W82" i="11"/>
  <c r="Y82" i="11" s="1"/>
  <c r="BT132" i="7" s="1"/>
  <c r="T83" i="11"/>
  <c r="X83" i="11" s="1"/>
  <c r="BT152" i="7" s="1"/>
  <c r="U83" i="11"/>
  <c r="V83" i="11" s="1"/>
  <c r="W83" i="11"/>
  <c r="Y83" i="11" s="1"/>
  <c r="BT153" i="7" s="1"/>
  <c r="R83" i="11"/>
  <c r="S83" i="11" s="1"/>
  <c r="Q81" i="10"/>
  <c r="U80" i="10"/>
  <c r="V80" i="10" s="1"/>
  <c r="W80" i="10"/>
  <c r="Y80" i="10" s="1"/>
  <c r="BR90" i="7" s="1"/>
  <c r="R80" i="10"/>
  <c r="S80" i="10" s="1"/>
  <c r="T80" i="10"/>
  <c r="X80" i="10" s="1"/>
  <c r="BR89" i="7" s="1"/>
  <c r="W80" i="11"/>
  <c r="Y80" i="11" s="1"/>
  <c r="BT90" i="7" s="1"/>
  <c r="R80" i="11"/>
  <c r="S80" i="11" s="1"/>
  <c r="T80" i="11"/>
  <c r="X80" i="11" s="1"/>
  <c r="BT89" i="7" s="1"/>
  <c r="U80" i="11"/>
  <c r="V80" i="11" s="1"/>
  <c r="E81" i="10"/>
  <c r="F81" i="10" s="1"/>
  <c r="H81" i="10"/>
  <c r="L81" i="10" s="1"/>
  <c r="BQ110" i="7" s="1"/>
  <c r="I81" i="10"/>
  <c r="J81" i="10" s="1"/>
  <c r="K81" i="10"/>
  <c r="M81" i="10" s="1"/>
  <c r="BQ111" i="7" s="1"/>
  <c r="U79" i="10"/>
  <c r="V79" i="10" s="1"/>
  <c r="R79" i="10"/>
  <c r="S79" i="10" s="1"/>
  <c r="Q81" i="11"/>
  <c r="E83" i="10"/>
  <c r="F83" i="10" s="1"/>
  <c r="H83" i="10"/>
  <c r="L83" i="10" s="1"/>
  <c r="BQ152" i="7" s="1"/>
  <c r="I83" i="10"/>
  <c r="J83" i="10" s="1"/>
  <c r="K83" i="10"/>
  <c r="M83" i="10" s="1"/>
  <c r="BQ153" i="7" s="1"/>
  <c r="W83" i="10"/>
  <c r="Y83" i="10" s="1"/>
  <c r="BR153" i="7" s="1"/>
  <c r="R83" i="10"/>
  <c r="S83" i="10" s="1"/>
  <c r="T83" i="10"/>
  <c r="X83" i="10" s="1"/>
  <c r="BR152" i="7" s="1"/>
  <c r="U83" i="10"/>
  <c r="V83" i="10" s="1"/>
  <c r="W79" i="10" l="1"/>
  <c r="Y79" i="10" s="1"/>
  <c r="BR69" i="7" s="1"/>
  <c r="T79" i="10"/>
  <c r="X79" i="10" s="1"/>
  <c r="BR68" i="7" s="1"/>
  <c r="H79" i="10"/>
  <c r="L79" i="10" s="1"/>
  <c r="BQ68" i="7" s="1"/>
  <c r="K79" i="10"/>
  <c r="M79" i="10" s="1"/>
  <c r="BQ69" i="7" s="1"/>
  <c r="T79" i="11"/>
  <c r="X79" i="11" s="1"/>
  <c r="BT68" i="7" s="1"/>
  <c r="K2" i="18"/>
  <c r="L2" i="18" s="1"/>
  <c r="AQ35" i="7" s="1"/>
  <c r="V41" i="9" s="1"/>
  <c r="K3" i="18"/>
  <c r="L3" i="18" s="1"/>
  <c r="AQ56" i="7" s="1"/>
  <c r="V64" i="9" s="1"/>
  <c r="U81" i="11"/>
  <c r="V81" i="11" s="1"/>
  <c r="W81" i="11"/>
  <c r="Y81" i="11" s="1"/>
  <c r="BT111" i="7" s="1"/>
  <c r="R81" i="11"/>
  <c r="S81" i="11" s="1"/>
  <c r="T81" i="11"/>
  <c r="X81" i="11" s="1"/>
  <c r="BT110" i="7" s="1"/>
  <c r="R82" i="10"/>
  <c r="S82" i="10" s="1"/>
  <c r="T82" i="10"/>
  <c r="X82" i="10" s="1"/>
  <c r="BR131" i="7" s="1"/>
  <c r="U82" i="10"/>
  <c r="V82" i="10" s="1"/>
  <c r="W82" i="10"/>
  <c r="Y82" i="10" s="1"/>
  <c r="BR132" i="7" s="1"/>
  <c r="T81" i="10"/>
  <c r="X81" i="10" s="1"/>
  <c r="BR110" i="7" s="1"/>
  <c r="U81" i="10"/>
  <c r="V81" i="10" s="1"/>
  <c r="W81" i="10"/>
  <c r="Y81" i="10" s="1"/>
  <c r="BR111" i="7" s="1"/>
  <c r="R81" i="10"/>
  <c r="S81" i="10" s="1"/>
  <c r="D122" i="9"/>
  <c r="U135" i="9" s="1"/>
  <c r="U136" i="9" s="1"/>
  <c r="T137" i="9" s="1"/>
  <c r="H122" i="9" s="1"/>
  <c r="L122" i="9" s="1"/>
  <c r="L136" i="9" s="1"/>
  <c r="M137" i="9" l="1"/>
  <c r="N139" i="9" s="1"/>
  <c r="L137" i="9" s="1"/>
  <c r="D145" i="9"/>
  <c r="U158" i="9" s="1"/>
  <c r="U159" i="9" s="1"/>
  <c r="T160" i="9" s="1"/>
  <c r="H145" i="9" s="1"/>
  <c r="L145" i="9" s="1"/>
  <c r="L159" i="9" s="1"/>
  <c r="M160" i="9" l="1"/>
  <c r="N162" i="9" s="1"/>
  <c r="L160" i="9" s="1"/>
  <c r="Q125" i="9"/>
  <c r="Q126" i="9" s="1"/>
  <c r="Q127" i="9" s="1"/>
  <c r="Q128" i="9" s="1"/>
  <c r="C52" i="9"/>
  <c r="L52" i="9" s="1"/>
  <c r="D53" i="9"/>
  <c r="U66" i="9" s="1"/>
  <c r="U67" i="9" s="1"/>
  <c r="T68" i="9" s="1"/>
  <c r="H53" i="9" s="1"/>
  <c r="L53" i="9" s="1"/>
  <c r="C58" i="9"/>
  <c r="C54" i="9"/>
  <c r="G54" i="9"/>
  <c r="U55" i="9"/>
  <c r="U52" i="9"/>
  <c r="U53" i="9"/>
  <c r="M54" i="9"/>
  <c r="M52" i="9"/>
  <c r="M58" i="9"/>
  <c r="Q129" i="9"/>
  <c r="H54" i="9" l="1"/>
  <c r="L54" i="9" s="1"/>
  <c r="Q131" i="9"/>
  <c r="Q132" i="9"/>
  <c r="Q148" i="9"/>
  <c r="Q149" i="9" s="1"/>
  <c r="Q150" i="9" s="1"/>
  <c r="Q151" i="9" s="1"/>
  <c r="D99" i="9"/>
  <c r="U112" i="9" s="1"/>
  <c r="U113" i="9" s="1"/>
  <c r="T114" i="9" s="1"/>
  <c r="H99" i="9" s="1"/>
  <c r="L99" i="9" s="1"/>
  <c r="L113" i="9" s="1"/>
  <c r="Q152" i="9"/>
  <c r="H56" i="9" l="1"/>
  <c r="H58" i="9" s="1"/>
  <c r="L58" i="9" s="1"/>
  <c r="Q133" i="9"/>
  <c r="Q130" i="9" s="1"/>
  <c r="Q154" i="9"/>
  <c r="M114" i="9"/>
  <c r="N116" i="9" s="1"/>
  <c r="L114" i="9" s="1"/>
  <c r="Q155" i="9"/>
  <c r="Q134" i="9"/>
  <c r="W119" i="9" s="1"/>
  <c r="B125" i="7" s="1"/>
  <c r="U119" i="9"/>
  <c r="U142" i="9"/>
  <c r="V119" i="9"/>
  <c r="D76" i="9"/>
  <c r="U89" i="9" s="1"/>
  <c r="U90" i="9" s="1"/>
  <c r="T91" i="9" s="1"/>
  <c r="H76" i="9" s="1"/>
  <c r="L76" i="9" s="1"/>
  <c r="L90" i="9" s="1"/>
  <c r="Q156" i="9" l="1"/>
  <c r="Q153" i="9" s="1"/>
  <c r="Q102" i="9"/>
  <c r="Q103" i="9" s="1"/>
  <c r="Q104" i="9" s="1"/>
  <c r="Q105" i="9" s="1"/>
  <c r="M91" i="9"/>
  <c r="N93" i="9" s="1"/>
  <c r="L91" i="9" s="1"/>
  <c r="L138" i="9"/>
  <c r="T119" i="9" s="1"/>
  <c r="Q157" i="9"/>
  <c r="W142" i="9" s="1"/>
  <c r="B146" i="7" s="1"/>
  <c r="R122" i="6"/>
  <c r="V142" i="9"/>
  <c r="AA122" i="6"/>
  <c r="AA123" i="6"/>
  <c r="U96" i="9"/>
  <c r="C149" i="9"/>
  <c r="H147" i="9"/>
  <c r="H149" i="9" s="1"/>
  <c r="L162" i="9"/>
  <c r="N158" i="9" s="1"/>
  <c r="C147" i="9"/>
  <c r="V96" i="9"/>
  <c r="A207" i="6"/>
  <c r="A208" i="6"/>
  <c r="A122" i="6"/>
  <c r="G122" i="6" s="1"/>
  <c r="A123" i="6"/>
  <c r="G123" i="6" s="1"/>
  <c r="A124" i="6"/>
  <c r="G124" i="6" s="1"/>
  <c r="A125" i="6"/>
  <c r="G125" i="6" s="1"/>
  <c r="A126" i="6"/>
  <c r="G126" i="6" s="1"/>
  <c r="A127" i="6"/>
  <c r="G127" i="6" s="1"/>
  <c r="C78" i="9"/>
  <c r="H78" i="9"/>
  <c r="H80" i="9" s="1"/>
  <c r="L93" i="9"/>
  <c r="N87" i="9" s="1"/>
  <c r="C124" i="9"/>
  <c r="H124" i="9"/>
  <c r="H126" i="9" s="1"/>
  <c r="L139" i="9"/>
  <c r="N130" i="9" s="1"/>
  <c r="C131" i="9"/>
  <c r="H131" i="9"/>
  <c r="C154" i="9"/>
  <c r="H154" i="9"/>
  <c r="X122" i="6"/>
  <c r="X123" i="6"/>
  <c r="AD122" i="6"/>
  <c r="AD123" i="6"/>
  <c r="AF122" i="6"/>
  <c r="AF123" i="6"/>
  <c r="AE122" i="6"/>
  <c r="AE123" i="6"/>
  <c r="C126" i="9"/>
  <c r="H101" i="9"/>
  <c r="L101" i="9" s="1"/>
  <c r="L116" i="9"/>
  <c r="N111" i="9" s="1"/>
  <c r="C63" i="9"/>
  <c r="H63" i="9"/>
  <c r="C85" i="9"/>
  <c r="H85" i="9"/>
  <c r="C108" i="9"/>
  <c r="H108" i="9"/>
  <c r="U56" i="9"/>
  <c r="H61" i="9" s="1"/>
  <c r="L61" i="9" s="1"/>
  <c r="V67" i="9"/>
  <c r="C66" i="9" s="1"/>
  <c r="L66" i="9" s="1"/>
  <c r="U58" i="9"/>
  <c r="U60" i="9"/>
  <c r="H64" i="9" s="1"/>
  <c r="L64" i="9" s="1"/>
  <c r="C62" i="9"/>
  <c r="H62" i="9"/>
  <c r="C65" i="9"/>
  <c r="H65" i="9"/>
  <c r="C80" i="9"/>
  <c r="C56" i="9"/>
  <c r="L56" i="9" s="1"/>
  <c r="H55" i="9"/>
  <c r="H57" i="9" s="1"/>
  <c r="L57" i="9" s="1"/>
  <c r="C29" i="9"/>
  <c r="L29" i="9" s="1"/>
  <c r="D29" i="9"/>
  <c r="K29" i="9" s="1"/>
  <c r="U40" i="9" s="1"/>
  <c r="U41" i="9" s="1"/>
  <c r="T42" i="9" s="1"/>
  <c r="D30" i="9"/>
  <c r="U43" i="9" s="1"/>
  <c r="U44" i="9" s="1"/>
  <c r="T45" i="9" s="1"/>
  <c r="C35" i="9"/>
  <c r="C31" i="9"/>
  <c r="G31" i="9"/>
  <c r="U32" i="9"/>
  <c r="U29" i="9"/>
  <c r="U30" i="9"/>
  <c r="M31" i="9"/>
  <c r="M29" i="9"/>
  <c r="M35" i="9"/>
  <c r="Q106" i="9"/>
  <c r="K123" i="6" l="1"/>
  <c r="L123" i="6" s="1"/>
  <c r="S122" i="6"/>
  <c r="T122" i="6" s="1"/>
  <c r="S128" i="6"/>
  <c r="T128" i="6" s="1"/>
  <c r="S127" i="6"/>
  <c r="T127" i="6" s="1"/>
  <c r="S124" i="6"/>
  <c r="T124" i="6" s="1"/>
  <c r="S126" i="6"/>
  <c r="T126" i="6" s="1"/>
  <c r="S123" i="6"/>
  <c r="T123" i="6" s="1"/>
  <c r="S125" i="6"/>
  <c r="T125" i="6" s="1"/>
  <c r="G208" i="6"/>
  <c r="J208" i="6"/>
  <c r="G207" i="6"/>
  <c r="K207" i="6" s="1"/>
  <c r="L207" i="6" s="1"/>
  <c r="J207" i="6"/>
  <c r="V73" i="9"/>
  <c r="U73" i="9"/>
  <c r="L149" i="9"/>
  <c r="N149" i="9" s="1"/>
  <c r="L147" i="9"/>
  <c r="N147" i="9" s="1"/>
  <c r="K125" i="6"/>
  <c r="L125" i="6" s="1"/>
  <c r="K124" i="6"/>
  <c r="L124" i="6" s="1"/>
  <c r="K122" i="6"/>
  <c r="K128" i="6"/>
  <c r="L128" i="6" s="1"/>
  <c r="K129" i="6"/>
  <c r="L129" i="6" s="1"/>
  <c r="K130" i="6"/>
  <c r="L130" i="6" s="1"/>
  <c r="K133" i="6"/>
  <c r="L133" i="6" s="1"/>
  <c r="K131" i="6"/>
  <c r="L131" i="6" s="1"/>
  <c r="K134" i="6"/>
  <c r="L134" i="6" s="1"/>
  <c r="K132" i="6"/>
  <c r="L132" i="6" s="1"/>
  <c r="K135" i="6"/>
  <c r="L135" i="6" s="1"/>
  <c r="K136" i="6"/>
  <c r="L136" i="6" s="1"/>
  <c r="K137" i="6"/>
  <c r="L137" i="6" s="1"/>
  <c r="K138" i="6"/>
  <c r="L138" i="6" s="1"/>
  <c r="K139" i="6"/>
  <c r="L139" i="6" s="1"/>
  <c r="K161" i="6"/>
  <c r="L161" i="6" s="1"/>
  <c r="K192" i="6"/>
  <c r="L192" i="6" s="1"/>
  <c r="K144" i="6"/>
  <c r="L144" i="6" s="1"/>
  <c r="K164" i="6"/>
  <c r="L164" i="6" s="1"/>
  <c r="K143" i="6"/>
  <c r="L143" i="6" s="1"/>
  <c r="K186" i="6"/>
  <c r="L186" i="6" s="1"/>
  <c r="K172" i="6"/>
  <c r="L172" i="6" s="1"/>
  <c r="K174" i="6"/>
  <c r="L174" i="6" s="1"/>
  <c r="K175" i="6"/>
  <c r="L175" i="6" s="1"/>
  <c r="K198" i="6"/>
  <c r="L198" i="6" s="1"/>
  <c r="K180" i="6"/>
  <c r="L180" i="6" s="1"/>
  <c r="K202" i="6"/>
  <c r="L202" i="6" s="1"/>
  <c r="K165" i="6"/>
  <c r="L165" i="6" s="1"/>
  <c r="K145" i="6"/>
  <c r="L145" i="6" s="1"/>
  <c r="K173" i="6"/>
  <c r="L173" i="6" s="1"/>
  <c r="K152" i="6"/>
  <c r="L152" i="6" s="1"/>
  <c r="K160" i="6"/>
  <c r="L160" i="6" s="1"/>
  <c r="K194" i="6"/>
  <c r="L194" i="6" s="1"/>
  <c r="K193" i="6"/>
  <c r="L193" i="6" s="1"/>
  <c r="K141" i="6"/>
  <c r="L141" i="6" s="1"/>
  <c r="K157" i="6"/>
  <c r="L157" i="6" s="1"/>
  <c r="K167" i="6"/>
  <c r="L167" i="6" s="1"/>
  <c r="K168" i="6"/>
  <c r="L168" i="6" s="1"/>
  <c r="K163" i="6"/>
  <c r="L163" i="6" s="1"/>
  <c r="K196" i="6"/>
  <c r="L196" i="6" s="1"/>
  <c r="K183" i="6"/>
  <c r="L183" i="6" s="1"/>
  <c r="K150" i="6"/>
  <c r="L150" i="6" s="1"/>
  <c r="K203" i="6"/>
  <c r="L203" i="6" s="1"/>
  <c r="K179" i="6"/>
  <c r="L179" i="6" s="1"/>
  <c r="K158" i="6"/>
  <c r="L158" i="6" s="1"/>
  <c r="K151" i="6"/>
  <c r="L151" i="6" s="1"/>
  <c r="K190" i="6"/>
  <c r="L190" i="6" s="1"/>
  <c r="K176" i="6"/>
  <c r="L176" i="6" s="1"/>
  <c r="K189" i="6"/>
  <c r="L189" i="6" s="1"/>
  <c r="K147" i="6"/>
  <c r="L147" i="6" s="1"/>
  <c r="K169" i="6"/>
  <c r="L169" i="6" s="1"/>
  <c r="K181" i="6"/>
  <c r="L181" i="6" s="1"/>
  <c r="K197" i="6"/>
  <c r="L197" i="6" s="1"/>
  <c r="K188" i="6"/>
  <c r="L188" i="6" s="1"/>
  <c r="K204" i="6"/>
  <c r="L204" i="6" s="1"/>
  <c r="K153" i="6"/>
  <c r="L153" i="6" s="1"/>
  <c r="K146" i="6"/>
  <c r="L146" i="6" s="1"/>
  <c r="K177" i="6"/>
  <c r="L177" i="6" s="1"/>
  <c r="K156" i="6"/>
  <c r="L156" i="6" s="1"/>
  <c r="K159" i="6"/>
  <c r="L159" i="6" s="1"/>
  <c r="K195" i="6"/>
  <c r="L195" i="6" s="1"/>
  <c r="K148" i="6"/>
  <c r="L148" i="6" s="1"/>
  <c r="K185" i="6"/>
  <c r="L185" i="6" s="1"/>
  <c r="K200" i="6"/>
  <c r="L200" i="6" s="1"/>
  <c r="K201" i="6"/>
  <c r="L201" i="6" s="1"/>
  <c r="K178" i="6"/>
  <c r="L178" i="6" s="1"/>
  <c r="K182" i="6"/>
  <c r="L182" i="6" s="1"/>
  <c r="K155" i="6"/>
  <c r="L155" i="6" s="1"/>
  <c r="K149" i="6"/>
  <c r="L149" i="6" s="1"/>
  <c r="K142" i="6"/>
  <c r="L142" i="6" s="1"/>
  <c r="K154" i="6"/>
  <c r="L154" i="6" s="1"/>
  <c r="K170" i="6"/>
  <c r="L170" i="6" s="1"/>
  <c r="K140" i="6"/>
  <c r="L140" i="6" s="1"/>
  <c r="K191" i="6"/>
  <c r="L191" i="6" s="1"/>
  <c r="K187" i="6"/>
  <c r="L187" i="6" s="1"/>
  <c r="K199" i="6"/>
  <c r="L199" i="6" s="1"/>
  <c r="K184" i="6"/>
  <c r="L184" i="6" s="1"/>
  <c r="K162" i="6"/>
  <c r="L162" i="6" s="1"/>
  <c r="K166" i="6"/>
  <c r="L166" i="6" s="1"/>
  <c r="K171" i="6"/>
  <c r="L171" i="6" s="1"/>
  <c r="K127" i="6"/>
  <c r="L127" i="6" s="1"/>
  <c r="K126" i="6"/>
  <c r="L126" i="6" s="1"/>
  <c r="L85" i="9"/>
  <c r="N85" i="9" s="1"/>
  <c r="N156" i="9"/>
  <c r="N99" i="9"/>
  <c r="N157" i="9"/>
  <c r="H103" i="9"/>
  <c r="L103" i="9" s="1"/>
  <c r="N103" i="9" s="1"/>
  <c r="N151" i="9"/>
  <c r="N144" i="9"/>
  <c r="K162" i="9" s="1"/>
  <c r="N152" i="9"/>
  <c r="N155" i="9"/>
  <c r="N153" i="9"/>
  <c r="N145" i="9"/>
  <c r="N148" i="9"/>
  <c r="N146" i="9"/>
  <c r="N150" i="9"/>
  <c r="N76" i="9"/>
  <c r="N75" i="9"/>
  <c r="K93" i="9" s="1"/>
  <c r="N77" i="9"/>
  <c r="N89" i="9"/>
  <c r="L126" i="9"/>
  <c r="N126" i="9" s="1"/>
  <c r="N88" i="9"/>
  <c r="N82" i="9"/>
  <c r="N84" i="9"/>
  <c r="N83" i="9"/>
  <c r="L63" i="9"/>
  <c r="N122" i="9"/>
  <c r="L80" i="9"/>
  <c r="N80" i="9" s="1"/>
  <c r="N107" i="9"/>
  <c r="N129" i="9"/>
  <c r="N101" i="9"/>
  <c r="L154" i="9"/>
  <c r="N154" i="9" s="1"/>
  <c r="L62" i="9"/>
  <c r="L124" i="9"/>
  <c r="N124" i="9" s="1"/>
  <c r="H60" i="9"/>
  <c r="L60" i="9" s="1"/>
  <c r="L131" i="9"/>
  <c r="N131" i="9" s="1"/>
  <c r="L78" i="9"/>
  <c r="N78" i="9" s="1"/>
  <c r="N98" i="9"/>
  <c r="K116" i="9" s="1"/>
  <c r="L55" i="9"/>
  <c r="H59" i="9"/>
  <c r="L59" i="9" s="1"/>
  <c r="N81" i="9"/>
  <c r="N86" i="9"/>
  <c r="N79" i="9"/>
  <c r="L161" i="9"/>
  <c r="T142" i="9" s="1"/>
  <c r="L108" i="9"/>
  <c r="N108" i="9" s="1"/>
  <c r="H31" i="9"/>
  <c r="H33" i="9" s="1"/>
  <c r="H30" i="9"/>
  <c r="L30" i="9" s="1"/>
  <c r="L65" i="9"/>
  <c r="N106" i="9"/>
  <c r="Q108" i="9"/>
  <c r="Q79" i="9"/>
  <c r="Q80" i="9" s="1"/>
  <c r="Q81" i="9" s="1"/>
  <c r="Q82" i="9" s="1"/>
  <c r="Q109" i="9"/>
  <c r="N100" i="9"/>
  <c r="N105" i="9"/>
  <c r="N125" i="9"/>
  <c r="N110" i="9"/>
  <c r="N102" i="9"/>
  <c r="N133" i="9"/>
  <c r="N132" i="9"/>
  <c r="N121" i="9"/>
  <c r="K139" i="9" s="1"/>
  <c r="N127" i="9"/>
  <c r="N112" i="9"/>
  <c r="N135" i="9"/>
  <c r="N134" i="9"/>
  <c r="N109" i="9"/>
  <c r="N128" i="9"/>
  <c r="N123" i="9"/>
  <c r="N104" i="9"/>
  <c r="D147" i="9"/>
  <c r="D149" i="9" s="1"/>
  <c r="D124" i="9"/>
  <c r="D126" i="9" s="1"/>
  <c r="D78" i="9"/>
  <c r="I78" i="9" s="1"/>
  <c r="C40" i="9"/>
  <c r="D101" i="9"/>
  <c r="I101" i="9" s="1"/>
  <c r="D55" i="9"/>
  <c r="D57" i="9" s="1"/>
  <c r="C33" i="9"/>
  <c r="U33" i="9"/>
  <c r="H36" i="9" s="1"/>
  <c r="L36" i="9" s="1"/>
  <c r="U35" i="9"/>
  <c r="C42" i="9"/>
  <c r="C39" i="9"/>
  <c r="U37" i="9"/>
  <c r="H41" i="9" s="1"/>
  <c r="L41" i="9" s="1"/>
  <c r="V44" i="9"/>
  <c r="C43" i="9" s="1"/>
  <c r="L43" i="9" s="1"/>
  <c r="F54" i="9"/>
  <c r="I53" i="9"/>
  <c r="I76" i="9"/>
  <c r="I99" i="9"/>
  <c r="I145" i="9"/>
  <c r="I122" i="9"/>
  <c r="C78" i="10"/>
  <c r="D78" i="10" s="1"/>
  <c r="C78" i="11"/>
  <c r="P78" i="11" s="1"/>
  <c r="I44" i="9"/>
  <c r="I45" i="9" s="1"/>
  <c r="I46" i="9" s="1"/>
  <c r="K30" i="9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C123" i="6"/>
  <c r="F123" i="6"/>
  <c r="M123" i="6"/>
  <c r="B123" i="6"/>
  <c r="H123" i="6"/>
  <c r="E123" i="6"/>
  <c r="I123" i="6"/>
  <c r="D123" i="6"/>
  <c r="B122" i="6"/>
  <c r="F122" i="6"/>
  <c r="E122" i="6"/>
  <c r="M122" i="6"/>
  <c r="H122" i="6"/>
  <c r="D122" i="6"/>
  <c r="I122" i="6"/>
  <c r="C122" i="6"/>
  <c r="E124" i="6"/>
  <c r="H124" i="6"/>
  <c r="C124" i="6"/>
  <c r="B124" i="6"/>
  <c r="F124" i="6"/>
  <c r="M124" i="6"/>
  <c r="D124" i="6"/>
  <c r="I124" i="6"/>
  <c r="C125" i="6"/>
  <c r="H125" i="6"/>
  <c r="B125" i="6"/>
  <c r="M125" i="6"/>
  <c r="D125" i="6"/>
  <c r="I125" i="6"/>
  <c r="E125" i="6"/>
  <c r="F125" i="6"/>
  <c r="H208" i="6"/>
  <c r="E208" i="6"/>
  <c r="C208" i="6"/>
  <c r="M208" i="6"/>
  <c r="D208" i="6"/>
  <c r="B208" i="6"/>
  <c r="F208" i="6"/>
  <c r="I208" i="6"/>
  <c r="C127" i="6"/>
  <c r="M127" i="6"/>
  <c r="B127" i="6"/>
  <c r="F127" i="6"/>
  <c r="I127" i="6"/>
  <c r="D127" i="6"/>
  <c r="H127" i="6"/>
  <c r="E127" i="6"/>
  <c r="C126" i="6"/>
  <c r="B126" i="6"/>
  <c r="D126" i="6"/>
  <c r="M126" i="6"/>
  <c r="F126" i="6"/>
  <c r="I126" i="6"/>
  <c r="H126" i="6"/>
  <c r="E126" i="6"/>
  <c r="B207" i="6"/>
  <c r="I207" i="6"/>
  <c r="H207" i="6"/>
  <c r="C207" i="6"/>
  <c r="D207" i="6"/>
  <c r="E207" i="6"/>
  <c r="F207" i="6"/>
  <c r="M207" i="6"/>
  <c r="D43" i="9"/>
  <c r="I43" i="9" s="1"/>
  <c r="I29" i="9"/>
  <c r="D32" i="9"/>
  <c r="D34" i="9" s="1"/>
  <c r="I30" i="9"/>
  <c r="F31" i="9"/>
  <c r="Q83" i="9"/>
  <c r="K208" i="6" l="1"/>
  <c r="L208" i="6" s="1"/>
  <c r="L67" i="9"/>
  <c r="M68" i="9" s="1"/>
  <c r="L70" i="9"/>
  <c r="N62" i="9" s="1"/>
  <c r="L122" i="6"/>
  <c r="K120" i="6"/>
  <c r="A295" i="6" s="1"/>
  <c r="P78" i="10"/>
  <c r="Q78" i="10" s="1"/>
  <c r="R78" i="10" s="1"/>
  <c r="S78" i="10" s="1"/>
  <c r="H35" i="9"/>
  <c r="L35" i="9" s="1"/>
  <c r="H42" i="9"/>
  <c r="L42" i="9" s="1"/>
  <c r="L33" i="9"/>
  <c r="L31" i="9"/>
  <c r="I147" i="9"/>
  <c r="Q110" i="9"/>
  <c r="Q107" i="9" s="1"/>
  <c r="H39" i="9"/>
  <c r="L39" i="9" s="1"/>
  <c r="H32" i="9"/>
  <c r="L32" i="9" s="1"/>
  <c r="H37" i="9"/>
  <c r="L37" i="9" s="1"/>
  <c r="D78" i="11"/>
  <c r="D80" i="9"/>
  <c r="I80" i="9" s="1"/>
  <c r="I124" i="9"/>
  <c r="Q85" i="9"/>
  <c r="Q78" i="11"/>
  <c r="D62" i="9"/>
  <c r="I62" i="9" s="1"/>
  <c r="I57" i="9"/>
  <c r="Q86" i="9"/>
  <c r="D131" i="9"/>
  <c r="I131" i="9" s="1"/>
  <c r="I126" i="9"/>
  <c r="I149" i="9"/>
  <c r="D154" i="9"/>
  <c r="I154" i="9" s="1"/>
  <c r="I78" i="10"/>
  <c r="J78" i="10" s="1"/>
  <c r="E78" i="10"/>
  <c r="F78" i="10" s="1"/>
  <c r="D39" i="9"/>
  <c r="I39" i="9" s="1"/>
  <c r="I34" i="9"/>
  <c r="I32" i="9"/>
  <c r="D103" i="9"/>
  <c r="H38" i="9"/>
  <c r="L38" i="9" s="1"/>
  <c r="I55" i="9"/>
  <c r="Q111" i="9"/>
  <c r="W96" i="9" s="1"/>
  <c r="B104" i="7" s="1"/>
  <c r="N60" i="9" l="1"/>
  <c r="N58" i="9"/>
  <c r="N64" i="9"/>
  <c r="N52" i="9"/>
  <c r="N53" i="9"/>
  <c r="N61" i="9"/>
  <c r="N56" i="9"/>
  <c r="N57" i="9"/>
  <c r="N66" i="9"/>
  <c r="N54" i="9"/>
  <c r="N59" i="9"/>
  <c r="N70" i="9"/>
  <c r="V50" i="9"/>
  <c r="N65" i="9"/>
  <c r="N55" i="9"/>
  <c r="N63" i="9"/>
  <c r="K78" i="10"/>
  <c r="M78" i="10" s="1"/>
  <c r="BQ48" i="7" s="1"/>
  <c r="H78" i="10"/>
  <c r="L78" i="10" s="1"/>
  <c r="BQ47" i="7" s="1"/>
  <c r="B296" i="6"/>
  <c r="H296" i="6" s="1"/>
  <c r="I296" i="6" s="1"/>
  <c r="B298" i="6"/>
  <c r="H298" i="6" s="1"/>
  <c r="I298" i="6" s="1"/>
  <c r="B297" i="6"/>
  <c r="H297" i="6" s="1"/>
  <c r="I297" i="6" s="1"/>
  <c r="U78" i="10"/>
  <c r="V78" i="10" s="1"/>
  <c r="T78" i="10"/>
  <c r="X78" i="10" s="1"/>
  <c r="BR47" i="7" s="1"/>
  <c r="H40" i="9"/>
  <c r="L40" i="9" s="1"/>
  <c r="D85" i="9"/>
  <c r="I85" i="9" s="1"/>
  <c r="H34" i="9"/>
  <c r="L34" i="9" s="1"/>
  <c r="Q87" i="9"/>
  <c r="Q84" i="9" s="1"/>
  <c r="I78" i="11"/>
  <c r="J78" i="11" s="1"/>
  <c r="E78" i="11"/>
  <c r="F78" i="11" s="1"/>
  <c r="L115" i="9"/>
  <c r="T96" i="9" s="1"/>
  <c r="R78" i="11"/>
  <c r="S78" i="11" s="1"/>
  <c r="U78" i="11"/>
  <c r="V78" i="11" s="1"/>
  <c r="I103" i="9"/>
  <c r="D108" i="9"/>
  <c r="I108" i="9" s="1"/>
  <c r="Q88" i="9"/>
  <c r="W73" i="9" s="1"/>
  <c r="B83" i="7" s="1"/>
  <c r="L68" i="9" l="1"/>
  <c r="Q56" i="9" s="1"/>
  <c r="Q57" i="9" s="1"/>
  <c r="Q58" i="9" s="1"/>
  <c r="Q59" i="9" s="1"/>
  <c r="U50" i="9"/>
  <c r="K70" i="9"/>
  <c r="W78" i="11"/>
  <c r="Y78" i="11" s="1"/>
  <c r="BT48" i="7" s="1"/>
  <c r="T78" i="11"/>
  <c r="X78" i="11" s="1"/>
  <c r="BT47" i="7" s="1"/>
  <c r="K78" i="11"/>
  <c r="M78" i="11" s="1"/>
  <c r="BS48" i="7" s="1"/>
  <c r="W78" i="10"/>
  <c r="Y78" i="10" s="1"/>
  <c r="BR48" i="7" s="1"/>
  <c r="H78" i="11"/>
  <c r="L78" i="11" s="1"/>
  <c r="BS47" i="7" s="1"/>
  <c r="L47" i="9"/>
  <c r="N40" i="9" s="1"/>
  <c r="L44" i="9"/>
  <c r="M45" i="9" s="1"/>
  <c r="V27" i="9" s="1"/>
  <c r="L92" i="9"/>
  <c r="T73" i="9" s="1"/>
  <c r="Q60" i="9"/>
  <c r="Q62" i="9" l="1"/>
  <c r="Q63" i="9"/>
  <c r="N47" i="9"/>
  <c r="U27" i="9" s="1"/>
  <c r="N30" i="9"/>
  <c r="N43" i="9"/>
  <c r="N41" i="9"/>
  <c r="N32" i="9"/>
  <c r="N35" i="9"/>
  <c r="N36" i="9"/>
  <c r="N42" i="9"/>
  <c r="N39" i="9"/>
  <c r="N38" i="9"/>
  <c r="N37" i="9"/>
  <c r="N29" i="9"/>
  <c r="N33" i="9"/>
  <c r="N31" i="9"/>
  <c r="N34" i="9"/>
  <c r="Q65" i="9" l="1"/>
  <c r="W50" i="9" s="1"/>
  <c r="B62" i="7" s="1"/>
  <c r="E59" i="7" s="1"/>
  <c r="G59" i="7" s="1"/>
  <c r="G60" i="7" s="1"/>
  <c r="G61" i="7" s="1"/>
  <c r="Q64" i="9"/>
  <c r="Q61" i="9" s="1"/>
  <c r="K47" i="9"/>
  <c r="L45" i="9"/>
  <c r="Q33" i="9" s="1"/>
  <c r="Q34" i="9" s="1"/>
  <c r="Q35" i="9" s="1"/>
  <c r="Q36" i="9" s="1"/>
  <c r="Q37" i="9"/>
  <c r="L69" i="9" l="1"/>
  <c r="T50" i="9" s="1"/>
  <c r="E61" i="7" s="1"/>
  <c r="AL62" i="16" s="1"/>
  <c r="E60" i="7"/>
  <c r="V62" i="7" s="1"/>
  <c r="AE102" i="16"/>
  <c r="AA102" i="16" s="1"/>
  <c r="B102" i="16" s="1"/>
  <c r="AE62" i="16"/>
  <c r="AA62" i="16" s="1"/>
  <c r="B62" i="16" s="1"/>
  <c r="Q39" i="9"/>
  <c r="Q40" i="9"/>
  <c r="E62" i="7" l="1"/>
  <c r="AO62" i="16" s="1"/>
  <c r="R62" i="16" s="1"/>
  <c r="AI62" i="16"/>
  <c r="L62" i="16" s="1"/>
  <c r="AI102" i="16"/>
  <c r="AV102" i="16" s="1"/>
  <c r="AU102" i="16" s="1"/>
  <c r="H102" i="16"/>
  <c r="H62" i="16"/>
  <c r="E63" i="7"/>
  <c r="AR102" i="16" s="1"/>
  <c r="T102" i="16" s="1"/>
  <c r="W62" i="7"/>
  <c r="U62" i="7" s="1"/>
  <c r="AL102" i="16"/>
  <c r="AY102" i="16" s="1"/>
  <c r="W62" i="16"/>
  <c r="W71" i="16" s="1"/>
  <c r="O62" i="16"/>
  <c r="AY62" i="16"/>
  <c r="Q41" i="9"/>
  <c r="Q38" i="9" s="1"/>
  <c r="Q42" i="9"/>
  <c r="W27" i="9" s="1"/>
  <c r="B41" i="7" s="1"/>
  <c r="E38" i="7" s="1"/>
  <c r="E39" i="7" s="1"/>
  <c r="AO102" i="16" l="1"/>
  <c r="R102" i="16" s="1"/>
  <c r="AV62" i="16"/>
  <c r="AU62" i="16" s="1"/>
  <c r="L102" i="16"/>
  <c r="AR62" i="16"/>
  <c r="T62" i="16" s="1"/>
  <c r="O102" i="16"/>
  <c r="L46" i="9"/>
  <c r="T27" i="9" s="1"/>
  <c r="E40" i="7" s="1"/>
  <c r="AE101" i="16"/>
  <c r="H101" i="16" s="1"/>
  <c r="AE61" i="16"/>
  <c r="AA61" i="16" s="1"/>
  <c r="B61" i="16" s="1"/>
  <c r="G38" i="7"/>
  <c r="G39" i="7" s="1"/>
  <c r="G40" i="7" s="1"/>
  <c r="AI61" i="16"/>
  <c r="E41" i="7"/>
  <c r="V41" i="7"/>
  <c r="AI101" i="16"/>
  <c r="E42" i="7" l="1"/>
  <c r="AR101" i="16" s="1"/>
  <c r="T101" i="16" s="1"/>
  <c r="W41" i="7"/>
  <c r="U41" i="7" s="1"/>
  <c r="AL61" i="16"/>
  <c r="AY61" i="16" s="1"/>
  <c r="AL101" i="16"/>
  <c r="O101" i="16" s="1"/>
  <c r="H61" i="16"/>
  <c r="AA101" i="16"/>
  <c r="B101" i="16" s="1"/>
  <c r="E101" i="16" s="1"/>
  <c r="E102" i="16" s="1"/>
  <c r="W61" i="16"/>
  <c r="W70" i="16" s="1"/>
  <c r="E61" i="16"/>
  <c r="E62" i="16" s="1"/>
  <c r="L101" i="16"/>
  <c r="AV101" i="16"/>
  <c r="AU101" i="16" s="1"/>
  <c r="AO61" i="16"/>
  <c r="R61" i="16" s="1"/>
  <c r="AO101" i="16"/>
  <c r="R101" i="16" s="1"/>
  <c r="AV61" i="16"/>
  <c r="AU61" i="16" s="1"/>
  <c r="L61" i="16"/>
  <c r="AR61" i="16" l="1"/>
  <c r="T61" i="16" s="1"/>
  <c r="AY101" i="16"/>
  <c r="O61" i="16"/>
  <c r="E40" i="14" l="1"/>
  <c r="AL109" i="16" s="1"/>
  <c r="E61" i="14"/>
  <c r="E63" i="14" s="1"/>
  <c r="AR110" i="16" s="1"/>
  <c r="T110" i="16" s="1"/>
  <c r="AL111" i="16"/>
  <c r="AY111" i="16" s="1"/>
  <c r="AL112" i="16"/>
  <c r="AY112" i="16" s="1"/>
  <c r="AL113" i="16"/>
  <c r="AY113" i="16" s="1"/>
  <c r="AL114" i="16"/>
  <c r="AY114" i="16" s="1"/>
  <c r="AL125" i="16"/>
  <c r="AY125" i="16" s="1"/>
  <c r="AL126" i="16"/>
  <c r="AY126" i="16" s="1"/>
  <c r="AL127" i="16"/>
  <c r="AY127" i="16" s="1"/>
  <c r="AL128" i="16"/>
  <c r="AY128" i="16" s="1"/>
  <c r="AL129" i="16"/>
  <c r="AY129" i="16" s="1"/>
  <c r="AL130" i="16"/>
  <c r="AY130" i="16" s="1"/>
  <c r="AL133" i="16"/>
  <c r="AY133" i="16" s="1"/>
  <c r="AL134" i="16"/>
  <c r="AY134" i="16" s="1"/>
  <c r="AL135" i="16"/>
  <c r="AY135" i="16" s="1"/>
  <c r="AL136" i="16"/>
  <c r="AY136" i="16" s="1"/>
  <c r="AL137" i="16"/>
  <c r="AY137" i="16" s="1"/>
  <c r="AL138" i="16"/>
  <c r="AY138" i="16" s="1"/>
  <c r="AL141" i="16"/>
  <c r="AY141" i="16" s="1"/>
  <c r="AL142" i="16"/>
  <c r="AY142" i="16" s="1"/>
  <c r="AL143" i="16"/>
  <c r="AY143" i="16" s="1"/>
  <c r="AL144" i="16"/>
  <c r="AY144" i="16" s="1"/>
  <c r="AL145" i="16"/>
  <c r="AY145" i="16" s="1"/>
  <c r="AL146" i="16"/>
  <c r="AY146" i="16" s="1"/>
  <c r="AL210" i="16"/>
  <c r="AY210" i="16" s="1"/>
  <c r="AL211" i="16"/>
  <c r="AY211" i="16" s="1"/>
  <c r="AL212" i="16"/>
  <c r="AY212" i="16" s="1"/>
  <c r="AL213" i="16"/>
  <c r="AY213" i="16" s="1"/>
  <c r="AL214" i="16"/>
  <c r="AY214" i="16" s="1"/>
  <c r="AL215" i="16"/>
  <c r="AY215" i="16" s="1"/>
  <c r="AI111" i="16"/>
  <c r="AV111" i="16" s="1"/>
  <c r="AU111" i="16" s="1"/>
  <c r="AI112" i="16"/>
  <c r="AV112" i="16" s="1"/>
  <c r="AU112" i="16" s="1"/>
  <c r="AI113" i="16"/>
  <c r="AV113" i="16" s="1"/>
  <c r="AU113" i="16" s="1"/>
  <c r="AI114" i="16"/>
  <c r="AV114" i="16" s="1"/>
  <c r="AU114" i="16" s="1"/>
  <c r="AI125" i="16"/>
  <c r="AV125" i="16" s="1"/>
  <c r="AU125" i="16" s="1"/>
  <c r="AI126" i="16"/>
  <c r="AV126" i="16" s="1"/>
  <c r="AU126" i="16" s="1"/>
  <c r="AI127" i="16"/>
  <c r="AV127" i="16" s="1"/>
  <c r="AU127" i="16" s="1"/>
  <c r="AI128" i="16"/>
  <c r="AV128" i="16" s="1"/>
  <c r="AU128" i="16" s="1"/>
  <c r="AI129" i="16"/>
  <c r="AV129" i="16" s="1"/>
  <c r="AU129" i="16" s="1"/>
  <c r="AI130" i="16"/>
  <c r="AV130" i="16" s="1"/>
  <c r="AU130" i="16" s="1"/>
  <c r="AI133" i="16"/>
  <c r="AV133" i="16" s="1"/>
  <c r="AU133" i="16" s="1"/>
  <c r="AI134" i="16"/>
  <c r="AV134" i="16" s="1"/>
  <c r="AU134" i="16" s="1"/>
  <c r="AI135" i="16"/>
  <c r="AV135" i="16" s="1"/>
  <c r="AU135" i="16" s="1"/>
  <c r="AI136" i="16"/>
  <c r="AV136" i="16" s="1"/>
  <c r="AU136" i="16" s="1"/>
  <c r="AI137" i="16"/>
  <c r="AV137" i="16" s="1"/>
  <c r="AU137" i="16" s="1"/>
  <c r="AI138" i="16"/>
  <c r="AV138" i="16" s="1"/>
  <c r="AU138" i="16" s="1"/>
  <c r="AI141" i="16"/>
  <c r="AV141" i="16" s="1"/>
  <c r="AU141" i="16" s="1"/>
  <c r="AI142" i="16"/>
  <c r="AV142" i="16" s="1"/>
  <c r="AU142" i="16" s="1"/>
  <c r="AI143" i="16"/>
  <c r="AV143" i="16" s="1"/>
  <c r="AU143" i="16" s="1"/>
  <c r="AI144" i="16"/>
  <c r="AV144" i="16" s="1"/>
  <c r="AU144" i="16" s="1"/>
  <c r="AI145" i="16"/>
  <c r="AV145" i="16" s="1"/>
  <c r="AU145" i="16" s="1"/>
  <c r="AI146" i="16"/>
  <c r="AV146" i="16" s="1"/>
  <c r="AU146" i="16" s="1"/>
  <c r="AI210" i="16"/>
  <c r="AV210" i="16" s="1"/>
  <c r="AU210" i="16" s="1"/>
  <c r="AI211" i="16"/>
  <c r="AV211" i="16" s="1"/>
  <c r="AU211" i="16" s="1"/>
  <c r="AI212" i="16"/>
  <c r="AV212" i="16" s="1"/>
  <c r="AU212" i="16" s="1"/>
  <c r="AI213" i="16"/>
  <c r="AV213" i="16" s="1"/>
  <c r="AU213" i="16" s="1"/>
  <c r="AI214" i="16"/>
  <c r="AV214" i="16" s="1"/>
  <c r="AU214" i="16" s="1"/>
  <c r="AI215" i="16"/>
  <c r="AV215" i="16" s="1"/>
  <c r="AU215" i="16" s="1"/>
  <c r="A216" i="6"/>
  <c r="I216" i="6" s="1"/>
  <c r="A217" i="6"/>
  <c r="I217" i="6" s="1"/>
  <c r="A218" i="6"/>
  <c r="D218" i="6" s="1"/>
  <c r="A219" i="6"/>
  <c r="D219" i="6" s="1"/>
  <c r="R129" i="6"/>
  <c r="R130" i="6"/>
  <c r="R131" i="6"/>
  <c r="R132" i="6"/>
  <c r="R133" i="6"/>
  <c r="R134" i="6"/>
  <c r="X131" i="6"/>
  <c r="X132" i="6"/>
  <c r="X133" i="6"/>
  <c r="X134" i="6"/>
  <c r="AD131" i="6"/>
  <c r="AD132" i="6"/>
  <c r="AD133" i="6"/>
  <c r="AD134" i="6"/>
  <c r="AF131" i="6"/>
  <c r="AF132" i="6"/>
  <c r="AF133" i="6"/>
  <c r="AF134" i="6"/>
  <c r="AE131" i="6"/>
  <c r="AE132" i="6"/>
  <c r="AE133" i="6"/>
  <c r="AE134" i="6"/>
  <c r="AA131" i="6"/>
  <c r="AA132" i="6"/>
  <c r="AA133" i="6"/>
  <c r="AA134" i="6"/>
  <c r="AE134" i="16"/>
  <c r="AA134" i="16" s="1"/>
  <c r="B134" i="16" s="1"/>
  <c r="E134" i="16" s="1"/>
  <c r="AO134" i="16"/>
  <c r="R134" i="16" s="1"/>
  <c r="AO211" i="16"/>
  <c r="R211" i="16" s="1"/>
  <c r="AR126" i="16"/>
  <c r="T126" i="16" s="1"/>
  <c r="AO126" i="16"/>
  <c r="R126" i="16" s="1"/>
  <c r="AR211" i="16"/>
  <c r="T211" i="16" s="1"/>
  <c r="AO142" i="16"/>
  <c r="R142" i="16" s="1"/>
  <c r="AR142" i="16"/>
  <c r="T142" i="16" s="1"/>
  <c r="AR134" i="16"/>
  <c r="T134" i="16" s="1"/>
  <c r="AE126" i="16"/>
  <c r="AA126" i="16" s="1"/>
  <c r="B126" i="16" s="1"/>
  <c r="E126" i="16" s="1"/>
  <c r="AE211" i="16"/>
  <c r="AA211" i="16" s="1"/>
  <c r="B211" i="16" s="1"/>
  <c r="E211" i="16" s="1"/>
  <c r="AE142" i="16"/>
  <c r="AA142" i="16" s="1"/>
  <c r="B142" i="16" s="1"/>
  <c r="E142" i="16" s="1"/>
  <c r="AO141" i="16"/>
  <c r="R141" i="16" s="1"/>
  <c r="AO133" i="16"/>
  <c r="R133" i="16" s="1"/>
  <c r="E42" i="14"/>
  <c r="AR109" i="16" s="1"/>
  <c r="T109" i="16" s="1"/>
  <c r="AR141" i="16"/>
  <c r="T141" i="16" s="1"/>
  <c r="AR133" i="16"/>
  <c r="T133" i="16" s="1"/>
  <c r="AR125" i="16"/>
  <c r="T125" i="16" s="1"/>
  <c r="AO210" i="16"/>
  <c r="R210" i="16" s="1"/>
  <c r="AO125" i="16"/>
  <c r="R125" i="16" s="1"/>
  <c r="AR210" i="16"/>
  <c r="T210" i="16" s="1"/>
  <c r="AE125" i="16"/>
  <c r="AA125" i="16" s="1"/>
  <c r="B125" i="16" s="1"/>
  <c r="E125" i="16" s="1"/>
  <c r="AE141" i="16"/>
  <c r="H141" i="16" s="1"/>
  <c r="AE210" i="16"/>
  <c r="AA210" i="16" s="1"/>
  <c r="B210" i="16" s="1"/>
  <c r="E210" i="16" s="1"/>
  <c r="AE133" i="16"/>
  <c r="H133" i="16" s="1"/>
  <c r="AE213" i="16"/>
  <c r="AA213" i="16" s="1"/>
  <c r="B213" i="16" s="1"/>
  <c r="E213" i="16" s="1"/>
  <c r="AE138" i="16"/>
  <c r="AA138" i="16" s="1"/>
  <c r="B138" i="16" s="1"/>
  <c r="E138" i="16" s="1"/>
  <c r="AE214" i="16"/>
  <c r="AA214" i="16" s="1"/>
  <c r="B214" i="16" s="1"/>
  <c r="E214" i="16" s="1"/>
  <c r="AE127" i="16"/>
  <c r="AA127" i="16" s="1"/>
  <c r="B127" i="16" s="1"/>
  <c r="E127" i="16" s="1"/>
  <c r="AE136" i="16"/>
  <c r="AA136" i="16" s="1"/>
  <c r="B136" i="16" s="1"/>
  <c r="E136" i="16" s="1"/>
  <c r="AE145" i="16"/>
  <c r="H145" i="16" s="1"/>
  <c r="AE212" i="16"/>
  <c r="AA212" i="16" s="1"/>
  <c r="B212" i="16" s="1"/>
  <c r="E212" i="16" s="1"/>
  <c r="AE137" i="16"/>
  <c r="AA137" i="16" s="1"/>
  <c r="B137" i="16" s="1"/>
  <c r="E137" i="16" s="1"/>
  <c r="AE129" i="16"/>
  <c r="AA129" i="16" s="1"/>
  <c r="B129" i="16" s="1"/>
  <c r="E129" i="16" s="1"/>
  <c r="AE146" i="16"/>
  <c r="H146" i="16" s="1"/>
  <c r="AE143" i="16"/>
  <c r="AA143" i="16" s="1"/>
  <c r="B143" i="16" s="1"/>
  <c r="E143" i="16" s="1"/>
  <c r="AE128" i="16"/>
  <c r="H128" i="16" s="1"/>
  <c r="AE135" i="16"/>
  <c r="AA135" i="16" s="1"/>
  <c r="B135" i="16" s="1"/>
  <c r="E135" i="16" s="1"/>
  <c r="AE130" i="16"/>
  <c r="AA130" i="16" s="1"/>
  <c r="B130" i="16" s="1"/>
  <c r="E130" i="16" s="1"/>
  <c r="AE144" i="16"/>
  <c r="AA144" i="16" s="1"/>
  <c r="B144" i="16" s="1"/>
  <c r="E144" i="16" s="1"/>
  <c r="AE215" i="16"/>
  <c r="H215" i="16" s="1"/>
  <c r="AR145" i="16"/>
  <c r="T145" i="16" s="1"/>
  <c r="AO143" i="16"/>
  <c r="R143" i="16" s="1"/>
  <c r="AO137" i="16"/>
  <c r="R137" i="16" s="1"/>
  <c r="AO127" i="16"/>
  <c r="R127" i="16" s="1"/>
  <c r="AO136" i="16"/>
  <c r="R136" i="16" s="1"/>
  <c r="AR215" i="16"/>
  <c r="T215" i="16" s="1"/>
  <c r="AO213" i="16"/>
  <c r="R213" i="16" s="1"/>
  <c r="AO146" i="16"/>
  <c r="R146" i="16" s="1"/>
  <c r="AO129" i="16"/>
  <c r="R129" i="16" s="1"/>
  <c r="AO145" i="16"/>
  <c r="R145" i="16" s="1"/>
  <c r="AR213" i="16"/>
  <c r="T213" i="16" s="1"/>
  <c r="AO135" i="16"/>
  <c r="R135" i="16" s="1"/>
  <c r="AR130" i="16"/>
  <c r="T130" i="16" s="1"/>
  <c r="AO128" i="16"/>
  <c r="R128" i="16" s="1"/>
  <c r="AR138" i="16"/>
  <c r="T138" i="16" s="1"/>
  <c r="AR136" i="16"/>
  <c r="T136" i="16" s="1"/>
  <c r="AR143" i="16"/>
  <c r="T143" i="16" s="1"/>
  <c r="AR127" i="16"/>
  <c r="T127" i="16" s="1"/>
  <c r="AO212" i="16"/>
  <c r="R212" i="16" s="1"/>
  <c r="AO130" i="16"/>
  <c r="R130" i="16" s="1"/>
  <c r="AO138" i="16"/>
  <c r="R138" i="16" s="1"/>
  <c r="AO144" i="16"/>
  <c r="R144" i="16" s="1"/>
  <c r="AR128" i="16"/>
  <c r="T128" i="16" s="1"/>
  <c r="AO215" i="16"/>
  <c r="R215" i="16" s="1"/>
  <c r="AO214" i="16"/>
  <c r="R214" i="16" s="1"/>
  <c r="AR214" i="16"/>
  <c r="T214" i="16" s="1"/>
  <c r="AR129" i="16"/>
  <c r="T129" i="16" s="1"/>
  <c r="AR135" i="16"/>
  <c r="T135" i="16" s="1"/>
  <c r="AR137" i="16"/>
  <c r="T137" i="16" s="1"/>
  <c r="AR144" i="16"/>
  <c r="T144" i="16" s="1"/>
  <c r="AR212" i="16"/>
  <c r="T212" i="16" s="1"/>
  <c r="AR146" i="16"/>
  <c r="T146" i="16" s="1"/>
  <c r="W41" i="14"/>
  <c r="U41" i="14" s="1"/>
  <c r="D29" i="13"/>
  <c r="K29" i="13" s="1"/>
  <c r="D52" i="13"/>
  <c r="K52" i="13" s="1"/>
  <c r="U63" i="13" s="1"/>
  <c r="U64" i="13" s="1"/>
  <c r="T65" i="13" s="1"/>
  <c r="C121" i="13"/>
  <c r="L121" i="13" s="1"/>
  <c r="D121" i="13"/>
  <c r="K121" i="13" s="1"/>
  <c r="C127" i="13"/>
  <c r="C123" i="13"/>
  <c r="G123" i="13"/>
  <c r="F123" i="13" s="1"/>
  <c r="U124" i="13"/>
  <c r="U121" i="13"/>
  <c r="U122" i="13"/>
  <c r="M123" i="13"/>
  <c r="M121" i="13"/>
  <c r="M127" i="13"/>
  <c r="C132" i="13"/>
  <c r="C125" i="13"/>
  <c r="C134" i="13"/>
  <c r="C75" i="13"/>
  <c r="L75" i="13" s="1"/>
  <c r="D75" i="13"/>
  <c r="K75" i="13" s="1"/>
  <c r="C81" i="13"/>
  <c r="C77" i="13"/>
  <c r="G77" i="13"/>
  <c r="F77" i="13" s="1"/>
  <c r="U78" i="13"/>
  <c r="U75" i="13"/>
  <c r="U76" i="13"/>
  <c r="M77" i="13"/>
  <c r="M75" i="13"/>
  <c r="M81" i="13"/>
  <c r="C144" i="13"/>
  <c r="L144" i="13" s="1"/>
  <c r="D144" i="13"/>
  <c r="K144" i="13" s="1"/>
  <c r="C150" i="13"/>
  <c r="C146" i="13"/>
  <c r="G146" i="13"/>
  <c r="F146" i="13" s="1"/>
  <c r="U147" i="13"/>
  <c r="U144" i="13"/>
  <c r="U145" i="13"/>
  <c r="M146" i="13"/>
  <c r="M144" i="13"/>
  <c r="M150" i="13"/>
  <c r="U125" i="13"/>
  <c r="U127" i="13"/>
  <c r="U129" i="13"/>
  <c r="C98" i="13"/>
  <c r="L98" i="13" s="1"/>
  <c r="D98" i="13"/>
  <c r="K98" i="13" s="1"/>
  <c r="C104" i="13"/>
  <c r="C100" i="13"/>
  <c r="G100" i="13"/>
  <c r="F100" i="13" s="1"/>
  <c r="U101" i="13"/>
  <c r="U98" i="13"/>
  <c r="U99" i="13"/>
  <c r="M100" i="13"/>
  <c r="M98" i="13"/>
  <c r="M104" i="13"/>
  <c r="V44" i="38"/>
  <c r="C43" i="38" s="1"/>
  <c r="L43" i="38" s="1"/>
  <c r="C29" i="38"/>
  <c r="L29" i="38" s="1"/>
  <c r="D29" i="38"/>
  <c r="K29" i="38" s="1"/>
  <c r="V21" i="38"/>
  <c r="C20" i="38" s="1"/>
  <c r="L20" i="38" s="1"/>
  <c r="N20" i="38" s="1"/>
  <c r="V21" i="37"/>
  <c r="C20" i="37" s="1"/>
  <c r="L20" i="37" s="1"/>
  <c r="N20" i="37" s="1"/>
  <c r="V21" i="36"/>
  <c r="C20" i="36" s="1"/>
  <c r="L20" i="36" s="1"/>
  <c r="N20" i="36" s="1"/>
  <c r="U150" i="13"/>
  <c r="U148" i="13"/>
  <c r="U102" i="13"/>
  <c r="C86" i="13"/>
  <c r="V113" i="13"/>
  <c r="C112" i="13" s="1"/>
  <c r="L112" i="13" s="1"/>
  <c r="C79" i="13"/>
  <c r="C148" i="13"/>
  <c r="U83" i="13"/>
  <c r="C102" i="13"/>
  <c r="V90" i="13"/>
  <c r="C89" i="13" s="1"/>
  <c r="L89" i="13" s="1"/>
  <c r="C155" i="13"/>
  <c r="C157" i="13"/>
  <c r="C88" i="13"/>
  <c r="U79" i="13"/>
  <c r="U104" i="13"/>
  <c r="C111" i="13"/>
  <c r="V159" i="13"/>
  <c r="C158" i="13" s="1"/>
  <c r="L158" i="13" s="1"/>
  <c r="V136" i="13"/>
  <c r="C135" i="13" s="1"/>
  <c r="L135" i="13" s="1"/>
  <c r="C109" i="13"/>
  <c r="U152" i="13"/>
  <c r="U81" i="13"/>
  <c r="U106" i="13"/>
  <c r="C121" i="35"/>
  <c r="L121" i="35" s="1"/>
  <c r="D121" i="35"/>
  <c r="K121" i="35" s="1"/>
  <c r="U132" i="35" s="1"/>
  <c r="U133" i="35" s="1"/>
  <c r="T134" i="35" s="1"/>
  <c r="V113" i="35"/>
  <c r="C112" i="35" s="1"/>
  <c r="L112" i="35" s="1"/>
  <c r="D98" i="35"/>
  <c r="K98" i="35" s="1"/>
  <c r="U109" i="35" s="1"/>
  <c r="U110" i="35" s="1"/>
  <c r="T111" i="35" s="1"/>
  <c r="H99" i="35" s="1"/>
  <c r="L99" i="35" s="1"/>
  <c r="V136" i="37"/>
  <c r="C135" i="37" s="1"/>
  <c r="L135" i="37" s="1"/>
  <c r="D121" i="37"/>
  <c r="K121" i="37" s="1"/>
  <c r="V159" i="38"/>
  <c r="C158" i="38" s="1"/>
  <c r="L158" i="38" s="1"/>
  <c r="C144" i="38"/>
  <c r="L144" i="38" s="1"/>
  <c r="D144" i="38"/>
  <c r="K144" i="38" s="1"/>
  <c r="U155" i="38" s="1"/>
  <c r="U156" i="38" s="1"/>
  <c r="T157" i="38" s="1"/>
  <c r="H145" i="38" s="1"/>
  <c r="L145" i="38" s="1"/>
  <c r="V67" i="35"/>
  <c r="C66" i="35" s="1"/>
  <c r="L66" i="35" s="1"/>
  <c r="C52" i="35"/>
  <c r="L52" i="35" s="1"/>
  <c r="L70" i="35" s="1"/>
  <c r="N53" i="35" s="1"/>
  <c r="V90" i="35"/>
  <c r="C89" i="35" s="1"/>
  <c r="L89" i="35" s="1"/>
  <c r="C75" i="35"/>
  <c r="L75" i="35" s="1"/>
  <c r="D75" i="35"/>
  <c r="K75" i="35" s="1"/>
  <c r="U86" i="35" s="1"/>
  <c r="U87" i="35" s="1"/>
  <c r="T88" i="35" s="1"/>
  <c r="V136" i="38"/>
  <c r="C135" i="38" s="1"/>
  <c r="L135" i="38" s="1"/>
  <c r="C121" i="38"/>
  <c r="L121" i="38" s="1"/>
  <c r="D121" i="38"/>
  <c r="K121" i="38" s="1"/>
  <c r="U132" i="38" s="1"/>
  <c r="U133" i="38" s="1"/>
  <c r="T134" i="38" s="1"/>
  <c r="H122" i="38" s="1"/>
  <c r="L122" i="38" s="1"/>
  <c r="V159" i="35"/>
  <c r="C158" i="35" s="1"/>
  <c r="L158" i="35" s="1"/>
  <c r="C144" i="35"/>
  <c r="L144" i="35" s="1"/>
  <c r="D144" i="35"/>
  <c r="K144" i="35" s="1"/>
  <c r="U155" i="35" s="1"/>
  <c r="U156" i="35" s="1"/>
  <c r="T157" i="35" s="1"/>
  <c r="V90" i="37"/>
  <c r="C89" i="37" s="1"/>
  <c r="L89" i="37" s="1"/>
  <c r="C75" i="37"/>
  <c r="L75" i="37" s="1"/>
  <c r="V113" i="38"/>
  <c r="C112" i="38" s="1"/>
  <c r="L112" i="38" s="1"/>
  <c r="C98" i="38"/>
  <c r="L98" i="38" s="1"/>
  <c r="D98" i="38"/>
  <c r="K98" i="38" s="1"/>
  <c r="U109" i="38" s="1"/>
  <c r="U110" i="38" s="1"/>
  <c r="T111" i="38" s="1"/>
  <c r="H99" i="38" s="1"/>
  <c r="L99" i="38" s="1"/>
  <c r="V159" i="36"/>
  <c r="C158" i="36" s="1"/>
  <c r="L158" i="36" s="1"/>
  <c r="C144" i="36"/>
  <c r="L144" i="36" s="1"/>
  <c r="L162" i="36" s="1"/>
  <c r="N149" i="36" s="1"/>
  <c r="V67" i="38"/>
  <c r="C66" i="38" s="1"/>
  <c r="L66" i="38" s="1"/>
  <c r="C52" i="38"/>
  <c r="L52" i="38" s="1"/>
  <c r="D52" i="38"/>
  <c r="K52" i="38" s="1"/>
  <c r="U63" i="38" s="1"/>
  <c r="U64" i="38" s="1"/>
  <c r="T65" i="38" s="1"/>
  <c r="V90" i="38"/>
  <c r="C89" i="38" s="1"/>
  <c r="L89" i="38" s="1"/>
  <c r="C75" i="38"/>
  <c r="L75" i="38" s="1"/>
  <c r="D75" i="38"/>
  <c r="K75" i="38" s="1"/>
  <c r="AR132" i="16"/>
  <c r="T132" i="16" s="1"/>
  <c r="U9" i="38"/>
  <c r="U6" i="38"/>
  <c r="U7" i="38"/>
  <c r="C123" i="37"/>
  <c r="M121" i="37"/>
  <c r="M127" i="37"/>
  <c r="U125" i="37"/>
  <c r="D52" i="36"/>
  <c r="K52" i="36" s="1"/>
  <c r="U63" i="36" s="1"/>
  <c r="U64" i="36" s="1"/>
  <c r="T65" i="36" s="1"/>
  <c r="H61" i="36" s="1"/>
  <c r="L61" i="36" s="1"/>
  <c r="U55" i="37"/>
  <c r="H59" i="37" s="1"/>
  <c r="L59" i="37" s="1"/>
  <c r="C52" i="37"/>
  <c r="L52" i="37" s="1"/>
  <c r="U147" i="35"/>
  <c r="U148" i="35"/>
  <c r="U144" i="35"/>
  <c r="U145" i="35"/>
  <c r="U75" i="36"/>
  <c r="H82" i="36" s="1"/>
  <c r="L82" i="36" s="1"/>
  <c r="C75" i="36"/>
  <c r="L75" i="36" s="1"/>
  <c r="U55" i="38"/>
  <c r="U56" i="38"/>
  <c r="U52" i="38"/>
  <c r="U53" i="38"/>
  <c r="C81" i="37"/>
  <c r="L81" i="37" s="1"/>
  <c r="M75" i="37"/>
  <c r="M81" i="37"/>
  <c r="U147" i="38"/>
  <c r="U148" i="38"/>
  <c r="U144" i="38"/>
  <c r="U145" i="38"/>
  <c r="U78" i="35"/>
  <c r="U79" i="35"/>
  <c r="U76" i="35"/>
  <c r="U79" i="37"/>
  <c r="H82" i="37" s="1"/>
  <c r="L82" i="37" s="1"/>
  <c r="U101" i="37"/>
  <c r="U102" i="37"/>
  <c r="U98" i="37"/>
  <c r="C98" i="37"/>
  <c r="L98" i="37" s="1"/>
  <c r="U125" i="35"/>
  <c r="U121" i="35"/>
  <c r="U122" i="35"/>
  <c r="D29" i="36"/>
  <c r="K29" i="36" s="1"/>
  <c r="C35" i="36"/>
  <c r="U29" i="36"/>
  <c r="M29" i="36"/>
  <c r="U78" i="38"/>
  <c r="U79" i="38"/>
  <c r="U75" i="38"/>
  <c r="U76" i="38"/>
  <c r="U101" i="35"/>
  <c r="U102" i="35"/>
  <c r="U98" i="35"/>
  <c r="U99" i="35"/>
  <c r="U32" i="37"/>
  <c r="U33" i="37"/>
  <c r="U29" i="37"/>
  <c r="C29" i="37"/>
  <c r="L29" i="37" s="1"/>
  <c r="L47" i="37" s="1"/>
  <c r="N43" i="37" s="1"/>
  <c r="U32" i="38"/>
  <c r="U33" i="38"/>
  <c r="U29" i="38"/>
  <c r="U30" i="38"/>
  <c r="C81" i="35"/>
  <c r="C77" i="35"/>
  <c r="M77" i="35"/>
  <c r="U102" i="36"/>
  <c r="U98" i="36"/>
  <c r="H100" i="36" s="1"/>
  <c r="L100" i="36" s="1"/>
  <c r="N100" i="36" s="1"/>
  <c r="U9" i="37"/>
  <c r="U6" i="37"/>
  <c r="U7" i="37"/>
  <c r="U56" i="35"/>
  <c r="U52" i="35"/>
  <c r="U53" i="35"/>
  <c r="U9" i="35"/>
  <c r="U6" i="35"/>
  <c r="U10" i="38"/>
  <c r="U124" i="38"/>
  <c r="U125" i="38"/>
  <c r="U121" i="38"/>
  <c r="U122" i="38"/>
  <c r="U10" i="35"/>
  <c r="U147" i="37"/>
  <c r="U145" i="37"/>
  <c r="U101" i="38"/>
  <c r="U102" i="38"/>
  <c r="U98" i="38"/>
  <c r="U99" i="38"/>
  <c r="U33" i="35"/>
  <c r="H36" i="35" s="1"/>
  <c r="L36" i="35" s="1"/>
  <c r="C29" i="35"/>
  <c r="L29" i="35" s="1"/>
  <c r="L47" i="35" s="1"/>
  <c r="N42" i="35" s="1"/>
  <c r="U125" i="36"/>
  <c r="D121" i="36"/>
  <c r="K121" i="36" s="1"/>
  <c r="U132" i="36" s="1"/>
  <c r="U133" i="36" s="1"/>
  <c r="T134" i="36" s="1"/>
  <c r="H133" i="36" s="1"/>
  <c r="L133" i="36" s="1"/>
  <c r="G146" i="36"/>
  <c r="L146" i="36" s="1"/>
  <c r="M146" i="36"/>
  <c r="C150" i="35"/>
  <c r="C146" i="35"/>
  <c r="G146" i="35"/>
  <c r="F146" i="35" s="1"/>
  <c r="M146" i="35"/>
  <c r="M144" i="35"/>
  <c r="M150" i="35"/>
  <c r="C127" i="38"/>
  <c r="C123" i="38"/>
  <c r="G123" i="38"/>
  <c r="F123" i="38" s="1"/>
  <c r="M123" i="38"/>
  <c r="M121" i="38"/>
  <c r="M127" i="38"/>
  <c r="G77" i="36"/>
  <c r="F77" i="36" s="1"/>
  <c r="M75" i="36"/>
  <c r="C104" i="35"/>
  <c r="C100" i="35"/>
  <c r="M100" i="35"/>
  <c r="M98" i="35"/>
  <c r="M104" i="35"/>
  <c r="C150" i="38"/>
  <c r="C146" i="38"/>
  <c r="G146" i="38"/>
  <c r="F146" i="38" s="1"/>
  <c r="M146" i="38"/>
  <c r="M144" i="38"/>
  <c r="M150" i="38"/>
  <c r="C127" i="35"/>
  <c r="C123" i="35"/>
  <c r="G123" i="35"/>
  <c r="F123" i="35" s="1"/>
  <c r="M123" i="35"/>
  <c r="M121" i="35"/>
  <c r="G54" i="36"/>
  <c r="F54" i="36" s="1"/>
  <c r="M58" i="36"/>
  <c r="C58" i="38"/>
  <c r="C54" i="38"/>
  <c r="G54" i="38"/>
  <c r="F54" i="38" s="1"/>
  <c r="M54" i="38"/>
  <c r="M52" i="38"/>
  <c r="M58" i="38"/>
  <c r="C35" i="38"/>
  <c r="C31" i="38"/>
  <c r="G31" i="38"/>
  <c r="F31" i="38" s="1"/>
  <c r="M31" i="38"/>
  <c r="M29" i="38"/>
  <c r="M35" i="38"/>
  <c r="M54" i="35"/>
  <c r="M52" i="35"/>
  <c r="C58" i="37"/>
  <c r="G54" i="37"/>
  <c r="F54" i="37" s="1"/>
  <c r="M52" i="37"/>
  <c r="C104" i="37"/>
  <c r="C100" i="37"/>
  <c r="M100" i="37"/>
  <c r="M98" i="37"/>
  <c r="U14" i="38"/>
  <c r="U12" i="38"/>
  <c r="C35" i="37"/>
  <c r="C31" i="37"/>
  <c r="M31" i="37"/>
  <c r="C81" i="38"/>
  <c r="C77" i="38"/>
  <c r="G77" i="38"/>
  <c r="F77" i="38" s="1"/>
  <c r="M77" i="38"/>
  <c r="M75" i="38"/>
  <c r="M81" i="38"/>
  <c r="C35" i="35"/>
  <c r="L35" i="35" s="1"/>
  <c r="C31" i="35"/>
  <c r="G31" i="35"/>
  <c r="F31" i="35" s="1"/>
  <c r="M31" i="35"/>
  <c r="M29" i="35"/>
  <c r="M35" i="35"/>
  <c r="C104" i="38"/>
  <c r="C100" i="38"/>
  <c r="G100" i="38"/>
  <c r="F100" i="38" s="1"/>
  <c r="M100" i="38"/>
  <c r="M98" i="38"/>
  <c r="M104" i="38"/>
  <c r="C19" i="38"/>
  <c r="U14" i="35"/>
  <c r="C123" i="36"/>
  <c r="M121" i="36"/>
  <c r="U12" i="35"/>
  <c r="C42" i="36"/>
  <c r="U81" i="36"/>
  <c r="H83" i="36" s="1"/>
  <c r="L83" i="36" s="1"/>
  <c r="U83" i="37"/>
  <c r="H87" i="37" s="1"/>
  <c r="L87" i="37" s="1"/>
  <c r="U129" i="38"/>
  <c r="U127" i="38"/>
  <c r="C79" i="37"/>
  <c r="L79" i="37" s="1"/>
  <c r="U14" i="37"/>
  <c r="U81" i="35"/>
  <c r="C125" i="38"/>
  <c r="M146" i="37"/>
  <c r="M150" i="37"/>
  <c r="C88" i="37"/>
  <c r="L88" i="37" s="1"/>
  <c r="C132" i="38"/>
  <c r="C86" i="37"/>
  <c r="L86" i="37" s="1"/>
  <c r="U35" i="36"/>
  <c r="U83" i="35"/>
  <c r="C79" i="35"/>
  <c r="C134" i="37"/>
  <c r="U83" i="36"/>
  <c r="C134" i="38"/>
  <c r="C88" i="36"/>
  <c r="C88" i="35"/>
  <c r="C86" i="35"/>
  <c r="C63" i="38"/>
  <c r="U58" i="38"/>
  <c r="H60" i="36"/>
  <c r="L60" i="36" s="1"/>
  <c r="C157" i="36"/>
  <c r="L157" i="36" s="1"/>
  <c r="U104" i="38"/>
  <c r="C65" i="37"/>
  <c r="U104" i="36"/>
  <c r="U150" i="35"/>
  <c r="U106" i="38"/>
  <c r="C102" i="38"/>
  <c r="C65" i="38"/>
  <c r="C56" i="37"/>
  <c r="U60" i="38"/>
  <c r="C65" i="35"/>
  <c r="C155" i="35"/>
  <c r="C111" i="38"/>
  <c r="C65" i="36"/>
  <c r="U60" i="35"/>
  <c r="C109" i="38"/>
  <c r="U152" i="35"/>
  <c r="U60" i="37"/>
  <c r="C109" i="36"/>
  <c r="C63" i="37"/>
  <c r="C56" i="38"/>
  <c r="C56" i="35"/>
  <c r="U106" i="35"/>
  <c r="C102" i="35"/>
  <c r="C33" i="38"/>
  <c r="C132" i="35"/>
  <c r="C42" i="38"/>
  <c r="U129" i="35"/>
  <c r="C40" i="35"/>
  <c r="L40" i="35" s="1"/>
  <c r="U150" i="38"/>
  <c r="C109" i="35"/>
  <c r="U37" i="35"/>
  <c r="H41" i="35" s="1"/>
  <c r="L41" i="35" s="1"/>
  <c r="U35" i="35"/>
  <c r="U152" i="38"/>
  <c r="C155" i="38"/>
  <c r="C132" i="36"/>
  <c r="C148" i="38"/>
  <c r="C111" i="35"/>
  <c r="C40" i="38"/>
  <c r="U127" i="36"/>
  <c r="C33" i="35"/>
  <c r="L33" i="35" s="1"/>
  <c r="C157" i="38"/>
  <c r="U35" i="38"/>
  <c r="U37" i="38"/>
  <c r="U106" i="37"/>
  <c r="C86" i="38"/>
  <c r="U81" i="38"/>
  <c r="C102" i="37"/>
  <c r="U37" i="37"/>
  <c r="C79" i="38"/>
  <c r="U83" i="38"/>
  <c r="C88" i="38"/>
  <c r="C157" i="37"/>
  <c r="U12" i="36"/>
  <c r="H14" i="36" s="1"/>
  <c r="L14" i="36" s="1"/>
  <c r="N14" i="36" s="1"/>
  <c r="AO113" i="16"/>
  <c r="R113" i="16" s="1"/>
  <c r="AO111" i="16"/>
  <c r="R111" i="16" s="1"/>
  <c r="AO114" i="16"/>
  <c r="R114" i="16" s="1"/>
  <c r="AR111" i="16"/>
  <c r="T111" i="16" s="1"/>
  <c r="AO112" i="16"/>
  <c r="R112" i="16" s="1"/>
  <c r="AR112" i="16"/>
  <c r="T112" i="16" s="1"/>
  <c r="AR114" i="16"/>
  <c r="T114" i="16" s="1"/>
  <c r="AE113" i="16"/>
  <c r="H113" i="16" s="1"/>
  <c r="AE111" i="16"/>
  <c r="AA111" i="16" s="1"/>
  <c r="B111" i="16" s="1"/>
  <c r="E111" i="16" s="1"/>
  <c r="AE112" i="16"/>
  <c r="H112" i="16" s="1"/>
  <c r="AE114" i="16"/>
  <c r="AA114" i="16" s="1"/>
  <c r="B114" i="16" s="1"/>
  <c r="E114" i="16" s="1"/>
  <c r="AR113" i="16"/>
  <c r="T113" i="16" s="1"/>
  <c r="O127" i="16"/>
  <c r="O138" i="16"/>
  <c r="O210" i="16"/>
  <c r="L114" i="16" l="1"/>
  <c r="W62" i="14"/>
  <c r="U62" i="14" s="1"/>
  <c r="L134" i="16"/>
  <c r="O128" i="16"/>
  <c r="O141" i="16"/>
  <c r="L144" i="16"/>
  <c r="I159" i="38"/>
  <c r="I160" i="38" s="1"/>
  <c r="I161" i="38" s="1"/>
  <c r="L143" i="16"/>
  <c r="L113" i="16"/>
  <c r="L214" i="16"/>
  <c r="D158" i="38"/>
  <c r="I158" i="38" s="1"/>
  <c r="O137" i="16"/>
  <c r="I98" i="38"/>
  <c r="K122" i="38"/>
  <c r="K123" i="38" s="1"/>
  <c r="K124" i="38" s="1"/>
  <c r="K125" i="38" s="1"/>
  <c r="K126" i="38" s="1"/>
  <c r="K127" i="38" s="1"/>
  <c r="K128" i="38" s="1"/>
  <c r="K129" i="38" s="1"/>
  <c r="K130" i="38" s="1"/>
  <c r="K131" i="38" s="1"/>
  <c r="K132" i="38" s="1"/>
  <c r="K133" i="38" s="1"/>
  <c r="K134" i="38" s="1"/>
  <c r="K135" i="38" s="1"/>
  <c r="O211" i="16"/>
  <c r="H213" i="16"/>
  <c r="L215" i="16"/>
  <c r="O142" i="16"/>
  <c r="I52" i="13"/>
  <c r="O136" i="16"/>
  <c r="O212" i="16"/>
  <c r="O129" i="16"/>
  <c r="O111" i="16"/>
  <c r="D66" i="36"/>
  <c r="I66" i="36" s="1"/>
  <c r="I52" i="36"/>
  <c r="H110" i="37"/>
  <c r="L110" i="37" s="1"/>
  <c r="H64" i="36"/>
  <c r="L64" i="36" s="1"/>
  <c r="I29" i="13"/>
  <c r="I67" i="36"/>
  <c r="I68" i="36" s="1"/>
  <c r="I69" i="36" s="1"/>
  <c r="K53" i="36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D43" i="38"/>
  <c r="I43" i="38" s="1"/>
  <c r="I121" i="37"/>
  <c r="D135" i="35"/>
  <c r="I135" i="35" s="1"/>
  <c r="I136" i="35"/>
  <c r="I137" i="35" s="1"/>
  <c r="I138" i="35" s="1"/>
  <c r="K53" i="38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I75" i="35"/>
  <c r="D135" i="37"/>
  <c r="I135" i="37" s="1"/>
  <c r="L129" i="16"/>
  <c r="L111" i="16"/>
  <c r="L141" i="16"/>
  <c r="L212" i="16"/>
  <c r="I121" i="35"/>
  <c r="K122" i="35"/>
  <c r="K123" i="35" s="1"/>
  <c r="K124" i="35" s="1"/>
  <c r="K125" i="35" s="1"/>
  <c r="K126" i="35" s="1"/>
  <c r="K127" i="35" s="1"/>
  <c r="K128" i="35" s="1"/>
  <c r="K129" i="35" s="1"/>
  <c r="K130" i="35" s="1"/>
  <c r="K131" i="35" s="1"/>
  <c r="K132" i="35" s="1"/>
  <c r="K133" i="35" s="1"/>
  <c r="K134" i="35" s="1"/>
  <c r="K135" i="35" s="1"/>
  <c r="H61" i="37"/>
  <c r="L61" i="37" s="1"/>
  <c r="D89" i="35"/>
  <c r="I89" i="35" s="1"/>
  <c r="F216" i="6"/>
  <c r="I29" i="38"/>
  <c r="L130" i="16"/>
  <c r="O126" i="16"/>
  <c r="O112" i="16"/>
  <c r="L112" i="16"/>
  <c r="M217" i="6"/>
  <c r="E217" i="6"/>
  <c r="L213" i="16"/>
  <c r="O146" i="16"/>
  <c r="L142" i="16"/>
  <c r="I75" i="13"/>
  <c r="AL110" i="16"/>
  <c r="L133" i="16"/>
  <c r="F146" i="36"/>
  <c r="I75" i="38"/>
  <c r="H156" i="38"/>
  <c r="L156" i="38" s="1"/>
  <c r="C216" i="6"/>
  <c r="L125" i="16"/>
  <c r="S132" i="6"/>
  <c r="T132" i="6" s="1"/>
  <c r="H124" i="38"/>
  <c r="H126" i="38" s="1"/>
  <c r="L126" i="38" s="1"/>
  <c r="O145" i="16"/>
  <c r="D135" i="38"/>
  <c r="I135" i="38" s="1"/>
  <c r="I144" i="38"/>
  <c r="D135" i="36"/>
  <c r="I135" i="36" s="1"/>
  <c r="I113" i="38"/>
  <c r="I114" i="38" s="1"/>
  <c r="I115" i="38" s="1"/>
  <c r="I136" i="38"/>
  <c r="I137" i="38" s="1"/>
  <c r="I138" i="38" s="1"/>
  <c r="K145" i="38"/>
  <c r="K146" i="38" s="1"/>
  <c r="K147" i="38" s="1"/>
  <c r="K148" i="38" s="1"/>
  <c r="K149" i="38" s="1"/>
  <c r="K150" i="38" s="1"/>
  <c r="K151" i="38" s="1"/>
  <c r="K152" i="38" s="1"/>
  <c r="K153" i="38" s="1"/>
  <c r="K154" i="38" s="1"/>
  <c r="K155" i="38" s="1"/>
  <c r="K156" i="38" s="1"/>
  <c r="K157" i="38" s="1"/>
  <c r="K158" i="38" s="1"/>
  <c r="S134" i="6"/>
  <c r="T134" i="6" s="1"/>
  <c r="S130" i="6"/>
  <c r="T130" i="6" s="1"/>
  <c r="S133" i="6"/>
  <c r="T133" i="6" s="1"/>
  <c r="S129" i="6"/>
  <c r="T129" i="6" s="1"/>
  <c r="S187" i="6"/>
  <c r="T187" i="6" s="1"/>
  <c r="S188" i="6"/>
  <c r="T188" i="6" s="1"/>
  <c r="S160" i="6"/>
  <c r="T160" i="6" s="1"/>
  <c r="S145" i="6"/>
  <c r="T145" i="6" s="1"/>
  <c r="S146" i="6"/>
  <c r="T146" i="6" s="1"/>
  <c r="S204" i="6"/>
  <c r="T204" i="6" s="1"/>
  <c r="S198" i="6"/>
  <c r="T198" i="6" s="1"/>
  <c r="S174" i="6"/>
  <c r="T174" i="6" s="1"/>
  <c r="S182" i="6"/>
  <c r="T182" i="6" s="1"/>
  <c r="S143" i="6"/>
  <c r="T143" i="6" s="1"/>
  <c r="S136" i="6"/>
  <c r="T136" i="6" s="1"/>
  <c r="S201" i="6"/>
  <c r="T201" i="6" s="1"/>
  <c r="S169" i="6"/>
  <c r="T169" i="6" s="1"/>
  <c r="S135" i="6"/>
  <c r="T135" i="6" s="1"/>
  <c r="S180" i="6"/>
  <c r="T180" i="6" s="1"/>
  <c r="S191" i="6"/>
  <c r="T191" i="6" s="1"/>
  <c r="S200" i="6"/>
  <c r="T200" i="6" s="1"/>
  <c r="S195" i="6"/>
  <c r="T195" i="6" s="1"/>
  <c r="S173" i="6"/>
  <c r="T173" i="6" s="1"/>
  <c r="S148" i="6"/>
  <c r="T148" i="6" s="1"/>
  <c r="S175" i="6"/>
  <c r="T175" i="6" s="1"/>
  <c r="S141" i="6"/>
  <c r="T141" i="6" s="1"/>
  <c r="S149" i="6"/>
  <c r="T149" i="6" s="1"/>
  <c r="S157" i="6"/>
  <c r="T157" i="6" s="1"/>
  <c r="S199" i="6"/>
  <c r="T199" i="6" s="1"/>
  <c r="S177" i="6"/>
  <c r="T177" i="6" s="1"/>
  <c r="S140" i="6"/>
  <c r="T140" i="6" s="1"/>
  <c r="S186" i="6"/>
  <c r="T186" i="6" s="1"/>
  <c r="S203" i="6"/>
  <c r="T203" i="6" s="1"/>
  <c r="S161" i="6"/>
  <c r="T161" i="6" s="1"/>
  <c r="S155" i="6"/>
  <c r="T155" i="6" s="1"/>
  <c r="S142" i="6"/>
  <c r="T142" i="6" s="1"/>
  <c r="S178" i="6"/>
  <c r="T178" i="6" s="1"/>
  <c r="S179" i="6"/>
  <c r="T179" i="6" s="1"/>
  <c r="S153" i="6"/>
  <c r="T153" i="6" s="1"/>
  <c r="S196" i="6"/>
  <c r="T196" i="6" s="1"/>
  <c r="S159" i="6"/>
  <c r="T159" i="6" s="1"/>
  <c r="S193" i="6"/>
  <c r="T193" i="6" s="1"/>
  <c r="S137" i="6"/>
  <c r="T137" i="6" s="1"/>
  <c r="S181" i="6"/>
  <c r="T181" i="6" s="1"/>
  <c r="S163" i="6"/>
  <c r="T163" i="6" s="1"/>
  <c r="S172" i="6"/>
  <c r="T172" i="6" s="1"/>
  <c r="S162" i="6"/>
  <c r="T162" i="6" s="1"/>
  <c r="S183" i="6"/>
  <c r="T183" i="6" s="1"/>
  <c r="S189" i="6"/>
  <c r="T189" i="6" s="1"/>
  <c r="S158" i="6"/>
  <c r="T158" i="6" s="1"/>
  <c r="S190" i="6"/>
  <c r="T190" i="6" s="1"/>
  <c r="S185" i="6"/>
  <c r="T185" i="6" s="1"/>
  <c r="S197" i="6"/>
  <c r="T197" i="6" s="1"/>
  <c r="S156" i="6"/>
  <c r="T156" i="6" s="1"/>
  <c r="S166" i="6"/>
  <c r="T166" i="6" s="1"/>
  <c r="S202" i="6"/>
  <c r="T202" i="6" s="1"/>
  <c r="S154" i="6"/>
  <c r="T154" i="6" s="1"/>
  <c r="S194" i="6"/>
  <c r="T194" i="6" s="1"/>
  <c r="S170" i="6"/>
  <c r="T170" i="6" s="1"/>
  <c r="S164" i="6"/>
  <c r="T164" i="6" s="1"/>
  <c r="S138" i="6"/>
  <c r="T138" i="6" s="1"/>
  <c r="S167" i="6"/>
  <c r="T167" i="6" s="1"/>
  <c r="S192" i="6"/>
  <c r="T192" i="6" s="1"/>
  <c r="S144" i="6"/>
  <c r="T144" i="6" s="1"/>
  <c r="S176" i="6"/>
  <c r="T176" i="6" s="1"/>
  <c r="S139" i="6"/>
  <c r="T139" i="6" s="1"/>
  <c r="S147" i="6"/>
  <c r="T147" i="6" s="1"/>
  <c r="S171" i="6"/>
  <c r="T171" i="6" s="1"/>
  <c r="S165" i="6"/>
  <c r="T165" i="6" s="1"/>
  <c r="S150" i="6"/>
  <c r="T150" i="6" s="1"/>
  <c r="S168" i="6"/>
  <c r="T168" i="6" s="1"/>
  <c r="S151" i="6"/>
  <c r="T151" i="6" s="1"/>
  <c r="S184" i="6"/>
  <c r="T184" i="6" s="1"/>
  <c r="S152" i="6"/>
  <c r="T152" i="6" s="1"/>
  <c r="H106" i="37"/>
  <c r="L106" i="37" s="1"/>
  <c r="H153" i="38"/>
  <c r="L153" i="38" s="1"/>
  <c r="S131" i="6"/>
  <c r="T131" i="6" s="1"/>
  <c r="N43" i="35"/>
  <c r="H152" i="38"/>
  <c r="L152" i="38" s="1"/>
  <c r="H64" i="37"/>
  <c r="L64" i="37" s="1"/>
  <c r="H108" i="38"/>
  <c r="L108" i="38" s="1"/>
  <c r="D216" i="6"/>
  <c r="E216" i="6"/>
  <c r="L145" i="16"/>
  <c r="O125" i="16"/>
  <c r="D89" i="38"/>
  <c r="I89" i="38" s="1"/>
  <c r="D112" i="38"/>
  <c r="I112" i="38" s="1"/>
  <c r="K99" i="38"/>
  <c r="K100" i="38" s="1"/>
  <c r="K101" i="38" s="1"/>
  <c r="K102" i="38" s="1"/>
  <c r="K103" i="38" s="1"/>
  <c r="K104" i="38" s="1"/>
  <c r="K105" i="38" s="1"/>
  <c r="K106" i="38" s="1"/>
  <c r="K107" i="38" s="1"/>
  <c r="K108" i="38" s="1"/>
  <c r="K109" i="38" s="1"/>
  <c r="K110" i="38" s="1"/>
  <c r="K111" i="38" s="1"/>
  <c r="K112" i="38" s="1"/>
  <c r="I121" i="38"/>
  <c r="H154" i="38"/>
  <c r="L154" i="38" s="1"/>
  <c r="H147" i="38"/>
  <c r="L147" i="38" s="1"/>
  <c r="H101" i="38"/>
  <c r="L101" i="38" s="1"/>
  <c r="H131" i="38"/>
  <c r="L131" i="38" s="1"/>
  <c r="H216" i="6"/>
  <c r="M216" i="6"/>
  <c r="H60" i="37"/>
  <c r="L60" i="37" s="1"/>
  <c r="B216" i="6"/>
  <c r="O135" i="16"/>
  <c r="L135" i="16"/>
  <c r="H60" i="35"/>
  <c r="L60" i="35" s="1"/>
  <c r="N60" i="35" s="1"/>
  <c r="AY109" i="16"/>
  <c r="O109" i="16"/>
  <c r="I67" i="13"/>
  <c r="I68" i="13" s="1"/>
  <c r="I69" i="13" s="1"/>
  <c r="H14" i="38"/>
  <c r="L14" i="38" s="1"/>
  <c r="N14" i="38" s="1"/>
  <c r="L210" i="16"/>
  <c r="N39" i="35"/>
  <c r="H133" i="35"/>
  <c r="L133" i="35" s="1"/>
  <c r="B217" i="6"/>
  <c r="H41" i="37"/>
  <c r="L41" i="37" s="1"/>
  <c r="N41" i="37" s="1"/>
  <c r="N33" i="35"/>
  <c r="N157" i="36"/>
  <c r="N35" i="35"/>
  <c r="C217" i="6"/>
  <c r="N34" i="35"/>
  <c r="N41" i="35"/>
  <c r="N152" i="36"/>
  <c r="L44" i="35"/>
  <c r="D217" i="6"/>
  <c r="L136" i="16"/>
  <c r="O213" i="16"/>
  <c r="N32" i="35"/>
  <c r="N154" i="36"/>
  <c r="H217" i="6"/>
  <c r="L126" i="16"/>
  <c r="N30" i="35"/>
  <c r="F217" i="6"/>
  <c r="O130" i="16"/>
  <c r="L146" i="16"/>
  <c r="N29" i="35"/>
  <c r="K47" i="35" s="1"/>
  <c r="N40" i="35"/>
  <c r="H218" i="6"/>
  <c r="H156" i="37"/>
  <c r="L156" i="37" s="1"/>
  <c r="N156" i="37" s="1"/>
  <c r="H153" i="37"/>
  <c r="L153" i="37" s="1"/>
  <c r="N153" i="37" s="1"/>
  <c r="N30" i="37"/>
  <c r="H106" i="36"/>
  <c r="L106" i="36" s="1"/>
  <c r="N106" i="36" s="1"/>
  <c r="C218" i="6"/>
  <c r="O143" i="16"/>
  <c r="O113" i="16"/>
  <c r="N39" i="37"/>
  <c r="H108" i="35"/>
  <c r="L108" i="35" s="1"/>
  <c r="I218" i="6"/>
  <c r="N34" i="37"/>
  <c r="E218" i="6"/>
  <c r="L127" i="16"/>
  <c r="N32" i="37"/>
  <c r="M218" i="6"/>
  <c r="O133" i="16"/>
  <c r="O214" i="16"/>
  <c r="F218" i="6"/>
  <c r="I159" i="35"/>
  <c r="I160" i="35" s="1"/>
  <c r="I161" i="35" s="1"/>
  <c r="N29" i="37"/>
  <c r="K47" i="37" s="1"/>
  <c r="B218" i="6"/>
  <c r="L137" i="16"/>
  <c r="H14" i="35"/>
  <c r="L14" i="35" s="1"/>
  <c r="N14" i="35" s="1"/>
  <c r="H14" i="37"/>
  <c r="L14" i="37" s="1"/>
  <c r="N14" i="37" s="1"/>
  <c r="L44" i="37"/>
  <c r="H54" i="35"/>
  <c r="H56" i="35" s="1"/>
  <c r="H58" i="35" s="1"/>
  <c r="H37" i="37"/>
  <c r="L37" i="37" s="1"/>
  <c r="N37" i="37" s="1"/>
  <c r="H130" i="35"/>
  <c r="L130" i="35" s="1"/>
  <c r="H153" i="35"/>
  <c r="L153" i="35" s="1"/>
  <c r="K145" i="35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K157" i="35" s="1"/>
  <c r="K158" i="35" s="1"/>
  <c r="D158" i="13"/>
  <c r="I158" i="13" s="1"/>
  <c r="H37" i="35"/>
  <c r="L37" i="35" s="1"/>
  <c r="N37" i="35" s="1"/>
  <c r="H101" i="35"/>
  <c r="H103" i="35" s="1"/>
  <c r="L103" i="35" s="1"/>
  <c r="H152" i="35"/>
  <c r="L152" i="35" s="1"/>
  <c r="I144" i="13"/>
  <c r="I113" i="35"/>
  <c r="I114" i="35" s="1"/>
  <c r="I115" i="35" s="1"/>
  <c r="K99" i="35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I144" i="35"/>
  <c r="H129" i="35"/>
  <c r="L129" i="35" s="1"/>
  <c r="H156" i="35"/>
  <c r="L156" i="35" s="1"/>
  <c r="H61" i="35"/>
  <c r="L61" i="35" s="1"/>
  <c r="N61" i="35" s="1"/>
  <c r="D112" i="35"/>
  <c r="I112" i="35" s="1"/>
  <c r="D158" i="35"/>
  <c r="I158" i="35" s="1"/>
  <c r="H38" i="37"/>
  <c r="L38" i="37" s="1"/>
  <c r="N38" i="37" s="1"/>
  <c r="H38" i="35"/>
  <c r="L38" i="35" s="1"/>
  <c r="N38" i="35" s="1"/>
  <c r="H151" i="37"/>
  <c r="L151" i="37" s="1"/>
  <c r="N151" i="37" s="1"/>
  <c r="H212" i="16"/>
  <c r="H64" i="35"/>
  <c r="L64" i="35" s="1"/>
  <c r="N64" i="35" s="1"/>
  <c r="I98" i="35"/>
  <c r="H107" i="38"/>
  <c r="L107" i="38" s="1"/>
  <c r="H107" i="37"/>
  <c r="L107" i="37" s="1"/>
  <c r="H146" i="38"/>
  <c r="H148" i="38" s="1"/>
  <c r="H150" i="38" s="1"/>
  <c r="N144" i="36"/>
  <c r="K162" i="36" s="1"/>
  <c r="N52" i="35"/>
  <c r="K70" i="35" s="1"/>
  <c r="N148" i="36"/>
  <c r="N151" i="36"/>
  <c r="H100" i="38"/>
  <c r="H102" i="38" s="1"/>
  <c r="L102" i="38" s="1"/>
  <c r="H130" i="38"/>
  <c r="L130" i="38" s="1"/>
  <c r="N150" i="36"/>
  <c r="N57" i="35"/>
  <c r="H110" i="38"/>
  <c r="L110" i="38" s="1"/>
  <c r="H100" i="37"/>
  <c r="H102" i="37" s="1"/>
  <c r="H104" i="37" s="1"/>
  <c r="H134" i="16"/>
  <c r="N155" i="36"/>
  <c r="N62" i="35"/>
  <c r="H129" i="38"/>
  <c r="L129" i="38" s="1"/>
  <c r="L67" i="35"/>
  <c r="L128" i="16"/>
  <c r="N147" i="36"/>
  <c r="N55" i="35"/>
  <c r="N146" i="36"/>
  <c r="N156" i="36"/>
  <c r="N153" i="36"/>
  <c r="N145" i="36"/>
  <c r="H106" i="38"/>
  <c r="L106" i="38" s="1"/>
  <c r="H54" i="37"/>
  <c r="H56" i="37" s="1"/>
  <c r="H65" i="37" s="1"/>
  <c r="L65" i="37" s="1"/>
  <c r="D135" i="13"/>
  <c r="I135" i="13" s="1"/>
  <c r="I121" i="13"/>
  <c r="H133" i="38"/>
  <c r="L133" i="38" s="1"/>
  <c r="L159" i="36"/>
  <c r="M160" i="36" s="1"/>
  <c r="H144" i="16"/>
  <c r="H15" i="35"/>
  <c r="L15" i="35" s="1"/>
  <c r="N15" i="35" s="1"/>
  <c r="H210" i="16"/>
  <c r="H211" i="16"/>
  <c r="G219" i="6"/>
  <c r="K219" i="6" s="1"/>
  <c r="L219" i="6" s="1"/>
  <c r="J219" i="6"/>
  <c r="G218" i="6"/>
  <c r="K218" i="6" s="1"/>
  <c r="L218" i="6" s="1"/>
  <c r="J218" i="6"/>
  <c r="G217" i="6"/>
  <c r="K217" i="6" s="1"/>
  <c r="L217" i="6" s="1"/>
  <c r="J217" i="6"/>
  <c r="H13" i="38"/>
  <c r="L13" i="38" s="1"/>
  <c r="N13" i="38" s="1"/>
  <c r="G216" i="6"/>
  <c r="K216" i="6" s="1"/>
  <c r="L216" i="6" s="1"/>
  <c r="J216" i="6"/>
  <c r="H106" i="35"/>
  <c r="L106" i="35" s="1"/>
  <c r="H54" i="38"/>
  <c r="H56" i="38" s="1"/>
  <c r="L56" i="38" s="1"/>
  <c r="H129" i="36"/>
  <c r="L129" i="36" s="1"/>
  <c r="F219" i="6"/>
  <c r="H219" i="6"/>
  <c r="O144" i="16"/>
  <c r="H110" i="36"/>
  <c r="L110" i="36" s="1"/>
  <c r="N110" i="36" s="1"/>
  <c r="H146" i="37"/>
  <c r="L146" i="37" s="1"/>
  <c r="N146" i="37" s="1"/>
  <c r="B219" i="6"/>
  <c r="H83" i="37"/>
  <c r="L83" i="37" s="1"/>
  <c r="H18" i="35"/>
  <c r="L18" i="35" s="1"/>
  <c r="N18" i="35" s="1"/>
  <c r="M219" i="6"/>
  <c r="I90" i="35"/>
  <c r="I91" i="35" s="1"/>
  <c r="I92" i="35" s="1"/>
  <c r="K76" i="35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L138" i="16"/>
  <c r="H64" i="38"/>
  <c r="L64" i="38" s="1"/>
  <c r="H60" i="38"/>
  <c r="L60" i="38" s="1"/>
  <c r="H84" i="36"/>
  <c r="L84" i="36" s="1"/>
  <c r="H83" i="35"/>
  <c r="L83" i="35" s="1"/>
  <c r="O215" i="16"/>
  <c r="O114" i="16"/>
  <c r="I52" i="38"/>
  <c r="K122" i="36"/>
  <c r="K123" i="36" s="1"/>
  <c r="K124" i="36" s="1"/>
  <c r="K125" i="36" s="1"/>
  <c r="K126" i="36" s="1"/>
  <c r="K127" i="36" s="1"/>
  <c r="K128" i="36" s="1"/>
  <c r="K129" i="36" s="1"/>
  <c r="K130" i="36" s="1"/>
  <c r="K131" i="36" s="1"/>
  <c r="K132" i="36" s="1"/>
  <c r="K133" i="36" s="1"/>
  <c r="K134" i="36" s="1"/>
  <c r="K135" i="36" s="1"/>
  <c r="H152" i="37"/>
  <c r="L152" i="37" s="1"/>
  <c r="N152" i="37" s="1"/>
  <c r="H87" i="36"/>
  <c r="L87" i="36" s="1"/>
  <c r="I219" i="6"/>
  <c r="O134" i="16"/>
  <c r="L211" i="16"/>
  <c r="I29" i="36"/>
  <c r="I136" i="36"/>
  <c r="I137" i="36" s="1"/>
  <c r="I138" i="36" s="1"/>
  <c r="AA113" i="16"/>
  <c r="B113" i="16" s="1"/>
  <c r="E113" i="16" s="1"/>
  <c r="H110" i="35"/>
  <c r="L110" i="35" s="1"/>
  <c r="C219" i="6"/>
  <c r="I67" i="38"/>
  <c r="I68" i="38" s="1"/>
  <c r="I69" i="38" s="1"/>
  <c r="D66" i="38"/>
  <c r="I66" i="38" s="1"/>
  <c r="D43" i="36"/>
  <c r="I43" i="36" s="1"/>
  <c r="I121" i="36"/>
  <c r="H107" i="36"/>
  <c r="L107" i="36" s="1"/>
  <c r="N107" i="36" s="1"/>
  <c r="H84" i="37"/>
  <c r="L84" i="37" s="1"/>
  <c r="H77" i="36"/>
  <c r="H79" i="36" s="1"/>
  <c r="H88" i="36" s="1"/>
  <c r="L88" i="36" s="1"/>
  <c r="E219" i="6"/>
  <c r="D43" i="13"/>
  <c r="I43" i="13" s="1"/>
  <c r="H61" i="38"/>
  <c r="L61" i="38" s="1"/>
  <c r="AG122" i="6"/>
  <c r="AY26" i="16" s="1"/>
  <c r="U40" i="38"/>
  <c r="U41" i="38" s="1"/>
  <c r="T42" i="38" s="1"/>
  <c r="H30" i="38" s="1"/>
  <c r="K30" i="38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I44" i="38"/>
  <c r="I45" i="38" s="1"/>
  <c r="I46" i="38" s="1"/>
  <c r="U40" i="13"/>
  <c r="U41" i="13" s="1"/>
  <c r="T42" i="13" s="1"/>
  <c r="H31" i="13" s="1"/>
  <c r="K30" i="13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I44" i="13"/>
  <c r="I45" i="13" s="1"/>
  <c r="I46" i="13" s="1"/>
  <c r="H36" i="37"/>
  <c r="L36" i="37" s="1"/>
  <c r="N36" i="37" s="1"/>
  <c r="H15" i="38"/>
  <c r="L15" i="38" s="1"/>
  <c r="N15" i="38" s="1"/>
  <c r="H130" i="36"/>
  <c r="L130" i="36" s="1"/>
  <c r="H15" i="37"/>
  <c r="L15" i="37" s="1"/>
  <c r="N15" i="37" s="1"/>
  <c r="H100" i="35"/>
  <c r="H102" i="35" s="1"/>
  <c r="L102" i="35" s="1"/>
  <c r="N66" i="35"/>
  <c r="H126" i="16"/>
  <c r="H125" i="16"/>
  <c r="U132" i="37"/>
  <c r="U133" i="37" s="1"/>
  <c r="T134" i="37" s="1"/>
  <c r="H128" i="37" s="1"/>
  <c r="L128" i="37" s="1"/>
  <c r="I136" i="37"/>
  <c r="I137" i="37" s="1"/>
  <c r="I138" i="37" s="1"/>
  <c r="K122" i="37"/>
  <c r="K123" i="37" s="1"/>
  <c r="K124" i="37" s="1"/>
  <c r="K125" i="37" s="1"/>
  <c r="K126" i="37" s="1"/>
  <c r="K127" i="37" s="1"/>
  <c r="K128" i="37" s="1"/>
  <c r="K129" i="37" s="1"/>
  <c r="K130" i="37" s="1"/>
  <c r="K131" i="37" s="1"/>
  <c r="K132" i="37" s="1"/>
  <c r="K133" i="37" s="1"/>
  <c r="K134" i="37" s="1"/>
  <c r="K135" i="37" s="1"/>
  <c r="U86" i="13"/>
  <c r="U87" i="13" s="1"/>
  <c r="T88" i="13" s="1"/>
  <c r="H76" i="13" s="1"/>
  <c r="K76" i="13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I90" i="13"/>
  <c r="I91" i="13" s="1"/>
  <c r="I92" i="13" s="1"/>
  <c r="L93" i="37"/>
  <c r="N79" i="37" s="1"/>
  <c r="L90" i="37"/>
  <c r="M91" i="37" s="1"/>
  <c r="H114" i="16"/>
  <c r="H107" i="35"/>
  <c r="L107" i="35" s="1"/>
  <c r="H128" i="35"/>
  <c r="L128" i="35" s="1"/>
  <c r="I98" i="13"/>
  <c r="AA112" i="16"/>
  <c r="B112" i="16" s="1"/>
  <c r="E112" i="16" s="1"/>
  <c r="H18" i="37"/>
  <c r="L18" i="37" s="1"/>
  <c r="N18" i="37" s="1"/>
  <c r="H31" i="37"/>
  <c r="H33" i="37" s="1"/>
  <c r="H35" i="37" s="1"/>
  <c r="H18" i="38"/>
  <c r="L18" i="38" s="1"/>
  <c r="N18" i="38" s="1"/>
  <c r="D66" i="13"/>
  <c r="I66" i="13" s="1"/>
  <c r="K53" i="13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H142" i="16"/>
  <c r="H8" i="37"/>
  <c r="L8" i="37" s="1"/>
  <c r="D89" i="13"/>
  <c r="I89" i="13" s="1"/>
  <c r="H8" i="35"/>
  <c r="H10" i="35" s="1"/>
  <c r="D112" i="13"/>
  <c r="I112" i="13" s="1"/>
  <c r="L113" i="38"/>
  <c r="L116" i="37"/>
  <c r="N98" i="37" s="1"/>
  <c r="K116" i="37" s="1"/>
  <c r="L113" i="37"/>
  <c r="U155" i="13"/>
  <c r="U156" i="13" s="1"/>
  <c r="T157" i="13" s="1"/>
  <c r="H146" i="13" s="1"/>
  <c r="H148" i="13" s="1"/>
  <c r="K145" i="13"/>
  <c r="K146" i="13" s="1"/>
  <c r="K147" i="13" s="1"/>
  <c r="K148" i="13" s="1"/>
  <c r="K149" i="13" s="1"/>
  <c r="K150" i="13" s="1"/>
  <c r="K151" i="13" s="1"/>
  <c r="K152" i="13" s="1"/>
  <c r="K153" i="13" s="1"/>
  <c r="K154" i="13" s="1"/>
  <c r="K155" i="13" s="1"/>
  <c r="K156" i="13" s="1"/>
  <c r="K157" i="13" s="1"/>
  <c r="K158" i="13" s="1"/>
  <c r="I159" i="13"/>
  <c r="I160" i="13" s="1"/>
  <c r="I161" i="13" s="1"/>
  <c r="L70" i="37"/>
  <c r="N52" i="37" s="1"/>
  <c r="K70" i="37" s="1"/>
  <c r="L67" i="37"/>
  <c r="H76" i="35"/>
  <c r="H87" i="35"/>
  <c r="L87" i="35" s="1"/>
  <c r="H84" i="35"/>
  <c r="L84" i="35" s="1"/>
  <c r="U109" i="13"/>
  <c r="U110" i="13" s="1"/>
  <c r="T111" i="13" s="1"/>
  <c r="H106" i="13" s="1"/>
  <c r="L106" i="13" s="1"/>
  <c r="K99" i="13"/>
  <c r="K100" i="13" s="1"/>
  <c r="K101" i="13" s="1"/>
  <c r="K102" i="13" s="1"/>
  <c r="K103" i="13" s="1"/>
  <c r="K104" i="13" s="1"/>
  <c r="K105" i="13" s="1"/>
  <c r="K106" i="13" s="1"/>
  <c r="K107" i="13" s="1"/>
  <c r="K108" i="13" s="1"/>
  <c r="K109" i="13" s="1"/>
  <c r="K110" i="13" s="1"/>
  <c r="K111" i="13" s="1"/>
  <c r="K112" i="13" s="1"/>
  <c r="I113" i="13"/>
  <c r="I114" i="13" s="1"/>
  <c r="I115" i="13" s="1"/>
  <c r="U132" i="13"/>
  <c r="U133" i="13" s="1"/>
  <c r="T134" i="13" s="1"/>
  <c r="H129" i="13" s="1"/>
  <c r="L129" i="13" s="1"/>
  <c r="K122" i="13"/>
  <c r="K123" i="13" s="1"/>
  <c r="K124" i="13" s="1"/>
  <c r="K125" i="13" s="1"/>
  <c r="K126" i="13" s="1"/>
  <c r="K127" i="13" s="1"/>
  <c r="K128" i="13" s="1"/>
  <c r="K129" i="13" s="1"/>
  <c r="K130" i="13" s="1"/>
  <c r="K131" i="13" s="1"/>
  <c r="K132" i="13" s="1"/>
  <c r="K133" i="13" s="1"/>
  <c r="K134" i="13" s="1"/>
  <c r="K135" i="13" s="1"/>
  <c r="I136" i="13"/>
  <c r="I137" i="13" s="1"/>
  <c r="I138" i="13" s="1"/>
  <c r="U40" i="36"/>
  <c r="U41" i="36" s="1"/>
  <c r="T42" i="36" s="1"/>
  <c r="H31" i="36" s="1"/>
  <c r="I44" i="36"/>
  <c r="I45" i="36" s="1"/>
  <c r="I46" i="36" s="1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L93" i="36"/>
  <c r="N75" i="36" s="1"/>
  <c r="K93" i="36" s="1"/>
  <c r="L90" i="36"/>
  <c r="U86" i="38"/>
  <c r="U87" i="38" s="1"/>
  <c r="T88" i="38" s="1"/>
  <c r="K76" i="38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I90" i="38"/>
  <c r="I91" i="38" s="1"/>
  <c r="I92" i="38" s="1"/>
  <c r="H123" i="38"/>
  <c r="H125" i="38" s="1"/>
  <c r="L125" i="38" s="1"/>
  <c r="H59" i="35"/>
  <c r="L59" i="35" s="1"/>
  <c r="N59" i="35" s="1"/>
  <c r="H151" i="38"/>
  <c r="L151" i="38" s="1"/>
  <c r="H13" i="37"/>
  <c r="L13" i="37" s="1"/>
  <c r="N13" i="37" s="1"/>
  <c r="H77" i="35"/>
  <c r="L77" i="35" s="1"/>
  <c r="H8" i="38"/>
  <c r="L8" i="38" s="1"/>
  <c r="AB121" i="6"/>
  <c r="AA43" i="16" s="1"/>
  <c r="A43" i="16" s="1"/>
  <c r="H102" i="36"/>
  <c r="H105" i="38"/>
  <c r="L105" i="38" s="1"/>
  <c r="Y121" i="6"/>
  <c r="AR24" i="16" s="1"/>
  <c r="AR23" i="16" s="1"/>
  <c r="H111" i="16"/>
  <c r="H82" i="35"/>
  <c r="L82" i="35" s="1"/>
  <c r="L116" i="38"/>
  <c r="N99" i="38" s="1"/>
  <c r="H130" i="16"/>
  <c r="AA141" i="16"/>
  <c r="B141" i="16" s="1"/>
  <c r="E141" i="16" s="1"/>
  <c r="AG121" i="6"/>
  <c r="AY24" i="16" s="1"/>
  <c r="N36" i="35"/>
  <c r="H105" i="36"/>
  <c r="L105" i="36" s="1"/>
  <c r="N105" i="36" s="1"/>
  <c r="H105" i="35"/>
  <c r="L105" i="35" s="1"/>
  <c r="H13" i="35"/>
  <c r="L13" i="35" s="1"/>
  <c r="N13" i="35" s="1"/>
  <c r="H105" i="37"/>
  <c r="L105" i="37" s="1"/>
  <c r="H122" i="36"/>
  <c r="H123" i="36"/>
  <c r="L31" i="35"/>
  <c r="N31" i="35" s="1"/>
  <c r="H151" i="35"/>
  <c r="L151" i="35" s="1"/>
  <c r="H128" i="36"/>
  <c r="L128" i="36" s="1"/>
  <c r="L159" i="38"/>
  <c r="L162" i="38"/>
  <c r="H122" i="35"/>
  <c r="H123" i="35"/>
  <c r="H59" i="36"/>
  <c r="L59" i="36" s="1"/>
  <c r="H54" i="36"/>
  <c r="H56" i="36" s="1"/>
  <c r="H53" i="36"/>
  <c r="N158" i="36"/>
  <c r="L136" i="38"/>
  <c r="L139" i="38"/>
  <c r="H145" i="35"/>
  <c r="H146" i="35"/>
  <c r="H148" i="35" s="1"/>
  <c r="L113" i="35"/>
  <c r="L116" i="35"/>
  <c r="H59" i="38"/>
  <c r="L59" i="38" s="1"/>
  <c r="H53" i="38"/>
  <c r="AU59" i="16"/>
  <c r="AV59" i="16" s="1"/>
  <c r="G2" i="40" s="1"/>
  <c r="H128" i="38"/>
  <c r="L128" i="38" s="1"/>
  <c r="H54" i="13"/>
  <c r="H64" i="13"/>
  <c r="L64" i="13" s="1"/>
  <c r="H61" i="13"/>
  <c r="L61" i="13" s="1"/>
  <c r="H60" i="13"/>
  <c r="L60" i="13" s="1"/>
  <c r="H53" i="13"/>
  <c r="H59" i="13"/>
  <c r="L59" i="13" s="1"/>
  <c r="H137" i="16"/>
  <c r="H135" i="16"/>
  <c r="H127" i="16"/>
  <c r="H214" i="16"/>
  <c r="H138" i="16"/>
  <c r="H129" i="16"/>
  <c r="AA215" i="16"/>
  <c r="B215" i="16" s="1"/>
  <c r="E215" i="16" s="1"/>
  <c r="AA128" i="16"/>
  <c r="B128" i="16" s="1"/>
  <c r="E128" i="16" s="1"/>
  <c r="AA146" i="16"/>
  <c r="B146" i="16" s="1"/>
  <c r="E146" i="16" s="1"/>
  <c r="AA145" i="16"/>
  <c r="B145" i="16" s="1"/>
  <c r="E145" i="16" s="1"/>
  <c r="AA133" i="16"/>
  <c r="B133" i="16" s="1"/>
  <c r="E133" i="16" s="1"/>
  <c r="H136" i="16"/>
  <c r="H143" i="16"/>
  <c r="N154" i="38" l="1"/>
  <c r="H58" i="37"/>
  <c r="H63" i="37" s="1"/>
  <c r="L63" i="37" s="1"/>
  <c r="N63" i="37" s="1"/>
  <c r="L124" i="38"/>
  <c r="N124" i="38" s="1"/>
  <c r="H156" i="13"/>
  <c r="L156" i="13" s="1"/>
  <c r="H152" i="13"/>
  <c r="L152" i="13" s="1"/>
  <c r="H65" i="38"/>
  <c r="L65" i="38" s="1"/>
  <c r="L101" i="35"/>
  <c r="N101" i="35" s="1"/>
  <c r="L56" i="37"/>
  <c r="N56" i="37" s="1"/>
  <c r="H58" i="38"/>
  <c r="H63" i="38" s="1"/>
  <c r="L63" i="38" s="1"/>
  <c r="L54" i="38"/>
  <c r="L54" i="37"/>
  <c r="N54" i="37" s="1"/>
  <c r="H103" i="38"/>
  <c r="L103" i="38" s="1"/>
  <c r="N103" i="38" s="1"/>
  <c r="L148" i="38"/>
  <c r="N148" i="38" s="1"/>
  <c r="T120" i="6"/>
  <c r="V121" i="6" s="1"/>
  <c r="AA18" i="16" s="1"/>
  <c r="H149" i="38"/>
  <c r="L149" i="38" s="1"/>
  <c r="N149" i="38" s="1"/>
  <c r="L146" i="38"/>
  <c r="N146" i="38" s="1"/>
  <c r="AY110" i="16"/>
  <c r="AY59" i="16" s="1"/>
  <c r="H2" i="40" s="1"/>
  <c r="O110" i="16"/>
  <c r="H100" i="13"/>
  <c r="H102" i="13" s="1"/>
  <c r="H104" i="13" s="1"/>
  <c r="H36" i="36"/>
  <c r="L36" i="36" s="1"/>
  <c r="L100" i="38"/>
  <c r="N100" i="38" s="1"/>
  <c r="H65" i="35"/>
  <c r="L65" i="35" s="1"/>
  <c r="N65" i="35" s="1"/>
  <c r="L56" i="35"/>
  <c r="N56" i="35" s="1"/>
  <c r="L54" i="35"/>
  <c r="N54" i="35" s="1"/>
  <c r="H41" i="13"/>
  <c r="L41" i="13" s="1"/>
  <c r="H10" i="38"/>
  <c r="H12" i="38" s="1"/>
  <c r="H111" i="37"/>
  <c r="L111" i="37" s="1"/>
  <c r="N111" i="37" s="1"/>
  <c r="L100" i="37"/>
  <c r="N100" i="37" s="1"/>
  <c r="H36" i="38"/>
  <c r="L36" i="38" s="1"/>
  <c r="L102" i="37"/>
  <c r="N102" i="37" s="1"/>
  <c r="H38" i="38"/>
  <c r="L38" i="38" s="1"/>
  <c r="H41" i="38"/>
  <c r="L41" i="38" s="1"/>
  <c r="H157" i="38"/>
  <c r="L157" i="38" s="1"/>
  <c r="N157" i="38" s="1"/>
  <c r="K205" i="6"/>
  <c r="A299" i="6" s="1"/>
  <c r="B300" i="6" s="1"/>
  <c r="H300" i="6" s="1"/>
  <c r="N89" i="37"/>
  <c r="N106" i="37"/>
  <c r="N82" i="37"/>
  <c r="N64" i="37"/>
  <c r="H123" i="37"/>
  <c r="H125" i="37" s="1"/>
  <c r="L125" i="37" s="1"/>
  <c r="H122" i="37"/>
  <c r="L122" i="37" s="1"/>
  <c r="H155" i="38"/>
  <c r="L155" i="38" s="1"/>
  <c r="N155" i="38" s="1"/>
  <c r="L150" i="38"/>
  <c r="H79" i="35"/>
  <c r="L79" i="35" s="1"/>
  <c r="H87" i="13"/>
  <c r="L87" i="13" s="1"/>
  <c r="H82" i="13"/>
  <c r="L82" i="13" s="1"/>
  <c r="H84" i="13"/>
  <c r="L84" i="13" s="1"/>
  <c r="H83" i="13"/>
  <c r="L83" i="13" s="1"/>
  <c r="H104" i="38"/>
  <c r="H111" i="38"/>
  <c r="L111" i="38" s="1"/>
  <c r="N111" i="38" s="1"/>
  <c r="N75" i="37"/>
  <c r="K93" i="37" s="1"/>
  <c r="N88" i="37"/>
  <c r="N83" i="37"/>
  <c r="L100" i="35"/>
  <c r="N100" i="35" s="1"/>
  <c r="H42" i="37"/>
  <c r="L42" i="37" s="1"/>
  <c r="N42" i="37" s="1"/>
  <c r="L33" i="37"/>
  <c r="N33" i="37" s="1"/>
  <c r="H31" i="38"/>
  <c r="H40" i="37"/>
  <c r="L40" i="37" s="1"/>
  <c r="N40" i="37" s="1"/>
  <c r="L35" i="37"/>
  <c r="N35" i="37" s="1"/>
  <c r="AI121" i="6"/>
  <c r="AH121" i="6" s="1"/>
  <c r="AY25" i="16" s="1"/>
  <c r="AY23" i="16" s="1"/>
  <c r="M23" i="16" s="1"/>
  <c r="N87" i="37"/>
  <c r="H148" i="37"/>
  <c r="H150" i="37" s="1"/>
  <c r="N83" i="36"/>
  <c r="L77" i="36"/>
  <c r="N77" i="36" s="1"/>
  <c r="H37" i="38"/>
  <c r="L37" i="38" s="1"/>
  <c r="H130" i="13"/>
  <c r="L130" i="13" s="1"/>
  <c r="H133" i="13"/>
  <c r="L133" i="13" s="1"/>
  <c r="H81" i="36"/>
  <c r="L79" i="36"/>
  <c r="N79" i="36" s="1"/>
  <c r="N107" i="37"/>
  <c r="H30" i="13"/>
  <c r="L30" i="13" s="1"/>
  <c r="L8" i="35"/>
  <c r="N8" i="35" s="1"/>
  <c r="H10" i="37"/>
  <c r="H19" i="37" s="1"/>
  <c r="L19" i="37" s="1"/>
  <c r="N19" i="37" s="1"/>
  <c r="N65" i="37"/>
  <c r="H38" i="13"/>
  <c r="L38" i="13" s="1"/>
  <c r="H37" i="13"/>
  <c r="L37" i="13" s="1"/>
  <c r="H123" i="13"/>
  <c r="H125" i="13" s="1"/>
  <c r="L125" i="13" s="1"/>
  <c r="H77" i="13"/>
  <c r="H36" i="13"/>
  <c r="L36" i="13" s="1"/>
  <c r="N112" i="38"/>
  <c r="N105" i="37"/>
  <c r="N61" i="37"/>
  <c r="N110" i="37"/>
  <c r="L31" i="36"/>
  <c r="H33" i="36"/>
  <c r="H35" i="36" s="1"/>
  <c r="H37" i="36"/>
  <c r="L37" i="36" s="1"/>
  <c r="N82" i="36"/>
  <c r="N59" i="37"/>
  <c r="N88" i="36"/>
  <c r="N60" i="37"/>
  <c r="N87" i="36"/>
  <c r="N162" i="36"/>
  <c r="V142" i="36"/>
  <c r="H104" i="35"/>
  <c r="H111" i="35"/>
  <c r="L111" i="35" s="1"/>
  <c r="N111" i="35" s="1"/>
  <c r="N125" i="38"/>
  <c r="L30" i="38"/>
  <c r="H39" i="38"/>
  <c r="L39" i="38" s="1"/>
  <c r="H32" i="38"/>
  <c r="L54" i="36"/>
  <c r="L31" i="37"/>
  <c r="N31" i="37" s="1"/>
  <c r="N85" i="37"/>
  <c r="N78" i="37"/>
  <c r="N76" i="37"/>
  <c r="N81" i="37"/>
  <c r="N77" i="37"/>
  <c r="N80" i="37"/>
  <c r="N108" i="38"/>
  <c r="N84" i="37"/>
  <c r="N102" i="38"/>
  <c r="N101" i="38"/>
  <c r="N107" i="38"/>
  <c r="L58" i="35"/>
  <c r="H63" i="35"/>
  <c r="L63" i="35" s="1"/>
  <c r="N63" i="35" s="1"/>
  <c r="N135" i="38"/>
  <c r="N86" i="37"/>
  <c r="H129" i="37"/>
  <c r="L129" i="37" s="1"/>
  <c r="H133" i="37"/>
  <c r="L133" i="37" s="1"/>
  <c r="H130" i="37"/>
  <c r="L130" i="37" s="1"/>
  <c r="L76" i="13"/>
  <c r="H85" i="13"/>
  <c r="L85" i="13" s="1"/>
  <c r="H78" i="13"/>
  <c r="H127" i="38"/>
  <c r="H134" i="38"/>
  <c r="L134" i="38" s="1"/>
  <c r="N134" i="38" s="1"/>
  <c r="H76" i="38"/>
  <c r="H84" i="38"/>
  <c r="L84" i="38" s="1"/>
  <c r="H77" i="38"/>
  <c r="H107" i="13"/>
  <c r="L107" i="13" s="1"/>
  <c r="H99" i="13"/>
  <c r="H104" i="36"/>
  <c r="H111" i="36"/>
  <c r="L111" i="36" s="1"/>
  <c r="N111" i="36" s="1"/>
  <c r="L102" i="36"/>
  <c r="N102" i="36" s="1"/>
  <c r="L123" i="38"/>
  <c r="N123" i="38" s="1"/>
  <c r="N110" i="38"/>
  <c r="N108" i="37"/>
  <c r="N103" i="37"/>
  <c r="N101" i="37"/>
  <c r="N99" i="37"/>
  <c r="N112" i="37"/>
  <c r="H30" i="36"/>
  <c r="H38" i="36"/>
  <c r="L38" i="36" s="1"/>
  <c r="H41" i="36"/>
  <c r="L41" i="36" s="1"/>
  <c r="N84" i="36"/>
  <c r="L146" i="35"/>
  <c r="H12" i="35"/>
  <c r="H19" i="35"/>
  <c r="L19" i="35" s="1"/>
  <c r="N19" i="35" s="1"/>
  <c r="L10" i="35"/>
  <c r="N10" i="35" s="1"/>
  <c r="L76" i="35"/>
  <c r="H78" i="35"/>
  <c r="H85" i="35"/>
  <c r="L85" i="35" s="1"/>
  <c r="N105" i="35"/>
  <c r="L104" i="37"/>
  <c r="H109" i="37"/>
  <c r="L109" i="37" s="1"/>
  <c r="N109" i="37" s="1"/>
  <c r="H151" i="13"/>
  <c r="L151" i="13" s="1"/>
  <c r="H145" i="13"/>
  <c r="H82" i="38"/>
  <c r="L82" i="38" s="1"/>
  <c r="N106" i="38"/>
  <c r="H83" i="38"/>
  <c r="L83" i="38" s="1"/>
  <c r="H87" i="38"/>
  <c r="L87" i="38" s="1"/>
  <c r="H122" i="13"/>
  <c r="H128" i="13"/>
  <c r="L128" i="13" s="1"/>
  <c r="H153" i="13"/>
  <c r="L153" i="13" s="1"/>
  <c r="H105" i="13"/>
  <c r="L105" i="13" s="1"/>
  <c r="N105" i="38"/>
  <c r="N62" i="37"/>
  <c r="N57" i="37"/>
  <c r="N53" i="37"/>
  <c r="N66" i="37"/>
  <c r="N55" i="37"/>
  <c r="H110" i="13"/>
  <c r="L110" i="13" s="1"/>
  <c r="N128" i="38"/>
  <c r="N112" i="35"/>
  <c r="N158" i="38"/>
  <c r="M45" i="35"/>
  <c r="N47" i="35" s="1"/>
  <c r="N80" i="36"/>
  <c r="N76" i="36"/>
  <c r="N85" i="36"/>
  <c r="N89" i="36"/>
  <c r="N78" i="36"/>
  <c r="N8" i="37"/>
  <c r="N98" i="38"/>
  <c r="K116" i="38" s="1"/>
  <c r="N8" i="38"/>
  <c r="L122" i="35"/>
  <c r="H124" i="35"/>
  <c r="H131" i="35"/>
  <c r="L131" i="35" s="1"/>
  <c r="L122" i="36"/>
  <c r="H124" i="36"/>
  <c r="H131" i="36"/>
  <c r="L131" i="36" s="1"/>
  <c r="N147" i="38"/>
  <c r="L31" i="13"/>
  <c r="H33" i="13"/>
  <c r="L53" i="13"/>
  <c r="H55" i="13"/>
  <c r="H62" i="13"/>
  <c r="L62" i="13" s="1"/>
  <c r="L146" i="13"/>
  <c r="H150" i="35"/>
  <c r="H157" i="35"/>
  <c r="L157" i="35" s="1"/>
  <c r="L148" i="35"/>
  <c r="L145" i="35"/>
  <c r="H154" i="35"/>
  <c r="L154" i="35" s="1"/>
  <c r="H147" i="35"/>
  <c r="N145" i="38"/>
  <c r="N144" i="38"/>
  <c r="K162" i="38" s="1"/>
  <c r="N108" i="35"/>
  <c r="N133" i="38"/>
  <c r="N153" i="38"/>
  <c r="N106" i="35"/>
  <c r="H150" i="13"/>
  <c r="H157" i="13"/>
  <c r="L157" i="13" s="1"/>
  <c r="L53" i="36"/>
  <c r="H55" i="36"/>
  <c r="H62" i="36"/>
  <c r="L62" i="36" s="1"/>
  <c r="N130" i="38"/>
  <c r="L54" i="13"/>
  <c r="H56" i="13"/>
  <c r="N110" i="35"/>
  <c r="N107" i="35"/>
  <c r="N99" i="35"/>
  <c r="N98" i="35"/>
  <c r="K116" i="35" s="1"/>
  <c r="H58" i="36"/>
  <c r="L56" i="36"/>
  <c r="H65" i="36"/>
  <c r="L65" i="36" s="1"/>
  <c r="N151" i="38"/>
  <c r="N103" i="35"/>
  <c r="N93" i="37"/>
  <c r="V73" i="37"/>
  <c r="L148" i="13"/>
  <c r="N129" i="38"/>
  <c r="N102" i="35"/>
  <c r="L53" i="38"/>
  <c r="H62" i="38"/>
  <c r="L62" i="38" s="1"/>
  <c r="H55" i="38"/>
  <c r="N126" i="38"/>
  <c r="N121" i="38"/>
  <c r="K139" i="38" s="1"/>
  <c r="N122" i="38"/>
  <c r="H125" i="35"/>
  <c r="L123" i="35"/>
  <c r="L123" i="36"/>
  <c r="H125" i="36"/>
  <c r="N131" i="38"/>
  <c r="N152" i="38"/>
  <c r="N156" i="38"/>
  <c r="L58" i="37" l="1"/>
  <c r="L100" i="13"/>
  <c r="H42" i="36"/>
  <c r="L42" i="36" s="1"/>
  <c r="M160" i="38"/>
  <c r="V142" i="38" s="1"/>
  <c r="H111" i="13"/>
  <c r="L111" i="13" s="1"/>
  <c r="L102" i="13"/>
  <c r="N150" i="38"/>
  <c r="H32" i="13"/>
  <c r="H34" i="13" s="1"/>
  <c r="L34" i="13" s="1"/>
  <c r="L58" i="38"/>
  <c r="H88" i="35"/>
  <c r="L88" i="35" s="1"/>
  <c r="V123" i="6"/>
  <c r="AA20" i="16" s="1"/>
  <c r="Z18" i="16"/>
  <c r="S18" i="16" s="1"/>
  <c r="M18" i="16" s="1"/>
  <c r="V122" i="6"/>
  <c r="AA19" i="16" s="1"/>
  <c r="H81" i="35"/>
  <c r="L81" i="35" s="1"/>
  <c r="L10" i="38"/>
  <c r="N10" i="38" s="1"/>
  <c r="H134" i="37"/>
  <c r="L134" i="37" s="1"/>
  <c r="H19" i="38"/>
  <c r="L19" i="38" s="1"/>
  <c r="N19" i="38" s="1"/>
  <c r="H127" i="37"/>
  <c r="H132" i="37" s="1"/>
  <c r="L132" i="37" s="1"/>
  <c r="H157" i="37"/>
  <c r="L157" i="37" s="1"/>
  <c r="N157" i="37" s="1"/>
  <c r="L123" i="13"/>
  <c r="H127" i="13"/>
  <c r="H132" i="13" s="1"/>
  <c r="L132" i="13" s="1"/>
  <c r="L123" i="37"/>
  <c r="H134" i="13"/>
  <c r="L134" i="13" s="1"/>
  <c r="L148" i="37"/>
  <c r="N148" i="37" s="1"/>
  <c r="B302" i="6"/>
  <c r="H302" i="6" s="1"/>
  <c r="I302" i="6" s="1"/>
  <c r="L33" i="36"/>
  <c r="B301" i="6"/>
  <c r="H301" i="6" s="1"/>
  <c r="I301" i="6" s="1"/>
  <c r="H39" i="13"/>
  <c r="L39" i="13" s="1"/>
  <c r="H124" i="37"/>
  <c r="L124" i="37" s="1"/>
  <c r="H131" i="37"/>
  <c r="L131" i="37" s="1"/>
  <c r="H109" i="38"/>
  <c r="L109" i="38" s="1"/>
  <c r="N109" i="38" s="1"/>
  <c r="L104" i="38"/>
  <c r="M45" i="37"/>
  <c r="N47" i="37" s="1"/>
  <c r="H33" i="38"/>
  <c r="L31" i="38"/>
  <c r="V27" i="35"/>
  <c r="H79" i="13"/>
  <c r="L77" i="13"/>
  <c r="L10" i="37"/>
  <c r="N10" i="37" s="1"/>
  <c r="H12" i="37"/>
  <c r="L12" i="37" s="1"/>
  <c r="L81" i="36"/>
  <c r="H86" i="36"/>
  <c r="L86" i="36" s="1"/>
  <c r="N86" i="36" s="1"/>
  <c r="L44" i="38"/>
  <c r="L47" i="38"/>
  <c r="H109" i="35"/>
  <c r="L109" i="35" s="1"/>
  <c r="N109" i="35" s="1"/>
  <c r="L104" i="35"/>
  <c r="L32" i="38"/>
  <c r="H34" i="38"/>
  <c r="L34" i="38" s="1"/>
  <c r="U142" i="36"/>
  <c r="L160" i="36"/>
  <c r="Q148" i="36" s="1"/>
  <c r="Q149" i="36" s="1"/>
  <c r="Q150" i="36" s="1"/>
  <c r="Q151" i="36" s="1"/>
  <c r="Q155" i="36" s="1"/>
  <c r="H80" i="13"/>
  <c r="L80" i="13" s="1"/>
  <c r="L78" i="13"/>
  <c r="L150" i="37"/>
  <c r="H155" i="37"/>
  <c r="L155" i="37" s="1"/>
  <c r="N155" i="37" s="1"/>
  <c r="L93" i="13"/>
  <c r="L90" i="13"/>
  <c r="N58" i="35"/>
  <c r="M68" i="35"/>
  <c r="H80" i="35"/>
  <c r="L80" i="35" s="1"/>
  <c r="L78" i="35"/>
  <c r="H79" i="38"/>
  <c r="L77" i="38"/>
  <c r="L90" i="35"/>
  <c r="L93" i="35"/>
  <c r="N104" i="37"/>
  <c r="M114" i="37"/>
  <c r="L30" i="36"/>
  <c r="H39" i="36"/>
  <c r="L39" i="36" s="1"/>
  <c r="H32" i="36"/>
  <c r="L76" i="38"/>
  <c r="H78" i="38"/>
  <c r="H85" i="38"/>
  <c r="L85" i="38" s="1"/>
  <c r="L12" i="35"/>
  <c r="H17" i="35"/>
  <c r="L17" i="35" s="1"/>
  <c r="N17" i="35" s="1"/>
  <c r="H132" i="38"/>
  <c r="L132" i="38" s="1"/>
  <c r="N132" i="38" s="1"/>
  <c r="L127" i="38"/>
  <c r="L104" i="36"/>
  <c r="H109" i="36"/>
  <c r="L109" i="36" s="1"/>
  <c r="N109" i="36" s="1"/>
  <c r="L122" i="13"/>
  <c r="H124" i="13"/>
  <c r="H131" i="13"/>
  <c r="L131" i="13" s="1"/>
  <c r="H108" i="13"/>
  <c r="L108" i="13" s="1"/>
  <c r="H101" i="13"/>
  <c r="L99" i="13"/>
  <c r="H154" i="13"/>
  <c r="L154" i="13" s="1"/>
  <c r="H147" i="13"/>
  <c r="L145" i="13"/>
  <c r="L139" i="37"/>
  <c r="L136" i="37"/>
  <c r="L44" i="13"/>
  <c r="L47" i="13"/>
  <c r="L70" i="36"/>
  <c r="N53" i="36" s="1"/>
  <c r="L67" i="36"/>
  <c r="L162" i="35"/>
  <c r="N145" i="35" s="1"/>
  <c r="L159" i="35"/>
  <c r="H109" i="13"/>
  <c r="L109" i="13" s="1"/>
  <c r="L104" i="13"/>
  <c r="L55" i="13"/>
  <c r="H57" i="13"/>
  <c r="L57" i="13" s="1"/>
  <c r="L67" i="13"/>
  <c r="L70" i="13"/>
  <c r="N53" i="13" s="1"/>
  <c r="H126" i="35"/>
  <c r="L126" i="35" s="1"/>
  <c r="L124" i="35"/>
  <c r="L70" i="38"/>
  <c r="N62" i="38" s="1"/>
  <c r="L67" i="38"/>
  <c r="H127" i="35"/>
  <c r="H134" i="35"/>
  <c r="L134" i="35" s="1"/>
  <c r="L125" i="35"/>
  <c r="L56" i="13"/>
  <c r="H65" i="13"/>
  <c r="L65" i="13" s="1"/>
  <c r="H58" i="13"/>
  <c r="I300" i="6"/>
  <c r="L150" i="35"/>
  <c r="H155" i="35"/>
  <c r="L155" i="35" s="1"/>
  <c r="H126" i="36"/>
  <c r="L126" i="36" s="1"/>
  <c r="L124" i="36"/>
  <c r="L136" i="35"/>
  <c r="L139" i="35"/>
  <c r="N122" i="35" s="1"/>
  <c r="U27" i="35"/>
  <c r="L45" i="35"/>
  <c r="L139" i="36"/>
  <c r="N122" i="36" s="1"/>
  <c r="L136" i="36"/>
  <c r="H127" i="36"/>
  <c r="L125" i="36"/>
  <c r="H134" i="36"/>
  <c r="L134" i="36" s="1"/>
  <c r="L150" i="13"/>
  <c r="H155" i="13"/>
  <c r="L155" i="13" s="1"/>
  <c r="H35" i="13"/>
  <c r="H42" i="13"/>
  <c r="L42" i="13" s="1"/>
  <c r="L33" i="13"/>
  <c r="U73" i="37"/>
  <c r="L91" i="37"/>
  <c r="L58" i="36"/>
  <c r="H63" i="36"/>
  <c r="L63" i="36" s="1"/>
  <c r="H149" i="35"/>
  <c r="L149" i="35" s="1"/>
  <c r="L147" i="35"/>
  <c r="L12" i="38"/>
  <c r="H17" i="38"/>
  <c r="L17" i="38" s="1"/>
  <c r="N17" i="38" s="1"/>
  <c r="L55" i="38"/>
  <c r="H57" i="38"/>
  <c r="L57" i="38" s="1"/>
  <c r="L35" i="36"/>
  <c r="H40" i="36"/>
  <c r="L40" i="36" s="1"/>
  <c r="N58" i="37"/>
  <c r="M68" i="37"/>
  <c r="H57" i="36"/>
  <c r="L57" i="36" s="1"/>
  <c r="L55" i="36"/>
  <c r="Q152" i="36"/>
  <c r="N134" i="37" l="1"/>
  <c r="L127" i="37"/>
  <c r="N127" i="37" s="1"/>
  <c r="N162" i="38"/>
  <c r="U142" i="38" s="1"/>
  <c r="H86" i="35"/>
  <c r="L86" i="35" s="1"/>
  <c r="N86" i="35" s="1"/>
  <c r="N88" i="35"/>
  <c r="L32" i="13"/>
  <c r="N32" i="13" s="1"/>
  <c r="N63" i="36"/>
  <c r="N39" i="13"/>
  <c r="N55" i="36"/>
  <c r="H126" i="37"/>
  <c r="L126" i="37" s="1"/>
  <c r="N126" i="37" s="1"/>
  <c r="N57" i="36"/>
  <c r="N58" i="36"/>
  <c r="V27" i="37"/>
  <c r="L127" i="13"/>
  <c r="N31" i="13"/>
  <c r="H304" i="6"/>
  <c r="H305" i="6" s="1"/>
  <c r="I305" i="6" s="1"/>
  <c r="N57" i="38"/>
  <c r="N154" i="35"/>
  <c r="H17" i="37"/>
  <c r="L17" i="37" s="1"/>
  <c r="N17" i="37" s="1"/>
  <c r="N33" i="13"/>
  <c r="N42" i="13"/>
  <c r="N104" i="38"/>
  <c r="M114" i="38"/>
  <c r="H42" i="38"/>
  <c r="L42" i="38" s="1"/>
  <c r="N42" i="38" s="1"/>
  <c r="H35" i="38"/>
  <c r="L33" i="38"/>
  <c r="N33" i="38" s="1"/>
  <c r="N131" i="37"/>
  <c r="N124" i="37"/>
  <c r="N149" i="35"/>
  <c r="N53" i="38"/>
  <c r="N81" i="36"/>
  <c r="M91" i="36"/>
  <c r="N34" i="38"/>
  <c r="N32" i="38"/>
  <c r="N55" i="38"/>
  <c r="H88" i="13"/>
  <c r="L88" i="13" s="1"/>
  <c r="N88" i="13" s="1"/>
  <c r="H81" i="13"/>
  <c r="L79" i="13"/>
  <c r="N79" i="13" s="1"/>
  <c r="N125" i="37"/>
  <c r="N132" i="37"/>
  <c r="Q154" i="36"/>
  <c r="Q156" i="36" s="1"/>
  <c r="Q153" i="36" s="1"/>
  <c r="M114" i="35"/>
  <c r="N104" i="35"/>
  <c r="N62" i="36"/>
  <c r="N56" i="36"/>
  <c r="N65" i="36"/>
  <c r="N43" i="38"/>
  <c r="N31" i="38"/>
  <c r="N39" i="38"/>
  <c r="N41" i="38"/>
  <c r="N36" i="38"/>
  <c r="N30" i="38"/>
  <c r="N38" i="38"/>
  <c r="N29" i="38"/>
  <c r="K47" i="38" s="1"/>
  <c r="N37" i="38"/>
  <c r="N70" i="35"/>
  <c r="V50" i="35"/>
  <c r="N147" i="35"/>
  <c r="N85" i="13"/>
  <c r="N75" i="13"/>
  <c r="K93" i="13" s="1"/>
  <c r="N89" i="13"/>
  <c r="N76" i="13"/>
  <c r="N87" i="13"/>
  <c r="N84" i="13"/>
  <c r="N77" i="13"/>
  <c r="N82" i="13"/>
  <c r="N83" i="13"/>
  <c r="N155" i="35"/>
  <c r="N54" i="13"/>
  <c r="N150" i="37"/>
  <c r="M160" i="37"/>
  <c r="N78" i="13"/>
  <c r="N80" i="13"/>
  <c r="L90" i="38"/>
  <c r="L93" i="38"/>
  <c r="N76" i="38" s="1"/>
  <c r="L113" i="13"/>
  <c r="M114" i="13" s="1"/>
  <c r="N116" i="13" s="1"/>
  <c r="L116" i="13"/>
  <c r="N104" i="13" s="1"/>
  <c r="N12" i="35"/>
  <c r="M22" i="35"/>
  <c r="H34" i="36"/>
  <c r="L34" i="36" s="1"/>
  <c r="L32" i="36"/>
  <c r="N87" i="35"/>
  <c r="N83" i="35"/>
  <c r="N82" i="35"/>
  <c r="N89" i="35"/>
  <c r="N77" i="35"/>
  <c r="N84" i="35"/>
  <c r="N85" i="35"/>
  <c r="N75" i="35"/>
  <c r="K93" i="35" s="1"/>
  <c r="N76" i="35"/>
  <c r="H103" i="13"/>
  <c r="L103" i="13" s="1"/>
  <c r="L101" i="13"/>
  <c r="N104" i="36"/>
  <c r="M114" i="36"/>
  <c r="N55" i="13"/>
  <c r="N12" i="37"/>
  <c r="M22" i="37"/>
  <c r="L47" i="36"/>
  <c r="N30" i="36" s="1"/>
  <c r="L44" i="36"/>
  <c r="M45" i="36" s="1"/>
  <c r="N116" i="37"/>
  <c r="V96" i="37"/>
  <c r="H81" i="38"/>
  <c r="H88" i="38"/>
  <c r="L88" i="38" s="1"/>
  <c r="L79" i="38"/>
  <c r="L162" i="13"/>
  <c r="N154" i="13" s="1"/>
  <c r="L159" i="13"/>
  <c r="M160" i="13" s="1"/>
  <c r="L124" i="13"/>
  <c r="H126" i="13"/>
  <c r="L126" i="13" s="1"/>
  <c r="N78" i="35"/>
  <c r="N65" i="13"/>
  <c r="L147" i="13"/>
  <c r="H149" i="13"/>
  <c r="L149" i="13" s="1"/>
  <c r="L136" i="13"/>
  <c r="L139" i="13"/>
  <c r="N122" i="13" s="1"/>
  <c r="M137" i="38"/>
  <c r="N127" i="38"/>
  <c r="N79" i="35"/>
  <c r="N80" i="35"/>
  <c r="N56" i="13"/>
  <c r="H80" i="38"/>
  <c r="L80" i="38" s="1"/>
  <c r="L78" i="38"/>
  <c r="M137" i="37"/>
  <c r="N135" i="35"/>
  <c r="N121" i="35"/>
  <c r="K139" i="35" s="1"/>
  <c r="N130" i="35"/>
  <c r="N133" i="35"/>
  <c r="N128" i="35"/>
  <c r="N129" i="35"/>
  <c r="N124" i="35"/>
  <c r="N148" i="35"/>
  <c r="N133" i="37"/>
  <c r="N130" i="37"/>
  <c r="N121" i="37"/>
  <c r="K139" i="37" s="1"/>
  <c r="N129" i="37"/>
  <c r="N128" i="37"/>
  <c r="N135" i="37"/>
  <c r="N123" i="37"/>
  <c r="L35" i="13"/>
  <c r="N35" i="13" s="1"/>
  <c r="H40" i="13"/>
  <c r="L40" i="13" s="1"/>
  <c r="N40" i="13" s="1"/>
  <c r="N135" i="36"/>
  <c r="N121" i="36"/>
  <c r="K139" i="36" s="1"/>
  <c r="N129" i="36"/>
  <c r="N130" i="36"/>
  <c r="N133" i="36"/>
  <c r="N128" i="36"/>
  <c r="N125" i="35"/>
  <c r="N126" i="35"/>
  <c r="M160" i="35"/>
  <c r="N29" i="13"/>
  <c r="K47" i="13" s="1"/>
  <c r="N43" i="13"/>
  <c r="N41" i="13"/>
  <c r="N38" i="13"/>
  <c r="N36" i="13"/>
  <c r="N37" i="13"/>
  <c r="N12" i="38"/>
  <c r="M22" i="38"/>
  <c r="Q79" i="37"/>
  <c r="Q80" i="37" s="1"/>
  <c r="Q81" i="37" s="1"/>
  <c r="Q82" i="37" s="1"/>
  <c r="N123" i="36"/>
  <c r="Q33" i="35"/>
  <c r="Q34" i="35" s="1"/>
  <c r="Q35" i="35" s="1"/>
  <c r="Q36" i="35" s="1"/>
  <c r="N134" i="35"/>
  <c r="N131" i="36"/>
  <c r="N153" i="35"/>
  <c r="N144" i="35"/>
  <c r="K162" i="35" s="1"/>
  <c r="N152" i="35"/>
  <c r="N156" i="35"/>
  <c r="N158" i="35"/>
  <c r="N151" i="35"/>
  <c r="N146" i="35"/>
  <c r="N30" i="13"/>
  <c r="N81" i="35"/>
  <c r="M91" i="35"/>
  <c r="N134" i="36"/>
  <c r="N124" i="36"/>
  <c r="L127" i="35"/>
  <c r="N127" i="35" s="1"/>
  <c r="H132" i="35"/>
  <c r="L132" i="35" s="1"/>
  <c r="N132" i="35" s="1"/>
  <c r="N34" i="13"/>
  <c r="N125" i="36"/>
  <c r="N126" i="36"/>
  <c r="N52" i="13"/>
  <c r="K70" i="13" s="1"/>
  <c r="N66" i="13"/>
  <c r="N59" i="13"/>
  <c r="N64" i="13"/>
  <c r="N60" i="13"/>
  <c r="N61" i="13"/>
  <c r="M68" i="36"/>
  <c r="L127" i="36"/>
  <c r="N127" i="36" s="1"/>
  <c r="H132" i="36"/>
  <c r="L132" i="36" s="1"/>
  <c r="N132" i="36" s="1"/>
  <c r="M68" i="38"/>
  <c r="N131" i="35"/>
  <c r="N66" i="36"/>
  <c r="N52" i="36"/>
  <c r="K70" i="36" s="1"/>
  <c r="N64" i="36"/>
  <c r="N61" i="36"/>
  <c r="N60" i="36"/>
  <c r="N54" i="36"/>
  <c r="N59" i="36"/>
  <c r="N70" i="37"/>
  <c r="V50" i="37"/>
  <c r="L45" i="37"/>
  <c r="U27" i="37"/>
  <c r="N123" i="35"/>
  <c r="N150" i="35"/>
  <c r="H63" i="13"/>
  <c r="L63" i="13" s="1"/>
  <c r="N63" i="13" s="1"/>
  <c r="L58" i="13"/>
  <c r="N58" i="13" s="1"/>
  <c r="N54" i="38"/>
  <c r="N58" i="38"/>
  <c r="N52" i="38"/>
  <c r="K70" i="38" s="1"/>
  <c r="N61" i="38"/>
  <c r="N64" i="38"/>
  <c r="N65" i="38"/>
  <c r="N66" i="38"/>
  <c r="N56" i="38"/>
  <c r="N63" i="38"/>
  <c r="N60" i="38"/>
  <c r="N59" i="38"/>
  <c r="N157" i="35"/>
  <c r="N57" i="13"/>
  <c r="N62" i="13"/>
  <c r="N122" i="37"/>
  <c r="Q37" i="35"/>
  <c r="Q83" i="37"/>
  <c r="L160" i="38" l="1"/>
  <c r="Q148" i="38" s="1"/>
  <c r="Q149" i="38" s="1"/>
  <c r="Q150" i="38" s="1"/>
  <c r="Q151" i="38" s="1"/>
  <c r="Q157" i="36"/>
  <c r="W142" i="36" s="1"/>
  <c r="B146" i="26" s="1"/>
  <c r="N103" i="13"/>
  <c r="N101" i="13"/>
  <c r="M137" i="13"/>
  <c r="V119" i="13" s="1"/>
  <c r="I304" i="6"/>
  <c r="A307" i="6"/>
  <c r="N150" i="13"/>
  <c r="V96" i="13"/>
  <c r="M45" i="13"/>
  <c r="N47" i="13" s="1"/>
  <c r="V96" i="38"/>
  <c r="N116" i="38"/>
  <c r="H40" i="38"/>
  <c r="L40" i="38" s="1"/>
  <c r="N40" i="38" s="1"/>
  <c r="L35" i="38"/>
  <c r="N127" i="13"/>
  <c r="N35" i="36"/>
  <c r="H86" i="13"/>
  <c r="L86" i="13" s="1"/>
  <c r="N86" i="13" s="1"/>
  <c r="L81" i="13"/>
  <c r="N147" i="13"/>
  <c r="N132" i="13"/>
  <c r="N93" i="36"/>
  <c r="V73" i="36"/>
  <c r="N79" i="38"/>
  <c r="N85" i="38"/>
  <c r="N88" i="38"/>
  <c r="N78" i="38"/>
  <c r="N80" i="38"/>
  <c r="N145" i="13"/>
  <c r="N131" i="13"/>
  <c r="N155" i="13"/>
  <c r="N77" i="38"/>
  <c r="N149" i="13"/>
  <c r="N116" i="35"/>
  <c r="V96" i="35"/>
  <c r="N126" i="13"/>
  <c r="N40" i="36"/>
  <c r="V142" i="37"/>
  <c r="N162" i="37"/>
  <c r="L68" i="35"/>
  <c r="Q56" i="35" s="1"/>
  <c r="Q57" i="35" s="1"/>
  <c r="Q58" i="35" s="1"/>
  <c r="Q59" i="35" s="1"/>
  <c r="U50" i="35"/>
  <c r="N24" i="35"/>
  <c r="V4" i="35"/>
  <c r="V96" i="36"/>
  <c r="N116" i="36"/>
  <c r="N156" i="13"/>
  <c r="N151" i="13"/>
  <c r="N144" i="13"/>
  <c r="K162" i="13" s="1"/>
  <c r="N153" i="13"/>
  <c r="N158" i="13"/>
  <c r="N152" i="13"/>
  <c r="N146" i="13"/>
  <c r="N157" i="13"/>
  <c r="N148" i="13"/>
  <c r="N108" i="13"/>
  <c r="N112" i="13"/>
  <c r="N111" i="13"/>
  <c r="N110" i="13"/>
  <c r="N105" i="13"/>
  <c r="N102" i="13"/>
  <c r="N106" i="13"/>
  <c r="N107" i="13"/>
  <c r="N100" i="13"/>
  <c r="N99" i="13"/>
  <c r="N98" i="13"/>
  <c r="K116" i="13" s="1"/>
  <c r="N39" i="36"/>
  <c r="N36" i="36"/>
  <c r="N41" i="36"/>
  <c r="N31" i="36"/>
  <c r="N37" i="36"/>
  <c r="N38" i="36"/>
  <c r="N43" i="36"/>
  <c r="N29" i="36"/>
  <c r="K47" i="36" s="1"/>
  <c r="N33" i="36"/>
  <c r="N42" i="36"/>
  <c r="N139" i="38"/>
  <c r="V119" i="38"/>
  <c r="L81" i="38"/>
  <c r="N81" i="38" s="1"/>
  <c r="H86" i="38"/>
  <c r="L86" i="38" s="1"/>
  <c r="N86" i="38" s="1"/>
  <c r="N24" i="37"/>
  <c r="V4" i="37"/>
  <c r="N82" i="38"/>
  <c r="N89" i="38"/>
  <c r="N84" i="38"/>
  <c r="N83" i="38"/>
  <c r="N87" i="38"/>
  <c r="N75" i="38"/>
  <c r="K93" i="38" s="1"/>
  <c r="N32" i="36"/>
  <c r="N121" i="13"/>
  <c r="K139" i="13" s="1"/>
  <c r="N133" i="13"/>
  <c r="N123" i="13"/>
  <c r="N130" i="13"/>
  <c r="N135" i="13"/>
  <c r="N129" i="13"/>
  <c r="N125" i="13"/>
  <c r="N128" i="13"/>
  <c r="N134" i="13"/>
  <c r="N124" i="13"/>
  <c r="L114" i="37"/>
  <c r="Q102" i="37" s="1"/>
  <c r="Q103" i="37" s="1"/>
  <c r="Q104" i="37" s="1"/>
  <c r="Q105" i="37" s="1"/>
  <c r="U96" i="37"/>
  <c r="N34" i="36"/>
  <c r="N109" i="13"/>
  <c r="Q39" i="35"/>
  <c r="Q85" i="37"/>
  <c r="Q40" i="35"/>
  <c r="Q86" i="37"/>
  <c r="V50" i="38"/>
  <c r="N70" i="38"/>
  <c r="N47" i="36"/>
  <c r="V27" i="36"/>
  <c r="N162" i="35"/>
  <c r="V142" i="35"/>
  <c r="N70" i="36"/>
  <c r="V50" i="36"/>
  <c r="U50" i="37"/>
  <c r="L68" i="37"/>
  <c r="N139" i="37"/>
  <c r="V119" i="37"/>
  <c r="N93" i="35"/>
  <c r="V73" i="35"/>
  <c r="N162" i="13"/>
  <c r="V142" i="13"/>
  <c r="M137" i="35"/>
  <c r="M68" i="13"/>
  <c r="Q33" i="37"/>
  <c r="Q34" i="37" s="1"/>
  <c r="Q35" i="37" s="1"/>
  <c r="Q36" i="37" s="1"/>
  <c r="U96" i="13"/>
  <c r="L114" i="13"/>
  <c r="N24" i="38"/>
  <c r="V4" i="38"/>
  <c r="M137" i="36"/>
  <c r="Q106" i="37"/>
  <c r="Q37" i="37"/>
  <c r="Q152" i="38"/>
  <c r="Q60" i="35"/>
  <c r="L161" i="36" l="1"/>
  <c r="T142" i="36" s="1"/>
  <c r="N139" i="13"/>
  <c r="L137" i="13" s="1"/>
  <c r="V27" i="13"/>
  <c r="B311" i="6"/>
  <c r="AA35" i="16" s="1"/>
  <c r="A35" i="16" s="1"/>
  <c r="W35" i="16" s="1"/>
  <c r="B308" i="6"/>
  <c r="AA29" i="16" s="1"/>
  <c r="A29" i="16" s="1"/>
  <c r="B312" i="6"/>
  <c r="AA37" i="16" s="1"/>
  <c r="A37" i="16" s="1"/>
  <c r="W37" i="16" s="1"/>
  <c r="B309" i="6"/>
  <c r="AA31" i="16" s="1"/>
  <c r="A31" i="16" s="1"/>
  <c r="B313" i="6"/>
  <c r="AA39" i="16" s="1"/>
  <c r="A39" i="16" s="1"/>
  <c r="W39" i="16" s="1"/>
  <c r="B310" i="6"/>
  <c r="AA33" i="16" s="1"/>
  <c r="A33" i="16" s="1"/>
  <c r="L114" i="38"/>
  <c r="Q102" i="38" s="1"/>
  <c r="Q103" i="38" s="1"/>
  <c r="Q104" i="38" s="1"/>
  <c r="Q105" i="38" s="1"/>
  <c r="Q109" i="38" s="1"/>
  <c r="U96" i="38"/>
  <c r="M45" i="38"/>
  <c r="N35" i="38"/>
  <c r="Q41" i="35"/>
  <c r="Q38" i="35" s="1"/>
  <c r="L91" i="36"/>
  <c r="Q79" i="36" s="1"/>
  <c r="Q80" i="36" s="1"/>
  <c r="Q81" i="36" s="1"/>
  <c r="Q82" i="36" s="1"/>
  <c r="U73" i="36"/>
  <c r="M91" i="38"/>
  <c r="N93" i="38" s="1"/>
  <c r="M91" i="13"/>
  <c r="N81" i="13"/>
  <c r="U96" i="35"/>
  <c r="L114" i="35"/>
  <c r="Q102" i="35" s="1"/>
  <c r="Q103" i="35" s="1"/>
  <c r="Q104" i="35" s="1"/>
  <c r="Q105" i="35" s="1"/>
  <c r="Q87" i="37"/>
  <c r="Q84" i="37" s="1"/>
  <c r="Q108" i="37"/>
  <c r="Q62" i="35"/>
  <c r="Q109" i="37"/>
  <c r="Q63" i="35"/>
  <c r="U142" i="37"/>
  <c r="L160" i="37"/>
  <c r="Q148" i="37" s="1"/>
  <c r="Q149" i="37" s="1"/>
  <c r="Q150" i="37" s="1"/>
  <c r="Q151" i="37" s="1"/>
  <c r="L22" i="37"/>
  <c r="U4" i="37"/>
  <c r="L114" i="36"/>
  <c r="U96" i="36"/>
  <c r="U119" i="38"/>
  <c r="L137" i="38"/>
  <c r="Q42" i="35"/>
  <c r="W27" i="35" s="1"/>
  <c r="B41" i="25" s="1"/>
  <c r="L22" i="35"/>
  <c r="Q10" i="35" s="1"/>
  <c r="Q11" i="35" s="1"/>
  <c r="Q12" i="35" s="1"/>
  <c r="Q13" i="35" s="1"/>
  <c r="U4" i="35"/>
  <c r="Q39" i="37"/>
  <c r="Q154" i="38"/>
  <c r="Q40" i="37"/>
  <c r="Q155" i="38"/>
  <c r="L22" i="38"/>
  <c r="U4" i="38"/>
  <c r="N70" i="13"/>
  <c r="V50" i="13"/>
  <c r="U142" i="35"/>
  <c r="L160" i="35"/>
  <c r="Q56" i="37"/>
  <c r="Q57" i="37" s="1"/>
  <c r="Q58" i="37" s="1"/>
  <c r="Q59" i="37" s="1"/>
  <c r="N139" i="35"/>
  <c r="V119" i="35"/>
  <c r="U119" i="37"/>
  <c r="L137" i="37"/>
  <c r="U27" i="36"/>
  <c r="L45" i="36"/>
  <c r="Q102" i="13"/>
  <c r="Q103" i="13" s="1"/>
  <c r="Q104" i="13" s="1"/>
  <c r="Q105" i="13" s="1"/>
  <c r="U142" i="13"/>
  <c r="L160" i="13"/>
  <c r="U50" i="38"/>
  <c r="L68" i="38"/>
  <c r="Q88" i="37"/>
  <c r="W73" i="37" s="1"/>
  <c r="B83" i="27" s="1"/>
  <c r="N139" i="36"/>
  <c r="V119" i="36"/>
  <c r="U27" i="13"/>
  <c r="L45" i="13"/>
  <c r="U50" i="36"/>
  <c r="L68" i="36"/>
  <c r="U73" i="35"/>
  <c r="L91" i="35"/>
  <c r="Q106" i="13"/>
  <c r="Q14" i="35"/>
  <c r="Q60" i="37"/>
  <c r="Q152" i="37"/>
  <c r="Q106" i="38"/>
  <c r="Q106" i="35"/>
  <c r="Q83" i="36"/>
  <c r="U119" i="13" l="1"/>
  <c r="W38" i="16"/>
  <c r="W67" i="16" s="1"/>
  <c r="W66" i="16"/>
  <c r="W68" i="16"/>
  <c r="W40" i="16"/>
  <c r="W69" i="16" s="1"/>
  <c r="W36" i="16"/>
  <c r="W65" i="16" s="1"/>
  <c r="W64" i="16"/>
  <c r="V73" i="38"/>
  <c r="Q110" i="37"/>
  <c r="Q107" i="37" s="1"/>
  <c r="Q108" i="38"/>
  <c r="Q110" i="38" s="1"/>
  <c r="Q107" i="38" s="1"/>
  <c r="N47" i="38"/>
  <c r="V27" i="38"/>
  <c r="Q64" i="35"/>
  <c r="Q61" i="35" s="1"/>
  <c r="Q85" i="36"/>
  <c r="V73" i="13"/>
  <c r="N93" i="13"/>
  <c r="Q86" i="36"/>
  <c r="Q108" i="35"/>
  <c r="Q109" i="35"/>
  <c r="Q111" i="37"/>
  <c r="W96" i="37" s="1"/>
  <c r="B104" i="27" s="1"/>
  <c r="Q154" i="37"/>
  <c r="Q16" i="35"/>
  <c r="Q155" i="37"/>
  <c r="Q17" i="35"/>
  <c r="Q65" i="35"/>
  <c r="W50" i="35" s="1"/>
  <c r="B62" i="25" s="1"/>
  <c r="Q156" i="38"/>
  <c r="Q153" i="38" s="1"/>
  <c r="Q102" i="36"/>
  <c r="Q103" i="36" s="1"/>
  <c r="Q104" i="36" s="1"/>
  <c r="Q105" i="36" s="1"/>
  <c r="Q10" i="37"/>
  <c r="Q11" i="37" s="1"/>
  <c r="Q12" i="37" s="1"/>
  <c r="Q13" i="37" s="1"/>
  <c r="Q41" i="37"/>
  <c r="Q38" i="37" s="1"/>
  <c r="Q125" i="38"/>
  <c r="Q126" i="38" s="1"/>
  <c r="Q127" i="38" s="1"/>
  <c r="Q128" i="38" s="1"/>
  <c r="U73" i="38"/>
  <c r="L91" i="38"/>
  <c r="Q79" i="38" s="1"/>
  <c r="Q80" i="38" s="1"/>
  <c r="Q81" i="38" s="1"/>
  <c r="Q82" i="38" s="1"/>
  <c r="L92" i="37"/>
  <c r="T73" i="37" s="1"/>
  <c r="L46" i="35"/>
  <c r="T27" i="35" s="1"/>
  <c r="Q62" i="37"/>
  <c r="Q108" i="13"/>
  <c r="Q63" i="37"/>
  <c r="U119" i="36"/>
  <c r="L137" i="36"/>
  <c r="Q125" i="37"/>
  <c r="Q126" i="37" s="1"/>
  <c r="Q127" i="37" s="1"/>
  <c r="Q128" i="37" s="1"/>
  <c r="Q10" i="38"/>
  <c r="Q11" i="38" s="1"/>
  <c r="Q12" i="38" s="1"/>
  <c r="Q13" i="38" s="1"/>
  <c r="Q109" i="13"/>
  <c r="Q148" i="35"/>
  <c r="Q149" i="35" s="1"/>
  <c r="Q150" i="35" s="1"/>
  <c r="Q151" i="35" s="1"/>
  <c r="Q56" i="36"/>
  <c r="Q57" i="36" s="1"/>
  <c r="Q58" i="36" s="1"/>
  <c r="Q59" i="36" s="1"/>
  <c r="U119" i="35"/>
  <c r="L137" i="35"/>
  <c r="Q125" i="13"/>
  <c r="Q126" i="13" s="1"/>
  <c r="Q127" i="13" s="1"/>
  <c r="Q128" i="13" s="1"/>
  <c r="Q33" i="13"/>
  <c r="Q34" i="13" s="1"/>
  <c r="Q35" i="13" s="1"/>
  <c r="Q36" i="13" s="1"/>
  <c r="Q56" i="38"/>
  <c r="Q57" i="38" s="1"/>
  <c r="Q58" i="38" s="1"/>
  <c r="Q59" i="38" s="1"/>
  <c r="Q33" i="36"/>
  <c r="Q34" i="36" s="1"/>
  <c r="Q35" i="36" s="1"/>
  <c r="Q36" i="36" s="1"/>
  <c r="Q157" i="38"/>
  <c r="W142" i="38" s="1"/>
  <c r="B146" i="28" s="1"/>
  <c r="Q79" i="35"/>
  <c r="Q80" i="35" s="1"/>
  <c r="Q81" i="35" s="1"/>
  <c r="Q82" i="35" s="1"/>
  <c r="Q148" i="13"/>
  <c r="Q149" i="13" s="1"/>
  <c r="Q150" i="13" s="1"/>
  <c r="Q151" i="13" s="1"/>
  <c r="U50" i="13"/>
  <c r="L68" i="13"/>
  <c r="Q42" i="37"/>
  <c r="W27" i="37" s="1"/>
  <c r="B41" i="27" s="1"/>
  <c r="Q152" i="13"/>
  <c r="Q14" i="38"/>
  <c r="Q129" i="13"/>
  <c r="Q60" i="38"/>
  <c r="Q152" i="35"/>
  <c r="Q37" i="13"/>
  <c r="Q83" i="38"/>
  <c r="Q129" i="37"/>
  <c r="Q83" i="35"/>
  <c r="Q37" i="36"/>
  <c r="Q129" i="38"/>
  <c r="Q60" i="36"/>
  <c r="Q106" i="36"/>
  <c r="Q14" i="37"/>
  <c r="Q111" i="38" l="1"/>
  <c r="W96" i="38" s="1"/>
  <c r="B104" i="28" s="1"/>
  <c r="Q18" i="35"/>
  <c r="Q15" i="35" s="1"/>
  <c r="Q156" i="37"/>
  <c r="Q153" i="37" s="1"/>
  <c r="U27" i="38"/>
  <c r="L45" i="38"/>
  <c r="Q33" i="38" s="1"/>
  <c r="Q34" i="38" s="1"/>
  <c r="Q35" i="38" s="1"/>
  <c r="Q36" i="38" s="1"/>
  <c r="Q87" i="36"/>
  <c r="Q84" i="36" s="1"/>
  <c r="U73" i="13"/>
  <c r="L91" i="13"/>
  <c r="Q79" i="13" s="1"/>
  <c r="Q80" i="13" s="1"/>
  <c r="Q81" i="13" s="1"/>
  <c r="Q82" i="13" s="1"/>
  <c r="Q88" i="36"/>
  <c r="Q111" i="35"/>
  <c r="W96" i="35" s="1"/>
  <c r="B104" i="25" s="1"/>
  <c r="Q19" i="35"/>
  <c r="W4" i="35" s="1"/>
  <c r="B20" i="25" s="1"/>
  <c r="L115" i="37"/>
  <c r="T96" i="37" s="1"/>
  <c r="Q110" i="35"/>
  <c r="Q107" i="35" s="1"/>
  <c r="Q131" i="38"/>
  <c r="Q16" i="37"/>
  <c r="Q85" i="38"/>
  <c r="Q108" i="36"/>
  <c r="Q132" i="38"/>
  <c r="L69" i="35"/>
  <c r="T50" i="35" s="1"/>
  <c r="Q17" i="37"/>
  <c r="Q86" i="38"/>
  <c r="Q109" i="36"/>
  <c r="Q157" i="37"/>
  <c r="Q110" i="13"/>
  <c r="Q107" i="13" s="1"/>
  <c r="Q64" i="37"/>
  <c r="Q61" i="37" s="1"/>
  <c r="Q154" i="13"/>
  <c r="Q62" i="36"/>
  <c r="Q62" i="38"/>
  <c r="Q85" i="35"/>
  <c r="Q39" i="13"/>
  <c r="Q131" i="37"/>
  <c r="Q39" i="36"/>
  <c r="Q154" i="35"/>
  <c r="Q16" i="38"/>
  <c r="Q131" i="13"/>
  <c r="Q155" i="13"/>
  <c r="Q63" i="36"/>
  <c r="Q63" i="38"/>
  <c r="Q86" i="35"/>
  <c r="Q40" i="13"/>
  <c r="Q132" i="37"/>
  <c r="Q40" i="36"/>
  <c r="Q125" i="35"/>
  <c r="Q126" i="35" s="1"/>
  <c r="Q127" i="35" s="1"/>
  <c r="Q128" i="35" s="1"/>
  <c r="Q155" i="35"/>
  <c r="Q125" i="36"/>
  <c r="Q126" i="36" s="1"/>
  <c r="Q127" i="36" s="1"/>
  <c r="Q128" i="36" s="1"/>
  <c r="L46" i="37"/>
  <c r="T27" i="37" s="1"/>
  <c r="Q17" i="38"/>
  <c r="Q111" i="13"/>
  <c r="W96" i="13" s="1"/>
  <c r="B104" i="14" s="1"/>
  <c r="Q132" i="13"/>
  <c r="Q56" i="13"/>
  <c r="Q57" i="13" s="1"/>
  <c r="Q58" i="13" s="1"/>
  <c r="Q59" i="13" s="1"/>
  <c r="L161" i="38"/>
  <c r="T142" i="38" s="1"/>
  <c r="Q65" i="37"/>
  <c r="W50" i="37" s="1"/>
  <c r="B62" i="27" s="1"/>
  <c r="Q83" i="13"/>
  <c r="Q60" i="13"/>
  <c r="Q37" i="38"/>
  <c r="Q129" i="35"/>
  <c r="Q129" i="36"/>
  <c r="L115" i="38" l="1"/>
  <c r="T96" i="38" s="1"/>
  <c r="L23" i="35"/>
  <c r="T4" i="35" s="1"/>
  <c r="Q39" i="38"/>
  <c r="Q40" i="38"/>
  <c r="L115" i="35"/>
  <c r="T96" i="35" s="1"/>
  <c r="Q18" i="37"/>
  <c r="Q15" i="37" s="1"/>
  <c r="Q19" i="37"/>
  <c r="W4" i="37" s="1"/>
  <c r="B20" i="27" s="1"/>
  <c r="Q133" i="13"/>
  <c r="Q130" i="13" s="1"/>
  <c r="Q85" i="13"/>
  <c r="Q18" i="38"/>
  <c r="Q15" i="38" s="1"/>
  <c r="Q41" i="13"/>
  <c r="Q38" i="13" s="1"/>
  <c r="W73" i="36"/>
  <c r="B83" i="26" s="1"/>
  <c r="L92" i="36"/>
  <c r="T73" i="36" s="1"/>
  <c r="Q133" i="38"/>
  <c r="Q130" i="38" s="1"/>
  <c r="Q87" i="38"/>
  <c r="Q84" i="38" s="1"/>
  <c r="Q86" i="13"/>
  <c r="Q156" i="13"/>
  <c r="Q153" i="13" s="1"/>
  <c r="Q110" i="36"/>
  <c r="Q107" i="36" s="1"/>
  <c r="Q87" i="35"/>
  <c r="Q84" i="35" s="1"/>
  <c r="Q88" i="38"/>
  <c r="W73" i="38" s="1"/>
  <c r="B83" i="28" s="1"/>
  <c r="Q111" i="36"/>
  <c r="W96" i="36" s="1"/>
  <c r="B104" i="26" s="1"/>
  <c r="Q42" i="36"/>
  <c r="W27" i="36" s="1"/>
  <c r="B41" i="26" s="1"/>
  <c r="W142" i="37"/>
  <c r="B146" i="27" s="1"/>
  <c r="L161" i="37"/>
  <c r="T142" i="37" s="1"/>
  <c r="Q64" i="36"/>
  <c r="Q61" i="36" s="1"/>
  <c r="Q134" i="38"/>
  <c r="W119" i="38" s="1"/>
  <c r="B125" i="28" s="1"/>
  <c r="Q64" i="38"/>
  <c r="Q61" i="38" s="1"/>
  <c r="L69" i="37"/>
  <c r="T50" i="37" s="1"/>
  <c r="Q133" i="37"/>
  <c r="Q130" i="37" s="1"/>
  <c r="Q157" i="35"/>
  <c r="W142" i="35" s="1"/>
  <c r="B146" i="25" s="1"/>
  <c r="Q62" i="13"/>
  <c r="Q131" i="36"/>
  <c r="Q131" i="35"/>
  <c r="Q63" i="13"/>
  <c r="Q132" i="36"/>
  <c r="Q134" i="37"/>
  <c r="W119" i="37" s="1"/>
  <c r="B125" i="27" s="1"/>
  <c r="Q156" i="35"/>
  <c r="Q153" i="35" s="1"/>
  <c r="Q42" i="13"/>
  <c r="W27" i="13" s="1"/>
  <c r="B41" i="14" s="1"/>
  <c r="L115" i="13"/>
  <c r="T96" i="13" s="1"/>
  <c r="Q88" i="35"/>
  <c r="W73" i="35" s="1"/>
  <c r="B83" i="25" s="1"/>
  <c r="Q132" i="35"/>
  <c r="Q65" i="38"/>
  <c r="W50" i="38" s="1"/>
  <c r="B62" i="28" s="1"/>
  <c r="Q134" i="13"/>
  <c r="W119" i="13" s="1"/>
  <c r="B125" i="14" s="1"/>
  <c r="Q65" i="36"/>
  <c r="W50" i="36" s="1"/>
  <c r="B62" i="26" s="1"/>
  <c r="Q41" i="36"/>
  <c r="Q38" i="36" s="1"/>
  <c r="Q19" i="38"/>
  <c r="W4" i="38" s="1"/>
  <c r="B20" i="28" s="1"/>
  <c r="Q157" i="13"/>
  <c r="W142" i="13" s="1"/>
  <c r="B146" i="14" s="1"/>
  <c r="L46" i="36" l="1"/>
  <c r="T27" i="36" s="1"/>
  <c r="L92" i="38"/>
  <c r="T73" i="38" s="1"/>
  <c r="Q42" i="38"/>
  <c r="W27" i="38" s="1"/>
  <c r="B41" i="28" s="1"/>
  <c r="Q41" i="38"/>
  <c r="Q38" i="38" s="1"/>
  <c r="L23" i="37"/>
  <c r="T4" i="37" s="1"/>
  <c r="Q87" i="13"/>
  <c r="Q84" i="13" s="1"/>
  <c r="L161" i="35"/>
  <c r="T142" i="35" s="1"/>
  <c r="L115" i="36"/>
  <c r="T96" i="36" s="1"/>
  <c r="Q88" i="13"/>
  <c r="W73" i="13" s="1"/>
  <c r="B83" i="14" s="1"/>
  <c r="L138" i="38"/>
  <c r="T119" i="38" s="1"/>
  <c r="Q133" i="36"/>
  <c r="Q130" i="36" s="1"/>
  <c r="Q133" i="35"/>
  <c r="Q130" i="35" s="1"/>
  <c r="L92" i="35"/>
  <c r="T73" i="35" s="1"/>
  <c r="L69" i="36"/>
  <c r="T50" i="36" s="1"/>
  <c r="Q64" i="13"/>
  <c r="Q61" i="13" s="1"/>
  <c r="L23" i="38"/>
  <c r="T4" i="38" s="1"/>
  <c r="L138" i="13"/>
  <c r="T119" i="13" s="1"/>
  <c r="L138" i="37"/>
  <c r="T119" i="37" s="1"/>
  <c r="L161" i="13"/>
  <c r="T142" i="13" s="1"/>
  <c r="L69" i="38"/>
  <c r="T50" i="38" s="1"/>
  <c r="Q134" i="35"/>
  <c r="W119" i="35" s="1"/>
  <c r="B125" i="25" s="1"/>
  <c r="Q134" i="36"/>
  <c r="W119" i="36" s="1"/>
  <c r="B125" i="26" s="1"/>
  <c r="L46" i="13"/>
  <c r="T27" i="13" s="1"/>
  <c r="Q65" i="13"/>
  <c r="W50" i="13" s="1"/>
  <c r="B62" i="14" s="1"/>
  <c r="L46" i="38" l="1"/>
  <c r="T27" i="38" s="1"/>
  <c r="L92" i="13"/>
  <c r="T73" i="13" s="1"/>
  <c r="L69" i="13"/>
  <c r="T50" i="13" s="1"/>
  <c r="L138" i="36"/>
  <c r="T119" i="36" s="1"/>
  <c r="L138" i="35"/>
  <c r="T119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133C6207-FA86-4348-9109-B426B14E66B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14AF8F35-B70E-4778-9E94-3B8F666576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68501DDC-EB49-4809-B7D9-EE958755FDF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26BE5E2D-CE79-4AAC-8558-ECD354A6D04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5D91B8AD-65C8-4B0B-A285-018B0097263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C237C1B0-C03E-40B2-B21B-BC4A08F7A5E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4A8CE17-F038-408E-A132-CB6A0068489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D19EF544-78D9-4660-818F-12AE57EC35E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E599B400-31D6-4BD5-9E23-3A6A03230E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27BD72F2-2FDC-4A55-869A-47F1C1D9A2A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CE4246B0-9310-481D-B1F2-6B4B5E8A91A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DA060303-22FB-4A15-B9D9-CCAFF57D7DC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1E59FCC0-20C5-40EA-8119-5F73866FCE4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6CAE79C4-5EC1-4139-81CC-2D776DFE868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CA1D6A1-D258-4F86-9715-F369D07CBA9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EE360D49-CA78-4DCD-A1AF-149B4C7D6F1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B3C5288F-5D24-46D0-A4BC-123CA48F7C3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DC206151-66B0-4D3A-AB54-03370178E04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2DB91590-E1A7-41B4-AA75-C93144516D4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37B47A54-0440-4F75-BA39-30CD584FEB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B5BB33FC-62D1-42BF-88F3-2F455973572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47BB06EB-C0EE-44DB-AAFE-3A9B7EC48C6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7AD87F42-3FBF-4CD0-8FDE-2F37E358C28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A946623C-2639-476C-B216-342190F10A0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E3597361-A268-47FD-BBC0-E572824122E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83258ACB-3798-4439-9073-93A4483E1C5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A7E3037-540B-4FB5-8802-94536688D05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7104509C-2C58-4F2C-BF8C-C781A1FE463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55887C3A-4ABA-4EA2-A181-B4E78DE6A15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463E5B4F-546D-4041-A1AB-3CBF4C90DBF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973E646-B226-4EA5-AB7D-F4C4AC5B2D1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50CCA703-0F85-4002-808A-DA2B3D176CD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D767F730-2F80-40B7-95C7-15C1CF35C39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5F1DE821-D01B-4603-8BB8-0FF989758E8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90E6F9A3-CBBF-4EE2-BBCD-C6717F93F45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3EAE4CBB-3065-4023-9B51-0ECE48539DB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E4320426-1012-45FB-8163-AE4C8D8789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4DCB9315-A253-4196-9E7A-A8F7DCDAE6F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090387C6-C040-40F1-9C78-298D911ED42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66E643ED-EA72-402C-976B-C3BFF457B70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AAC24110-0347-4AE6-8444-950517EDA46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554FEFD-3445-4EDC-B3CA-395C49C153D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FB12E400-49B8-4F08-8850-0B552363B8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CF454979-6512-4FDB-9F31-C8055F5C75E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91DC99FA-3BB1-4EC0-A281-99A8126EEF8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18353BAD-5D8C-46F0-B954-33D016B9DF9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BF6782A-FE03-433C-A015-44E49A5844B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C4318558-7E34-43A2-89AE-92858C928B4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1D0465C1-2742-44B1-AA7C-3A2F9C2D766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654F028A-1CE4-4BA3-B477-2D24682FE9F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2475777F-03B6-4AE7-AD0D-82D231CD58F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2FE23E01-473A-4818-B48F-AF6C9B1A6D5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82CB9E22-E13F-4A04-A233-F7179B55FDE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2AE24E88-2B71-49A7-92B0-9BE1BAB129E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4DDA754B-13DA-400C-BF7D-2DDB2FAA04D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39C29D2F-E3B9-4949-93F5-BA9757A73EA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03F7567-F745-4CD3-A67D-806EBD3381B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F81096EE-1AB4-488D-97EA-3E127E8F6B0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FE22ED71-84D9-49CB-8B8C-BC4B3B1EC9F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618248F8-3C60-4893-BBE0-E0991F301BC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F69BBA56-F6CE-43AC-85AD-D0C0215871D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1DE7EC6D-54F2-4C77-BF6D-2C00EDB07C8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7731B1D8-D06D-48AE-9872-98F4DDCF362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512946A3-6915-478D-90A3-83E24EF96DB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D12C7B57-0943-4928-9816-D9566C7626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0069B4D8-361C-4937-B518-9F64BCAF16C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4BBE7DC7-8DAE-40AA-A3C6-A6B2D792C3A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54CEDBE6-E9D5-4955-A584-C8C301F83AE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A1D90D30-3A05-4FD3-A768-158BE604608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BB1C3999-EB91-4E62-859B-5BA2EE9CDD7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8C0EDEC-3696-492F-B17D-791B0B72B2D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4FE47572-163E-49BA-98BC-92D414AFE85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2F6FD610-5305-4E66-B7D5-B40696D7C69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E1DB1544-4443-4CC0-9190-31D89646379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73575F7-6555-4D6E-8BD8-450D7D80461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6AC7B19B-F437-4BFC-909F-2155ED702B1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A35D9F9-3B25-4774-BBC8-F4CE019DE6B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D95F2D46-5584-4AD2-8C62-2D2FEC0F5AD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27E2867A-0E10-4D6C-9A6A-B0EB50C43FF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EEAC7633-DEF1-44BF-A377-868B936E72C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8B0C2F8B-9227-4AC1-905D-AB1EC294EF7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CD594766-80F2-4314-BDA7-38F6A218B84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47DF2A19-0F25-4005-9EDC-5E8EE494BF1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2C53D50C-6145-46A6-AE91-8BCE1DD4F4F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B4D5DA91-A120-4682-A893-AB9925CA75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69B0E95C-AA98-415F-B6F3-F01934E38C2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2375678-6BDE-4CA5-8F84-868FB0872F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777B1C13-5118-492C-82CD-8B80C2AAE5A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1E3920D6-A85B-46F5-A455-A373D36462E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D371D2B0-6970-4969-BC82-4D178ED3759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7A6142C8-B572-4FCC-BCDE-D58F21F7E85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ACA6A6F5-5A6C-4651-9AD1-A80A3A3E22F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1340AB4E-C38A-496D-A1BF-A7B12F2DA5F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AE3AD116-6A8E-4BE1-8203-92710F6E961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311B3EA2-92B5-4663-BB3C-DEDF88A295B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2B2A378-00CD-4371-8EFA-311F53A221A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0B9F264-D786-466E-A912-387D992FA96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48287B6-5620-46C8-B387-C7EFC68ED1C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625220B6-11FE-4F21-9EAF-331D2FD0EEB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D476F96E-FF1B-4B5D-BD69-31282AF9654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122C873-3300-4295-B066-206337F6B75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D32A6EE7-8605-4544-A01C-619C06A6D2E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5A8365F4-ADE5-4DFE-AA22-C9CAB7F8902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A559BF25-4159-4B8D-8705-D5DF6C7F886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2A25E72-45B1-408A-9C4A-5F4509BCF52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7F5B355D-A433-4D60-AA12-76EF8107ED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A3699AAA-DD89-4894-BFF9-86830131FB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7453E291-C51F-4365-A1D3-6A3C5669E1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0446A997-4E2D-4B67-BC32-5674B6090E1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79229E2-566F-4A59-8BF6-E8D0E9A237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940DC641-E90C-44EB-B9BC-7DF1A644BAD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DCBD5AB-DFBB-43FA-B120-116488C6D08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4E2EAD5-0B8C-4741-BDF5-3B8D8DEC73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3556807B-1811-441E-9DF9-B51786EAFE8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A56ED38B-7C09-4C90-9074-3FB29B83545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68818CE6-E533-435D-ACFD-34BD5D0F17E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269858B-6F74-488F-BB93-17738901BCD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35CC87B7-5A7E-4668-A785-9F30DF74583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2B7CF6F9-D105-4CA6-A469-C8333A31C9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9EC46AFA-215B-4FD4-9CFB-44AFB3863FF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0B507925-7060-48F0-8269-2F41DE7B3B3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44ED47B0-0261-4F09-9E49-4C62DA094C5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7AF4CC97-ACF3-43A8-B9E3-D52AE8BAEEE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CFAF601-943A-4EED-8A86-2F1EEA1592C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8C5F3347-307D-4597-A53C-EAD4E4D9F3F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B33675A2-9B41-4361-8DEF-E9B4A8CF478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AEAB9FF-306D-4B2B-AD16-0077F8651C2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F8EF2F1A-DC52-445C-8060-7FA5386C220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3E0706D7-CD19-446E-8D48-D57152E1B44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A619B8C5-98DB-4781-A198-F9DEAD2B211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049E6C96-DD06-439D-AC5B-0AA4DC755B6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610D95E6-45A3-4A97-98DE-C5784F12F41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34C51150-E4B0-4352-A1F2-72B5452C18A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753ED5D1-1ECC-4B33-9919-4AF1836B02B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1A68B911-E9A8-4153-8F6A-4F0D23E7994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DB0408F9-9D85-4158-AE9C-10AB91E9949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2184E994-AEEB-4597-8AC3-968FA9B6904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9A0D79F7-C77F-4B05-8EDF-7FE32503261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777459CC-1411-4677-85A2-BE102D28ECF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2E091033-CDA8-4142-A552-9C3DA3CF9A0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20595436-7056-455A-A0EC-AF741E769A6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D6C02AA0-F2C7-4630-9531-62725CBD749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6BE6B569-3171-4113-A254-1E89373020C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94D05757-B88B-4593-B38F-6729A5A203C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2399B8D3-2CF7-4BB9-A9B0-6D16EAF0049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E5879BFF-EB3D-43BF-AA66-4C633EB38A2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F043741-F3BE-42EC-9902-72BFD332D45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C642F329-4187-4AA8-94DF-EA9A7AC5753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0C1BFBC4-5854-461E-8E95-9EA373AA49E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EDD18F0C-F27B-4B8A-B6A7-F02AFC7216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DC34D5E9-6493-488F-B64A-E35BB976A8E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B96079C6-BEB0-4E91-AF88-0568AC69D09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F8170CD4-C621-44AE-A774-3C829FD5636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A3DB6431-FC57-4BFB-ADA6-45C858743E1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A22C058-51CB-4376-9C5A-CE20E56C4FB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B177D4F3-1194-4BD2-9324-752F620F7B9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BC8C88E3-52C5-44BA-B2DA-CA894F40D15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79B94B17-A5AC-473D-A5E6-65D38F6D3EE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30AC2506-1EEE-4B60-A5AA-6478EFBDC2E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9D5ADFFA-33F8-46F5-BF4C-0A24566C332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C935F4FD-6CD3-4594-9824-58618FE70D3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26D7CB32-0D2E-414C-986D-D67463AEE55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D101B2C3-FDBE-433A-A3E4-20F51D6DA75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5D29100D-557A-42D1-B7BF-B5471A13096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CFF6288A-2052-417B-B6AB-3B3C45E30CE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3C72AD57-7ABE-451F-841C-68F104BF386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BC53ECA-DDC6-4BA7-AF70-3D25397C50A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3A6A8010-412F-4866-9C4D-ADE3CFBA5FB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Cordeiro</author>
  </authors>
  <commentList>
    <comment ref="B26" authorId="0" shapeId="0" xr:uid="{D90911CC-157E-4CCE-8576-1CA303750CDD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26" authorId="0" shapeId="0" xr:uid="{48AF38F3-1112-4180-B271-94D6262D20A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28" authorId="0" shapeId="0" xr:uid="{459C33E2-38CE-464A-9B32-FC6A76ECDA05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28" authorId="0" shapeId="0" xr:uid="{6F4EE82F-B072-4CB3-B067-166E2A9BC4A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30" authorId="0" shapeId="0" xr:uid="{746A7B63-424A-496D-A767-966FE6AB34B3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30" authorId="0" shapeId="0" xr:uid="{AC4F5C3D-08DF-44E8-ADD8-DA34020C74D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61" authorId="0" shapeId="0" xr:uid="{DC9FB9D4-37E3-4905-BDC4-59C0DF97DFB0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61" authorId="0" shapeId="0" xr:uid="{60E7B829-ECF8-4E6B-B362-F4F3FE6C3DA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63" authorId="0" shapeId="0" xr:uid="{54EF8709-447C-4040-858A-0EBB5466F048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63" authorId="0" shapeId="0" xr:uid="{E534E0C8-16BC-4BD1-99BE-DA6A8A1A22DF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76" authorId="0" shapeId="0" xr:uid="{C5E23CF8-EA0F-4B90-9267-C54DA86D19BB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D76" authorId="0" shapeId="0" xr:uid="{12426E77-CF25-4EA2-A8B8-2E5792AA33C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O76" authorId="0" shapeId="0" xr:uid="{A0F2418A-3189-49C3-99D2-C28D44AC3EF1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Q76" authorId="0" shapeId="0" xr:uid="{DAD3EEE7-4CB0-48F7-B346-E5CEBE9EC93D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Cordeiro</author>
  </authors>
  <commentList>
    <comment ref="B26" authorId="0" shapeId="0" xr:uid="{5713664A-7A71-4AA5-B545-B8EE3D1D343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26" authorId="0" shapeId="0" xr:uid="{0CBE0A4A-635D-4C70-8466-CF8C6C9AA7CA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28" authorId="0" shapeId="0" xr:uid="{52835A8D-6BEB-47EC-8543-0D4C52A07972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Bureta</t>
        </r>
      </text>
    </comment>
    <comment ref="H28" authorId="0" shapeId="0" xr:uid="{65BFA265-9002-4BF4-9733-8F973547E4A9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Bureta</t>
        </r>
      </text>
    </comment>
    <comment ref="B30" authorId="0" shapeId="0" xr:uid="{0590C2CE-31D1-4CD0-ACED-200E303B003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30" authorId="0" shapeId="0" xr:uid="{CC37AF56-CD29-476D-B717-4600CB7DF8AF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59" authorId="0" shapeId="0" xr:uid="{54CA02DE-DB7F-462A-97A9-F681F2ED103C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59" authorId="0" shapeId="0" xr:uid="{588508D0-B45D-4BCE-86B8-C68A3827D57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61" authorId="0" shapeId="0" xr:uid="{038DD3C4-17FC-4F5A-94E7-B84C0DEB5D94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61" authorId="0" shapeId="0" xr:uid="{A767B726-F735-4E19-915B-276EFD8B5F3B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63" authorId="0" shapeId="0" xr:uid="{0EFB665F-87DB-4547-8B43-0D401ABF869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63" authorId="0" shapeId="0" xr:uid="{728C5C0E-335D-411E-B39F-B4C1C4D534DA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76" authorId="0" shapeId="0" xr:uid="{BFDBF15B-A660-4D74-BCE6-8492BB588F88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D76" authorId="0" shapeId="0" xr:uid="{B2944AC2-8C7E-4423-B81D-B99D585F8E14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O76" authorId="0" shapeId="0" xr:uid="{6C4F7A2D-16CD-4993-BA68-9D61E4E738E2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Q76" authorId="0" shapeId="0" xr:uid="{E8AB6726-7B57-48DB-992B-BB718E0B3A4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</commentList>
</comments>
</file>

<file path=xl/sharedStrings.xml><?xml version="1.0" encoding="utf-8"?>
<sst xmlns="http://schemas.openxmlformats.org/spreadsheetml/2006/main" count="21655" uniqueCount="690">
  <si>
    <t>Tipo da Calibração :</t>
  </si>
  <si>
    <t>N° do certificado :</t>
  </si>
  <si>
    <t>E</t>
  </si>
  <si>
    <t>Instalações do contratante</t>
  </si>
  <si>
    <t>N° do orçamento :</t>
  </si>
  <si>
    <t>Instalações do interessado</t>
  </si>
  <si>
    <t>Contratante :</t>
  </si>
  <si>
    <t>Rastreado Interno</t>
  </si>
  <si>
    <t>Endereço :</t>
  </si>
  <si>
    <t>Rastreado Externo</t>
  </si>
  <si>
    <t>Interessado :</t>
  </si>
  <si>
    <t>O mesmo</t>
  </si>
  <si>
    <t>Acidímetro Graduado</t>
  </si>
  <si>
    <t>Balão Volumétrico</t>
  </si>
  <si>
    <t>Bomba Dosadora</t>
  </si>
  <si>
    <t>Bureta Digital</t>
  </si>
  <si>
    <t>Bureta Graduada</t>
  </si>
  <si>
    <t>Cone Inhoff</t>
  </si>
  <si>
    <t>Copo Bécker</t>
  </si>
  <si>
    <t>Dispensador Graduado</t>
  </si>
  <si>
    <t>Erlenmeyer</t>
  </si>
  <si>
    <t>Micropipeta de Volume Fixo</t>
  </si>
  <si>
    <t>Micropipeta de Volume Variável</t>
  </si>
  <si>
    <t>Micropipeta Multicanal</t>
  </si>
  <si>
    <t>Picnômetro Gay-Lussac</t>
  </si>
  <si>
    <t>Pipeta Automática</t>
  </si>
  <si>
    <t>Pipeta de Volume Variável</t>
  </si>
  <si>
    <t>Pipeta Digital</t>
  </si>
  <si>
    <t>Pipeta Graduada</t>
  </si>
  <si>
    <t>Pipeta Volumétrica</t>
  </si>
  <si>
    <t>Proveta Graduada</t>
  </si>
  <si>
    <t>Repipetador Automático</t>
  </si>
  <si>
    <t>Titulador Karl Fischer</t>
  </si>
  <si>
    <t>Tubo Decantador</t>
  </si>
  <si>
    <t>Instrumento :</t>
  </si>
  <si>
    <t>Escopo :</t>
  </si>
  <si>
    <t>Serviço</t>
  </si>
  <si>
    <t>Min. (ml)</t>
  </si>
  <si>
    <t>Max. (ml)</t>
  </si>
  <si>
    <t>CMC</t>
  </si>
  <si>
    <t>Unid.</t>
  </si>
  <si>
    <t>2467.1</t>
  </si>
  <si>
    <t>%</t>
  </si>
  <si>
    <t>Dispensadores</t>
  </si>
  <si>
    <t>2467.2</t>
  </si>
  <si>
    <t>Microvolume</t>
  </si>
  <si>
    <t>2467.3</t>
  </si>
  <si>
    <t>Picnômetro</t>
  </si>
  <si>
    <t>2466.1</t>
  </si>
  <si>
    <t>µL</t>
  </si>
  <si>
    <t>Seringa</t>
  </si>
  <si>
    <t>2466.2</t>
  </si>
  <si>
    <t>Titulador</t>
  </si>
  <si>
    <t>2466.3</t>
  </si>
  <si>
    <t>-</t>
  </si>
  <si>
    <t>Vidraria de Laboratório</t>
  </si>
  <si>
    <t>2277.1</t>
  </si>
  <si>
    <t>2277.2</t>
  </si>
  <si>
    <t>2277.3</t>
  </si>
  <si>
    <t>2330.1</t>
  </si>
  <si>
    <t>Valor</t>
  </si>
  <si>
    <t>2330.2</t>
  </si>
  <si>
    <t>2330.3</t>
  </si>
  <si>
    <t>2331.1</t>
  </si>
  <si>
    <t>2331.2</t>
  </si>
  <si>
    <t>2331.3</t>
  </si>
  <si>
    <t>2307.1</t>
  </si>
  <si>
    <t>2307.2</t>
  </si>
  <si>
    <t>2307.3</t>
  </si>
  <si>
    <t>*</t>
  </si>
  <si>
    <t>Adicionado ao espoco uma tolerância de ± 2% no minimo e maximo.</t>
  </si>
  <si>
    <t>Fabricante :</t>
  </si>
  <si>
    <t>Modelo :</t>
  </si>
  <si>
    <t>Identificação :</t>
  </si>
  <si>
    <t>Número de série :</t>
  </si>
  <si>
    <t>Tipo de indicação :</t>
  </si>
  <si>
    <t>Analógica</t>
  </si>
  <si>
    <t>Digital</t>
  </si>
  <si>
    <t>Menor divisão :</t>
  </si>
  <si>
    <t>L</t>
  </si>
  <si>
    <t>ml</t>
  </si>
  <si>
    <t>litro</t>
  </si>
  <si>
    <t>mililitro</t>
  </si>
  <si>
    <t>microlitro</t>
  </si>
  <si>
    <t>centilitro</t>
  </si>
  <si>
    <t>decilitro</t>
  </si>
  <si>
    <t>cL</t>
  </si>
  <si>
    <t>dL</t>
  </si>
  <si>
    <t>mL</t>
  </si>
  <si>
    <t>dm³</t>
  </si>
  <si>
    <t>cm³</t>
  </si>
  <si>
    <t>mm³</t>
  </si>
  <si>
    <t>decimetro cúbico</t>
  </si>
  <si>
    <t>centimetro cúbico</t>
  </si>
  <si>
    <t>milimetro cúbico</t>
  </si>
  <si>
    <t>Método :</t>
  </si>
  <si>
    <t>Material :</t>
  </si>
  <si>
    <t>Normal</t>
  </si>
  <si>
    <t>Reverso</t>
  </si>
  <si>
    <t>Com Sopro</t>
  </si>
  <si>
    <t>Sem Sopro</t>
  </si>
  <si>
    <t>MATERIAL</t>
  </si>
  <si>
    <t>ALFA</t>
  </si>
  <si>
    <t>INCERTEZA</t>
  </si>
  <si>
    <t>Aço</t>
  </si>
  <si>
    <t>Aço inoxidável</t>
  </si>
  <si>
    <t>Borosilicato (A)</t>
  </si>
  <si>
    <t>Borosilicato (B)</t>
  </si>
  <si>
    <t>Bronze</t>
  </si>
  <si>
    <t>Cobre</t>
  </si>
  <si>
    <t>Policarbonato</t>
  </si>
  <si>
    <t>Poliestireno</t>
  </si>
  <si>
    <t>Polipropileno</t>
  </si>
  <si>
    <t>Soda</t>
  </si>
  <si>
    <t>Sódio Cálcio</t>
  </si>
  <si>
    <t>Vidro Desconhecido</t>
  </si>
  <si>
    <t>Plastico Desconhecido</t>
  </si>
  <si>
    <t>Metal Desconhecido</t>
  </si>
  <si>
    <t>Data da Calibração :</t>
  </si>
  <si>
    <t>Data da Emissão :</t>
  </si>
  <si>
    <t>Prox. Calibração :</t>
  </si>
  <si>
    <t>Técnico :</t>
  </si>
  <si>
    <t>Condições ambientais durante a calibração</t>
  </si>
  <si>
    <t>Padrão de temperatura :</t>
  </si>
  <si>
    <t>Padrão de umidade :</t>
  </si>
  <si>
    <t>Padrão pressão atm. :</t>
  </si>
  <si>
    <t>°C</t>
  </si>
  <si>
    <t>%UR</t>
  </si>
  <si>
    <t>hPa</t>
  </si>
  <si>
    <t>Temperatura</t>
  </si>
  <si>
    <t>Umidade</t>
  </si>
  <si>
    <t>Pressão atm.</t>
  </si>
  <si>
    <t>Media</t>
  </si>
  <si>
    <t>Variação</t>
  </si>
  <si>
    <t>Resolução</t>
  </si>
  <si>
    <t>Deriva</t>
  </si>
  <si>
    <t>Maior incerteza</t>
  </si>
  <si>
    <t>Maior erro</t>
  </si>
  <si>
    <t>Observações gerais :</t>
  </si>
  <si>
    <t>Planilha de controle dos padrões</t>
  </si>
  <si>
    <t>Padrão para medição da temperatura ambiente</t>
  </si>
  <si>
    <t>Polinômio da Curva</t>
  </si>
  <si>
    <t>1º Ponto</t>
  </si>
  <si>
    <t>2º Ponto</t>
  </si>
  <si>
    <t>3º Ponto</t>
  </si>
  <si>
    <t>4º Ponto</t>
  </si>
  <si>
    <t>5º Ponto</t>
  </si>
  <si>
    <t>6º Ponto</t>
  </si>
  <si>
    <t>7º Ponto</t>
  </si>
  <si>
    <t>8º Ponto</t>
  </si>
  <si>
    <t>9º Ponto</t>
  </si>
  <si>
    <t>10º Ponto</t>
  </si>
  <si>
    <t>TAG</t>
  </si>
  <si>
    <t>Padrão</t>
  </si>
  <si>
    <t>Calibrado por</t>
  </si>
  <si>
    <t>Rastreabilidade</t>
  </si>
  <si>
    <t>n° do certificado</t>
  </si>
  <si>
    <t>Data da Calibração</t>
  </si>
  <si>
    <t>Vencimento</t>
  </si>
  <si>
    <t>Unidade calibrada</t>
  </si>
  <si>
    <t>Tipo de medição</t>
  </si>
  <si>
    <t>Tipo do sensor</t>
  </si>
  <si>
    <t>Faixa mínima</t>
  </si>
  <si>
    <t>Faixa máxima</t>
  </si>
  <si>
    <t>Maior desvio</t>
  </si>
  <si>
    <t>Maior Incerteza</t>
  </si>
  <si>
    <t>Residuo</t>
  </si>
  <si>
    <t>Veff</t>
  </si>
  <si>
    <t>X8</t>
  </si>
  <si>
    <t>X7</t>
  </si>
  <si>
    <t>X6</t>
  </si>
  <si>
    <t>X5</t>
  </si>
  <si>
    <t>X4</t>
  </si>
  <si>
    <t>X3</t>
  </si>
  <si>
    <t>X2</t>
  </si>
  <si>
    <t>X1</t>
  </si>
  <si>
    <t>X0</t>
  </si>
  <si>
    <t>1-VR</t>
  </si>
  <si>
    <t>1-U</t>
  </si>
  <si>
    <t>1-K</t>
  </si>
  <si>
    <t>1-GL</t>
  </si>
  <si>
    <t>2-VR</t>
  </si>
  <si>
    <t>2-U</t>
  </si>
  <si>
    <t>2-K</t>
  </si>
  <si>
    <t>2-GL</t>
  </si>
  <si>
    <t>3-VR</t>
  </si>
  <si>
    <t>3-U</t>
  </si>
  <si>
    <t>3-K</t>
  </si>
  <si>
    <t>3-GL</t>
  </si>
  <si>
    <t>4-VR</t>
  </si>
  <si>
    <t>4-U</t>
  </si>
  <si>
    <t>4-K</t>
  </si>
  <si>
    <t>4-GL</t>
  </si>
  <si>
    <t>5-VR</t>
  </si>
  <si>
    <t>5-U</t>
  </si>
  <si>
    <t>5-K</t>
  </si>
  <si>
    <t>5-GL</t>
  </si>
  <si>
    <t>6-VR</t>
  </si>
  <si>
    <t>6-U</t>
  </si>
  <si>
    <t>6-K</t>
  </si>
  <si>
    <t>6-GL</t>
  </si>
  <si>
    <t>7-VR</t>
  </si>
  <si>
    <t>7-U</t>
  </si>
  <si>
    <t>7-K</t>
  </si>
  <si>
    <t>7-GL</t>
  </si>
  <si>
    <t>8-VR</t>
  </si>
  <si>
    <t>8-U</t>
  </si>
  <si>
    <t>8-K</t>
  </si>
  <si>
    <t>8-GL</t>
  </si>
  <si>
    <t>9-VR</t>
  </si>
  <si>
    <t>9-U</t>
  </si>
  <si>
    <t>9-K</t>
  </si>
  <si>
    <t>9-GL</t>
  </si>
  <si>
    <t>10-VR</t>
  </si>
  <si>
    <t>10-U</t>
  </si>
  <si>
    <t>10-K</t>
  </si>
  <si>
    <t>10-GL</t>
  </si>
  <si>
    <t>Condição</t>
  </si>
  <si>
    <t>Seleção - Temp. Amb.</t>
  </si>
  <si>
    <t>Padrão para medição de umidade ambiente</t>
  </si>
  <si>
    <t>Temperatura da umidade</t>
  </si>
  <si>
    <t>Seleção - Umidade</t>
  </si>
  <si>
    <t>Barômetro padrão para medição da pressão barométrica</t>
  </si>
  <si>
    <t>11º Ponto</t>
  </si>
  <si>
    <t>12º Ponto</t>
  </si>
  <si>
    <t>13º Ponto</t>
  </si>
  <si>
    <t>14º Ponto</t>
  </si>
  <si>
    <t>15º Ponto</t>
  </si>
  <si>
    <t>Maior desvio (µs/s)</t>
  </si>
  <si>
    <t>Maior Incerteza (s)</t>
  </si>
  <si>
    <t>Deriva (µs/s)</t>
  </si>
  <si>
    <t>11-VR</t>
  </si>
  <si>
    <t>11-U</t>
  </si>
  <si>
    <t>11-K</t>
  </si>
  <si>
    <t>11-GL</t>
  </si>
  <si>
    <t>12-VR</t>
  </si>
  <si>
    <t>12-U</t>
  </si>
  <si>
    <t>12-K</t>
  </si>
  <si>
    <t>12-GL</t>
  </si>
  <si>
    <t>13-VR</t>
  </si>
  <si>
    <t>13-U</t>
  </si>
  <si>
    <t>13-K</t>
  </si>
  <si>
    <t>13-GL</t>
  </si>
  <si>
    <t>14-VR</t>
  </si>
  <si>
    <t>14-U</t>
  </si>
  <si>
    <t>14-K</t>
  </si>
  <si>
    <t>14-GL</t>
  </si>
  <si>
    <t>15-VR</t>
  </si>
  <si>
    <t>15-U</t>
  </si>
  <si>
    <t>15-K</t>
  </si>
  <si>
    <t>15-GL</t>
  </si>
  <si>
    <t>Seleção - Pressão Atm</t>
  </si>
  <si>
    <t>Termômetros padrão para medição da temperatura da água</t>
  </si>
  <si>
    <t>Seleção - Temp. água</t>
  </si>
  <si>
    <t>Balança para método gravimétrico</t>
  </si>
  <si>
    <t>Maior desvio Exc.(%)</t>
  </si>
  <si>
    <t>Seleção - Balança</t>
  </si>
  <si>
    <t>Tipo</t>
  </si>
  <si>
    <t>Unidade</t>
  </si>
  <si>
    <t>Temperatura inicial :</t>
  </si>
  <si>
    <t>Temperatura final :</t>
  </si>
  <si>
    <t>Umidade inicial :</t>
  </si>
  <si>
    <t>Umidade final :</t>
  </si>
  <si>
    <t>Pressão atm. inicial :</t>
  </si>
  <si>
    <t>Pressão atm. final :</t>
  </si>
  <si>
    <t>Identificação do Canal/Seringa :</t>
  </si>
  <si>
    <t>Observação :</t>
  </si>
  <si>
    <t>Valor nominal :</t>
  </si>
  <si>
    <t>Termômetro :</t>
  </si>
  <si>
    <t>Balança utilizada :</t>
  </si>
  <si>
    <t>µg</t>
  </si>
  <si>
    <t>mg</t>
  </si>
  <si>
    <t>g</t>
  </si>
  <si>
    <t>kg</t>
  </si>
  <si>
    <t>Massa Aparente</t>
  </si>
  <si>
    <t>micrograma</t>
  </si>
  <si>
    <t>miligrama</t>
  </si>
  <si>
    <t>grama</t>
  </si>
  <si>
    <t>kilograma</t>
  </si>
  <si>
    <t>Volume</t>
  </si>
  <si>
    <t>Densidade</t>
  </si>
  <si>
    <t>g/cm³ - g/ml</t>
  </si>
  <si>
    <t>a0</t>
  </si>
  <si>
    <t>a1</t>
  </si>
  <si>
    <t>a2</t>
  </si>
  <si>
    <t>a3</t>
  </si>
  <si>
    <t>a4</t>
  </si>
  <si>
    <t>a5</t>
  </si>
  <si>
    <t>PTB</t>
  </si>
  <si>
    <t>Temperatura corrigida (°C)</t>
  </si>
  <si>
    <t>Padrão da temperatura da água</t>
  </si>
  <si>
    <t>NC - Pad.</t>
  </si>
  <si>
    <t>U95</t>
  </si>
  <si>
    <t>k</t>
  </si>
  <si>
    <t>i</t>
  </si>
  <si>
    <t>Padrão balança</t>
  </si>
  <si>
    <t>unidade de m.</t>
  </si>
  <si>
    <t>PLANILHA PARA AVALIAÇÃO DE INCERTEZA DE MEDIÇÃO</t>
  </si>
  <si>
    <t>Massa Específica do Ar (Par)</t>
  </si>
  <si>
    <t>PONTO</t>
  </si>
  <si>
    <t>T</t>
  </si>
  <si>
    <t>U</t>
  </si>
  <si>
    <t>P</t>
  </si>
  <si>
    <t>Ponto</t>
  </si>
  <si>
    <t>NC</t>
  </si>
  <si>
    <t>Símbolo</t>
  </si>
  <si>
    <t>Componentes de Incerteza</t>
  </si>
  <si>
    <t>Distrib.
de
Probab.</t>
  </si>
  <si>
    <t>Divisor</t>
  </si>
  <si>
    <r>
      <t>Coeficiente Sensibilidade</t>
    </r>
    <r>
      <rPr>
        <i/>
        <sz val="9"/>
        <rFont val="Arial"/>
        <family val="2"/>
      </rPr>
      <t xml:space="preserve"> c</t>
    </r>
    <r>
      <rPr>
        <i/>
        <vertAlign val="subscript"/>
        <sz val="9"/>
        <rFont val="Arial"/>
        <family val="2"/>
      </rPr>
      <t>i</t>
    </r>
  </si>
  <si>
    <r>
      <t xml:space="preserve">Incerteza Padrão </t>
    </r>
    <r>
      <rPr>
        <i/>
        <sz val="9"/>
        <rFont val="Arial"/>
        <family val="2"/>
      </rPr>
      <t>ui</t>
    </r>
  </si>
  <si>
    <t>Graus Liber.</t>
  </si>
  <si>
    <t>Percentual contribuição</t>
  </si>
  <si>
    <t>9,3</t>
  </si>
  <si>
    <t>∞</t>
  </si>
  <si>
    <t>Nome</t>
  </si>
  <si>
    <t>Valor  (+/-)</t>
  </si>
  <si>
    <t>µS/cm</t>
  </si>
  <si>
    <r>
      <t>n</t>
    </r>
    <r>
      <rPr>
        <vertAlign val="subscript"/>
        <sz val="9"/>
        <rFont val="Arial"/>
        <family val="2"/>
      </rPr>
      <t>i</t>
    </r>
    <r>
      <rPr>
        <sz val="9"/>
        <rFont val="Arial"/>
        <family val="2"/>
      </rPr>
      <t xml:space="preserve"> </t>
    </r>
    <r>
      <rPr>
        <b/>
        <i/>
        <sz val="20"/>
        <rFont val="Footlight MT Light"/>
        <family val="1"/>
      </rPr>
      <t/>
    </r>
  </si>
  <si>
    <t>[%]</t>
  </si>
  <si>
    <t>CMC - Truncado</t>
  </si>
  <si>
    <t>ubp</t>
  </si>
  <si>
    <t>Incerteza do Barômetro Padrão</t>
  </si>
  <si>
    <t>B</t>
  </si>
  <si>
    <t>N</t>
  </si>
  <si>
    <t>/</t>
  </si>
  <si>
    <t>kg/m³</t>
  </si>
  <si>
    <t>Inifinito</t>
  </si>
  <si>
    <t>DIFERENÇA</t>
  </si>
  <si>
    <t>δrbp</t>
  </si>
  <si>
    <t>Resolução do Barômetro Padrão</t>
  </si>
  <si>
    <t>R</t>
  </si>
  <si>
    <t>PERCENTUAL</t>
  </si>
  <si>
    <t>ucb</t>
  </si>
  <si>
    <t>Incerteza do erro não corrigido do Barômetro</t>
  </si>
  <si>
    <t>CMC - Utilizada</t>
  </si>
  <si>
    <t>db</t>
  </si>
  <si>
    <t>Deriva do Barômetro</t>
  </si>
  <si>
    <t>Nº DE CASAS DECIMAIS (U)</t>
  </si>
  <si>
    <t>utp ( ar )</t>
  </si>
  <si>
    <t>Incerteza do Termômetro Padrão (ar)</t>
  </si>
  <si>
    <t>VALOR TRUNCADO</t>
  </si>
  <si>
    <t>δrtp ( ar )</t>
  </si>
  <si>
    <t>Resolução do Termômetro Padrão (ar)</t>
  </si>
  <si>
    <t>uct ( ar )</t>
  </si>
  <si>
    <t>Incerteza do erro não corrigido do termômetro (ar)</t>
  </si>
  <si>
    <t>dt ( ar )</t>
  </si>
  <si>
    <t>Deriva do Termômetro (ar)</t>
  </si>
  <si>
    <t>Incerteza Arred dentro dos 5%</t>
  </si>
  <si>
    <t>uhp</t>
  </si>
  <si>
    <t>Incerteza do Higrômetro Padrão (ar)</t>
  </si>
  <si>
    <t>Incerteza arred com 2 nºs signif.</t>
  </si>
  <si>
    <t>δrhp</t>
  </si>
  <si>
    <t>Resolução do higrômetro Padrão (ar)</t>
  </si>
  <si>
    <t>Incerteza Utilizada no Certificado</t>
  </si>
  <si>
    <t>uch</t>
  </si>
  <si>
    <t>Incerteza do erro não corrigido do Higrômetro (ar)</t>
  </si>
  <si>
    <t>Nº da casa do 1º Algarismo Sig.</t>
  </si>
  <si>
    <t>dh</t>
  </si>
  <si>
    <t>Deriva do Higrômetro (ar)</t>
  </si>
  <si>
    <t>Nº de Casa decimais da U arred.</t>
  </si>
  <si>
    <t>uAbar</t>
  </si>
  <si>
    <t>Avaliação tipo A Pressão Atmosférica</t>
  </si>
  <si>
    <t>A</t>
  </si>
  <si>
    <t>dirença de casas decimais</t>
  </si>
  <si>
    <t>uAar</t>
  </si>
  <si>
    <t>Avaliação tipo A Temperatura Ar</t>
  </si>
  <si>
    <t>Nº de Arred. do Resultado pela U</t>
  </si>
  <si>
    <t>uAumid</t>
  </si>
  <si>
    <t>Avaliação tipo A Umidade Relativa</t>
  </si>
  <si>
    <r>
      <t>u</t>
    </r>
    <r>
      <rPr>
        <i/>
        <vertAlign val="subscript"/>
        <sz val="9"/>
        <rFont val="Arial"/>
        <family val="2"/>
      </rPr>
      <t>c</t>
    </r>
  </si>
  <si>
    <t>INCERTEZA COMBINADA</t>
  </si>
  <si>
    <r>
      <t>n</t>
    </r>
    <r>
      <rPr>
        <vertAlign val="subscript"/>
        <sz val="9"/>
        <rFont val="Arial"/>
        <family val="2"/>
      </rPr>
      <t xml:space="preserve">eff = </t>
    </r>
  </si>
  <si>
    <r>
      <t>U</t>
    </r>
    <r>
      <rPr>
        <i/>
        <vertAlign val="subscript"/>
        <sz val="9"/>
        <rFont val="Arial"/>
        <family val="2"/>
      </rPr>
      <t>95</t>
    </r>
  </si>
  <si>
    <t>INCERTEZA EXPANDIDA (aprox. 95%)</t>
  </si>
  <si>
    <t>g/cm³</t>
  </si>
  <si>
    <t>INCERTEZA EXPANDIDA (arred.)</t>
  </si>
  <si>
    <t>Observações:     U95 para a Calibração</t>
  </si>
  <si>
    <t xml:space="preserve">k = </t>
  </si>
  <si>
    <t>C1</t>
  </si>
  <si>
    <t>C2</t>
  </si>
  <si>
    <t>C3</t>
  </si>
  <si>
    <t>C4</t>
  </si>
  <si>
    <t>p</t>
  </si>
  <si>
    <t>u</t>
  </si>
  <si>
    <t>t</t>
  </si>
  <si>
    <t>par</t>
  </si>
  <si>
    <t>(1/(pw-pa)</t>
  </si>
  <si>
    <t>1-pa/pb)</t>
  </si>
  <si>
    <t>1-α*(T-20)</t>
  </si>
  <si>
    <t>Z</t>
  </si>
  <si>
    <t>pb</t>
  </si>
  <si>
    <t>α</t>
  </si>
  <si>
    <t>Temperatura do fluído</t>
  </si>
  <si>
    <t>Variação da temperatura da água</t>
  </si>
  <si>
    <t>uA</t>
  </si>
  <si>
    <t>Incerteza do padrão - Balança</t>
  </si>
  <si>
    <t>U95Ta</t>
  </si>
  <si>
    <t>Dpadrão</t>
  </si>
  <si>
    <t>Ecorreção</t>
  </si>
  <si>
    <t>Ecorreçãot</t>
  </si>
  <si>
    <t>Eemp</t>
  </si>
  <si>
    <t>U95agua</t>
  </si>
  <si>
    <t>U95M</t>
  </si>
  <si>
    <t>RP</t>
  </si>
  <si>
    <t>RTP</t>
  </si>
  <si>
    <t>U95DT</t>
  </si>
  <si>
    <t>ΔTagua</t>
  </si>
  <si>
    <t>Eva</t>
  </si>
  <si>
    <t>Incerteza do padrão - Termômetro</t>
  </si>
  <si>
    <t>DpadrãoTa</t>
  </si>
  <si>
    <t>Deriva do padrão - Balança</t>
  </si>
  <si>
    <t>Deriva do padrão - Termômetro</t>
  </si>
  <si>
    <t>Erro não corrigido - Balança</t>
  </si>
  <si>
    <t>Efeito do empuxo - par</t>
  </si>
  <si>
    <t>Incerteza da massa especifica da agua</t>
  </si>
  <si>
    <t>Incerteza típica da massa de calibração</t>
  </si>
  <si>
    <t>Resolução do padrão - Balança</t>
  </si>
  <si>
    <t>Resolução do padrão - Termômetro</t>
  </si>
  <si>
    <t>Incerteza do coeficiente de dilatação térmica</t>
  </si>
  <si>
    <t>Evaporação da água</t>
  </si>
  <si>
    <t>Residuo erro corrigido - Termômetro</t>
  </si>
  <si>
    <t>Desvio Padrão</t>
  </si>
  <si>
    <t>Avaliação tipo A - Volume</t>
  </si>
  <si>
    <t>Pb</t>
  </si>
  <si>
    <t>g/ml</t>
  </si>
  <si>
    <t>pa</t>
  </si>
  <si>
    <t>°C-¹</t>
  </si>
  <si>
    <t>Volume ref. :</t>
  </si>
  <si>
    <t>Erro :</t>
  </si>
  <si>
    <t>Incerteza :</t>
  </si>
  <si>
    <t>VR</t>
  </si>
  <si>
    <t>CMC-f</t>
  </si>
  <si>
    <t>PLANILHA DE CÁLCULO DE TOLERÂNCIA PARA MICROPIPETAS CONFORME ISO 8655-2  - Edição 2022</t>
  </si>
  <si>
    <t>Preencher campos azul</t>
  </si>
  <si>
    <t>CÁLCULO PARA OS PONTOS PADRONIZADOS (10%/50%/100% DA CAPACIDADE MÁXIMA)</t>
  </si>
  <si>
    <t>Tabela 1 da norma - Tolerância para Micropipeta Monocanal (Tipo A / D1)</t>
  </si>
  <si>
    <t>Tabela 2 da norma - Tolerância para Micropipeta Multicanal (Tipo A / D1)</t>
  </si>
  <si>
    <t>Volume Nominal (µL)</t>
  </si>
  <si>
    <t>Proporção p/ os pontos de calibração (%)</t>
  </si>
  <si>
    <t>Erro Sistemático Permissível 
(± %)</t>
  </si>
  <si>
    <t>Erro Randômico Permissível 
(± %)</t>
  </si>
  <si>
    <t>Cálculo de Tolerância para Micropipeta Monocanal (Pontos Padronizados)</t>
  </si>
  <si>
    <t>Cálculo de Tolerância para Micropipeta Multicanal  (Pontos Padronizados)</t>
  </si>
  <si>
    <t>Variável</t>
  </si>
  <si>
    <t>Proporcionalidade da Norma (%)</t>
  </si>
  <si>
    <t>Tolerância Erro Sistemático (%)</t>
  </si>
  <si>
    <t>Tolerância Erro Sistemático (µL)</t>
  </si>
  <si>
    <t>Tolerância Erro Randômico (%)</t>
  </si>
  <si>
    <t>Tolerância Erro Randômico (µL)</t>
  </si>
  <si>
    <t>CÁLCULO PARA PONTOS NÃO PADRONIZADOS</t>
  </si>
  <si>
    <t>Cálculo de Tolerância para Micropipeta Monocanal (Pontos Não Padronizados)
Conforme item 9.6 da Norma</t>
  </si>
  <si>
    <t>Cálculo de Tolerância para Micropipeta Multicanal  (Pontos Não Padronizados)
Conforme item 9.6 da Norma</t>
  </si>
  <si>
    <r>
      <t xml:space="preserve">Volume Nominal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
(µL)</t>
    </r>
  </si>
  <si>
    <r>
      <t xml:space="preserve">Volume Selecionado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(µL)</t>
    </r>
  </si>
  <si>
    <t>Proporcionalidade de Referência para a Tol. (%)</t>
  </si>
  <si>
    <r>
      <t>Tolerância Erro Sistemático Nominal - e</t>
    </r>
    <r>
      <rPr>
        <vertAlign val="subscript"/>
        <sz val="11"/>
        <color theme="1"/>
        <rFont val="Calibri"/>
        <family val="2"/>
        <scheme val="minor"/>
      </rPr>
      <t>vnom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</si>
  <si>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Sistemático Selecionado - e</t>
    </r>
    <r>
      <rPr>
        <vertAlign val="subscript"/>
        <sz val="11"/>
        <color theme="1"/>
        <rFont val="Calibri"/>
        <family val="2"/>
        <scheme val="minor"/>
      </rPr>
      <t>vs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</si>
  <si>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Sistemático Selecionado - e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 xml:space="preserve"> (µL)</t>
    </r>
  </si>
  <si>
    <r>
      <t>Tolerância Erro Randômico e</t>
    </r>
    <r>
      <rPr>
        <vertAlign val="subscript"/>
        <sz val="11"/>
        <color theme="1"/>
        <rFont val="Calibri"/>
        <family val="2"/>
        <scheme val="minor"/>
      </rPr>
      <t>vnom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</si>
  <si>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Randômico e</t>
    </r>
    <r>
      <rPr>
        <vertAlign val="subscript"/>
        <sz val="11"/>
        <color theme="1"/>
        <rFont val="Calibri"/>
        <family val="2"/>
        <scheme val="minor"/>
      </rPr>
      <t>vs</t>
    </r>
    <r>
      <rPr>
        <sz val="11"/>
        <color theme="1"/>
        <rFont val="Calibri"/>
        <family val="2"/>
        <scheme val="minor"/>
      </rPr>
      <t xml:space="preserve"> (%)</t>
    </r>
  </si>
  <si>
    <t>PLANILHA DE CÁLCULO DE TOLERÂNCIA PARA BURETAS DIGITAIS CONFORME ISO 8655-3  - 2a Edição 2022</t>
  </si>
  <si>
    <t>Tabela 1 da norma - Tolerância para Buretas Motorizadas (Ex.: Titulador)</t>
  </si>
  <si>
    <t>Tabela 2 da norma - Tolerância para Buretas acionadas manualmente</t>
  </si>
  <si>
    <t>Volume Nominal (mL)</t>
  </si>
  <si>
    <r>
      <t xml:space="preserve">Cálculo de Tolerância para </t>
    </r>
    <r>
      <rPr>
        <b/>
        <sz val="11"/>
        <color rgb="FFFF0000"/>
        <rFont val="Calibri"/>
        <family val="2"/>
        <scheme val="minor"/>
      </rPr>
      <t>Buretas Motorizadas</t>
    </r>
    <r>
      <rPr>
        <b/>
        <sz val="11"/>
        <color theme="1"/>
        <rFont val="Calibri"/>
        <family val="2"/>
        <scheme val="minor"/>
      </rPr>
      <t xml:space="preserve"> (Ex.: Titulador) (Pontos Padronizados)</t>
    </r>
  </si>
  <si>
    <r>
      <t xml:space="preserve">Cálculo de Tolerância para </t>
    </r>
    <r>
      <rPr>
        <b/>
        <sz val="11"/>
        <color rgb="FFFF0000"/>
        <rFont val="Calibri"/>
        <family val="2"/>
        <scheme val="minor"/>
      </rPr>
      <t>Buretas acionadas manualmente</t>
    </r>
    <r>
      <rPr>
        <b/>
        <sz val="11"/>
        <color theme="1"/>
        <rFont val="Calibri"/>
        <family val="2"/>
        <scheme val="minor"/>
      </rPr>
      <t xml:space="preserve">  (Pontos Padronizados)</t>
    </r>
  </si>
  <si>
    <t>Tolerância Erro Sistemático (mL)</t>
  </si>
  <si>
    <t>Tolerância Erro Randômico (mL)</t>
  </si>
  <si>
    <r>
      <t xml:space="preserve">Volume Nominal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
(mL)</t>
    </r>
  </si>
  <si>
    <r>
      <t xml:space="preserve">Volume Selecionado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(mL)</t>
    </r>
  </si>
  <si>
    <r>
      <t>Tolerância Erro Sistemático Selecionado - e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 xml:space="preserve"> (%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>)</t>
    </r>
  </si>
  <si>
    <t>Cálculo de Tolerância para Micropipeta Multicanal</t>
  </si>
  <si>
    <t>Cálculo de Tolerância para Micropipeta Monocanal
Conforme item 9.6 da Norma</t>
  </si>
  <si>
    <t>8665-2 - Micropipeta Mono</t>
  </si>
  <si>
    <t>8665-2 - Micropipeta Multi</t>
  </si>
  <si>
    <t>Critério :</t>
  </si>
  <si>
    <t>Tolerância :</t>
  </si>
  <si>
    <t>Média</t>
  </si>
  <si>
    <t>8665-3 - Bureta Auto</t>
  </si>
  <si>
    <t>8665-3 - Bureta Manual</t>
  </si>
  <si>
    <t>Sistemático</t>
  </si>
  <si>
    <t>Randômico</t>
  </si>
  <si>
    <t>n/a</t>
  </si>
  <si>
    <t>Cliente</t>
  </si>
  <si>
    <t>Erro + U :</t>
  </si>
  <si>
    <t>r</t>
  </si>
  <si>
    <t>Pontos</t>
  </si>
  <si>
    <t>Canais</t>
  </si>
  <si>
    <t>F/V</t>
  </si>
  <si>
    <t>Resultados - 1</t>
  </si>
  <si>
    <t>Elus</t>
  </si>
  <si>
    <t>Empresa :</t>
  </si>
  <si>
    <t>Metrolab</t>
  </si>
  <si>
    <t>XCal</t>
  </si>
  <si>
    <t>M</t>
  </si>
  <si>
    <t>X</t>
  </si>
  <si>
    <t>% ur</t>
  </si>
  <si>
    <t>ELUS</t>
  </si>
  <si>
    <t>Volume nominal :</t>
  </si>
  <si>
    <t>N° do documento</t>
  </si>
  <si>
    <t>1ª Revisão</t>
  </si>
  <si>
    <t>por :</t>
  </si>
  <si>
    <t>Ultima Revisão</t>
  </si>
  <si>
    <t>Número do Certificado</t>
  </si>
  <si>
    <t>Local da Calibração:</t>
  </si>
  <si>
    <t>Próxima Calibração :</t>
  </si>
  <si>
    <t>Procedimento de Calibração :</t>
  </si>
  <si>
    <t>Observações :</t>
  </si>
  <si>
    <t>Gerente Técnico: Rodrigo Gomes Cordeiro</t>
  </si>
  <si>
    <t>Erro</t>
  </si>
  <si>
    <t>I.M.</t>
  </si>
  <si>
    <t>.12</t>
  </si>
  <si>
    <t>Histórico de revisões do Formulário:</t>
  </si>
  <si>
    <t>Rodrigo G. Cordeiro</t>
  </si>
  <si>
    <t>Revisão</t>
  </si>
  <si>
    <t>Data</t>
  </si>
  <si>
    <t>Revisado por:</t>
  </si>
  <si>
    <t>Verificado por:</t>
  </si>
  <si>
    <t>Descrição das alterações:</t>
  </si>
  <si>
    <t>Caio C.</t>
  </si>
  <si>
    <t>Silvio</t>
  </si>
  <si>
    <t>Julio Cesar</t>
  </si>
  <si>
    <t>Revisão geral com validação.</t>
  </si>
  <si>
    <t>CVM-VOL-001</t>
  </si>
  <si>
    <t>Rev: 00 - 04/07/2012 - Emissão</t>
  </si>
  <si>
    <t>Rev: 01 - 27/11/2012 - Atualização de Padrões.</t>
  </si>
  <si>
    <t>Rev: 02 - 18/01/2013 - Atualização do Padrão EL-179 e EL-039, sendo os dados digitados validados pelo Julio.</t>
  </si>
  <si>
    <t>Rev: 03 - 12/12/2013 - Atualização do Padrão EL-049 e EL-039</t>
  </si>
  <si>
    <t>Rev: 04 - 08/01/2014 - Inclusão do Padrão EL-400</t>
  </si>
  <si>
    <t>Rev: 05 - 15/01/2014 - Atualização do Padrão EL-179</t>
  </si>
  <si>
    <t>Rev: 06 - 22/01/2014 - Mudança da Nomeclatura de Volume Convencional para Volume de Referência.</t>
  </si>
  <si>
    <t>Rev: 07 - 10/02/2014 - Atualização do Padrão EL-165/2, EL-165/3 e EL-355 e Atualização da Revisão do procedimento</t>
  </si>
  <si>
    <t>Rev: 08 - 20/02/2014 - Atualização do Padrão EL-138</t>
  </si>
  <si>
    <t>Rev: 09 - 10/06/2014 - Atualização dos Padrões EL-073, EL-075, EL-070, EL-147</t>
  </si>
  <si>
    <t>Rev: 10 - 24/06/2014 - Inclusão do uso da massa específica conforme PTB.</t>
  </si>
  <si>
    <t>Rev: 11 - 08/08/2014 - Atualição dos padrões, dados conferidos por Julio Cesar.</t>
  </si>
  <si>
    <t xml:space="preserve">Rev: 12 -14/10/2014 - Exclusão da informação referente a revisão do(s) procedimento(s) citado(s). </t>
  </si>
  <si>
    <t>Rev: 13 -31/10/2014 - Verificação da planilha conforme plano de verificação, alimentado a mesma com valores de entrada e constando a saída no certificado, obtendo os valores de maneira satisfatória. Atualização do EL-130, EL-073 e EL-159</t>
  </si>
  <si>
    <t>Rev: 14 - 23/12/2014 - Atualição dos padrões EL-070 e EL-049.</t>
  </si>
  <si>
    <t>Rev: 15 - 03/02/2015 - Atualição dos padrões EL-039, EL-355 e EL-179.</t>
  </si>
  <si>
    <t>Rev: 16 - 10/04/2015 - Inclusão do padrão EL-461.</t>
  </si>
  <si>
    <t>Rev: 17 - 17/07/2015 - Atualição dos padrões EL-147 e EL-138.</t>
  </si>
  <si>
    <t>Rev: 18 - 15/10/2015 - Atualição dos padrões EL-130 e EL-159.</t>
  </si>
  <si>
    <t xml:space="preserve">Rev: 19 -23/10/2015 - Verificação da planilha conforme plano de verificação, alimentado a mesma com valores de entrada e constando a saída no certificado, obtendo os valores de maneira satisfatória. </t>
  </si>
  <si>
    <t>Rev: 20 - 03/12/2015 - Atualização do padrão EL-400.</t>
  </si>
  <si>
    <t>Rev: 21 - 10/12/2015 - Atualização do padrão EL-049 e EL-039.</t>
  </si>
  <si>
    <t xml:space="preserve">Rev: 22 - 04/02/2016 - Atualização dos padrões EL-179, EL-355, EL-138, EL-070 e EL-567. </t>
  </si>
  <si>
    <t>Rev: 23 - 04/02/2016 - Atualização dos padrões das condições ambientais.</t>
  </si>
  <si>
    <t>Rev: 24 - 02/05/2016 - Atualização do padrão EL-461.</t>
  </si>
  <si>
    <t>Rev: 25 - 15/08/2016 - Atualização do padrão EL-138, EL-147, EL-165/2 e EL-165/3.</t>
  </si>
  <si>
    <t>Rev: 26 - 08/09/2016 - Atualização do padrão EL-355</t>
  </si>
  <si>
    <t>Rev: 27 - 03/11/2016 - Atualização dos padrões EL-130/159/400.</t>
  </si>
  <si>
    <t>Rev: 28 - 01/12/2016 - Atualização dos padrões EL-049/070.</t>
  </si>
  <si>
    <t>Rev: 29 - 04/01/2017 - Atualização dos padrão EL-039.</t>
  </si>
  <si>
    <t>Rev: 30- 11/04/2017 - Atualização dos padrão EL-461 e inclusão do padrão EL-659.</t>
  </si>
  <si>
    <t>Rev: 31- 30/05/2017 - Inclusão do padrão EL-679/680/681.</t>
  </si>
  <si>
    <t>Rev: 32- 07/11/2017 - Atualização dos padrões EL-130, EL-400, EL-159, EL-049,EL-070 e EL-165/2.</t>
  </si>
  <si>
    <t>Rev: 33- 04/12/2017 - Atualização dos padrões EL-679/680/681 e EL-400.</t>
  </si>
  <si>
    <t>Rev: 34- 02/01/2018 - Atualização do numero do certificado.</t>
  </si>
  <si>
    <t>Rev: 35- 08/02/2018 - Atualização do padrão EL-138.</t>
  </si>
  <si>
    <t>Rev: 36- 01/05/2018 - Atualização do padrão EL-461.</t>
  </si>
  <si>
    <t>Rev: 37- 24/05/2018 - Atualização do da variação da massa especifica da água, devido ao estudo com densímetro digital.</t>
  </si>
  <si>
    <t>Rev: 38- 31/07/2018 - Atualização dos Padrões EL-147; EL-679; EL-680 e EL-681.</t>
  </si>
  <si>
    <t>Inclusão da aba Matriz Certificados e Histórico de revisões.</t>
  </si>
  <si>
    <t>Marcos</t>
  </si>
  <si>
    <t xml:space="preserve">Atualização dos padrões EL-049/070/130/159/400/399 e Verificação da planilha conforme plano de verificação, alimentado a mesma com valores de entrada e constando a saída no certificado, obtendo os valores de maneira satisfatória. </t>
  </si>
  <si>
    <t>Julio</t>
  </si>
  <si>
    <t>Inclusão do padrão EL-625.</t>
  </si>
  <si>
    <t>George</t>
  </si>
  <si>
    <t>Inclusão do campo de descrição do método de calibração para Micropipetas e Pipetas.</t>
  </si>
  <si>
    <t>Atualização dos padrões EL-679/680/681/400 e 165/3.</t>
  </si>
  <si>
    <t>Atualização dos padrões EL-039/179/659.</t>
  </si>
  <si>
    <t>Atualização dos padrões EL-138/588 e 589.</t>
  </si>
  <si>
    <t>Atualização do padrão EL-461.</t>
  </si>
  <si>
    <t xml:space="preserve">Verificação da planilha conforme plano de verificação, alimentado a mesma com valores de entrada e constando a saída no certificado, obtendo os valores de maneira satisfatória. </t>
  </si>
  <si>
    <t>Atualização do padrão EL-130, EL-1519, EL-399, EL-400, EL-147, EL-049, EL-039 e EL-625.</t>
  </si>
  <si>
    <t>Atualização do padrão EL-679, EL-680, EL-681 e EL-400.</t>
  </si>
  <si>
    <t>Atualização dos padrões EL-039/179.</t>
  </si>
  <si>
    <t>Atualização dos padrões EL-138, EL-917, EL-461, EL-588, EL-589 e inclusão do EL-965.</t>
  </si>
  <si>
    <t>Inclusão do EL-899.</t>
  </si>
  <si>
    <t>Atualização dos padrões EL-130, EL-399, EL-400, EL-147, EL-159, EL-899; EL-049; EL-070 e EL-625.</t>
  </si>
  <si>
    <t>Atualização do padrão EL-165/2.</t>
  </si>
  <si>
    <t>Atualização do padrão EL-680; EL-681; EL-400; EL-165/3; EL-039; EL-049; EL-179; EL-461; EL-625; EL-965; EL-917.</t>
  </si>
  <si>
    <t>Atualização das CMC's.</t>
  </si>
  <si>
    <t>Atualização dos padrões EL-130; EL-159; EL-399 e EL-400.</t>
  </si>
  <si>
    <t>Atualização do padrão EL-899 e inclusão do EL-940; EL-941; EL-942 e EL-943.</t>
  </si>
  <si>
    <t>Atualização do padrão EL-039; EL-179; EL-049; EL-625; EL-965 e EL-917.</t>
  </si>
  <si>
    <t>Atualização dos padrões EL-940; EL-941; EL-942 e EL-943.</t>
  </si>
  <si>
    <t>Atualização dos padrões EL-039; EL-049; EL-179; EL-461; EL-625; EL-965 e 917.</t>
  </si>
  <si>
    <t>Inclusão selo ILAC</t>
  </si>
  <si>
    <t>Atualização do EL-1084.</t>
  </si>
  <si>
    <t>Atualização do padrão de número do certificado.</t>
  </si>
  <si>
    <t>Atualização dos padrões EL-039; EL-049; EL-179; EL-625; EL-965 e 917.</t>
  </si>
  <si>
    <t>inclusão do padrão EL-1282.</t>
  </si>
  <si>
    <t>Matheus Pereira</t>
  </si>
  <si>
    <t>Atualização dos padrões EL-1084, EL-1084T, EL-1084H, EL-070 e EL-165/3.</t>
  </si>
  <si>
    <t>Atualização E.TH.LR-010; E.TH.LR-011 e EL-400.</t>
  </si>
  <si>
    <t>Atualização do selo de Acreditação.</t>
  </si>
  <si>
    <t>Atualização da Matriz Certificados.</t>
  </si>
  <si>
    <t>Atualização dos padrões EL-179, EL-1282, EL-049, EL-965 e EL-917.</t>
  </si>
  <si>
    <t>Laboratório de Volume &amp; Massa Específica</t>
  </si>
  <si>
    <t>Instal. do contratante</t>
  </si>
  <si>
    <t>Instal. do interessado</t>
  </si>
  <si>
    <t>Condições ambientais :</t>
  </si>
  <si>
    <t>Massa Específica do Ar :</t>
  </si>
  <si>
    <t>Padrões Utilizados :</t>
  </si>
  <si>
    <t>Resultados da Calibração :</t>
  </si>
  <si>
    <t>Volume Nominal</t>
  </si>
  <si>
    <t>Volume de referência</t>
  </si>
  <si>
    <t>.7</t>
  </si>
  <si>
    <t>.8</t>
  </si>
  <si>
    <t>.9</t>
  </si>
  <si>
    <t>.10</t>
  </si>
  <si>
    <t>k :</t>
  </si>
  <si>
    <t>Veff :</t>
  </si>
  <si>
    <t>.11</t>
  </si>
  <si>
    <t>- Erro = Volume Nominal - Volume de Referência.  /  *A expressão Erro no certificado corresponde ao item 4.20 (5.25) do Vocabulário Internacional de Metrologia – Conceitos fundamentais e gerais e termos associados (VIM 2012), que tem por terminologia “tendência instrumental”  /   I.M. = Incerteza de medida.   /   k = fator de abrangência (fator multiplicativo adimensional)  /  Veff = graus de liberdade efetivo.</t>
  </si>
  <si>
    <t>Maximo n. med. Por ponto</t>
  </si>
  <si>
    <t>Não Aplicável</t>
  </si>
  <si>
    <t>Faixa</t>
  </si>
  <si>
    <t>Eva (%)</t>
  </si>
  <si>
    <t>Vol</t>
  </si>
  <si>
    <t>max.</t>
  </si>
  <si>
    <t>Acreditado Interno</t>
  </si>
  <si>
    <t>Massa Específica/Temperatura da água :</t>
  </si>
  <si>
    <t>Massa especifica</t>
  </si>
  <si>
    <t>Resolução Inst.</t>
  </si>
  <si>
    <t>Temp. da agua</t>
  </si>
  <si>
    <t>Var.</t>
  </si>
  <si>
    <t>CAL 0439</t>
  </si>
  <si>
    <t>CAL 0215</t>
  </si>
  <si>
    <t>CAL 0677</t>
  </si>
  <si>
    <t>Unidade de medida</t>
  </si>
  <si>
    <t>Numero do certificado</t>
  </si>
  <si>
    <t>Descrição do Item</t>
  </si>
  <si>
    <t>Identificação</t>
  </si>
  <si>
    <t>Número de Série</t>
  </si>
  <si>
    <t>Próxima Calibração</t>
  </si>
  <si>
    <t>Maior erro encontrado</t>
  </si>
  <si>
    <t>Maior incerteza encontrada</t>
  </si>
  <si>
    <t>Pedido</t>
  </si>
  <si>
    <t>Range</t>
  </si>
  <si>
    <t>Maior U</t>
  </si>
  <si>
    <t>1 - Erro</t>
  </si>
  <si>
    <t>2 - Erro</t>
  </si>
  <si>
    <t>3 - Erro</t>
  </si>
  <si>
    <t>4 - Erro</t>
  </si>
  <si>
    <t>5 - Erro</t>
  </si>
  <si>
    <t>6 - Erro</t>
  </si>
  <si>
    <t>7 - Erro</t>
  </si>
  <si>
    <t>8 - Erro</t>
  </si>
  <si>
    <t>9 - Erro</t>
  </si>
  <si>
    <t>10 - Erro</t>
  </si>
  <si>
    <t>1 - Deriva</t>
  </si>
  <si>
    <t>2 - Deriva</t>
  </si>
  <si>
    <t>3 - Deriva</t>
  </si>
  <si>
    <t>4 - Deriva</t>
  </si>
  <si>
    <t>5 - Deriva</t>
  </si>
  <si>
    <t>6 - Deriva</t>
  </si>
  <si>
    <t>7 - Deriva</t>
  </si>
  <si>
    <t>8 - Deriva</t>
  </si>
  <si>
    <t>9 - Deriva</t>
  </si>
  <si>
    <t>10 - Deriva</t>
  </si>
  <si>
    <t>Massa da tara :</t>
  </si>
  <si>
    <t>Massa max+Tara :</t>
  </si>
  <si>
    <t>Pad.</t>
  </si>
  <si>
    <t>Massa maxima :</t>
  </si>
  <si>
    <t>Maior U :</t>
  </si>
  <si>
    <t>-VR</t>
  </si>
  <si>
    <t>-U</t>
  </si>
  <si>
    <t>-K</t>
  </si>
  <si>
    <t>-GL</t>
  </si>
  <si>
    <t>u :</t>
  </si>
  <si>
    <t>-ER</t>
  </si>
  <si>
    <t>E.abs</t>
  </si>
  <si>
    <t>-D</t>
  </si>
  <si>
    <t>D.max</t>
  </si>
  <si>
    <t>Porta COM da balança :</t>
  </si>
  <si>
    <t>00745/26</t>
  </si>
  <si>
    <t>Determinado pelo Cliente</t>
  </si>
  <si>
    <t>Matheus Pereira dos Santos</t>
  </si>
  <si>
    <t>E.TH.LQ-001 (OUT)</t>
  </si>
  <si>
    <t>E.TH.LQ-001</t>
  </si>
  <si>
    <t>E.MS.LQ-006</t>
  </si>
  <si>
    <t>E.TH.LQ-010</t>
  </si>
  <si>
    <t>Brand</t>
  </si>
  <si>
    <t>Transferpette S</t>
  </si>
  <si>
    <t>24F14768</t>
  </si>
  <si>
    <t>MCP079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</si>
</sst>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;@"/>
    <numFmt numFmtId="165" formatCode="[$-416]mmmm\-yy;@"/>
    <numFmt numFmtId="166" formatCode="0.0"/>
    <numFmt numFmtId="167" formatCode="0.0000000"/>
    <numFmt numFmtId="168" formatCode="0.000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theme="0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8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i/>
      <vertAlign val="subscript"/>
      <sz val="9"/>
      <name val="Arial"/>
      <family val="2"/>
    </font>
    <font>
      <vertAlign val="subscript"/>
      <sz val="9"/>
      <name val="Arial"/>
      <family val="2"/>
    </font>
    <font>
      <b/>
      <i/>
      <sz val="20"/>
      <name val="Footlight MT Light"/>
      <family val="1"/>
    </font>
    <font>
      <sz val="9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i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name val="Berlin Sans FB Demi"/>
      <family val="2"/>
    </font>
    <font>
      <b/>
      <sz val="9"/>
      <name val="Times New Roman"/>
      <family val="1"/>
    </font>
    <font>
      <sz val="30"/>
      <name val="Beautiful ES"/>
    </font>
    <font>
      <sz val="15"/>
      <name val="Bell MT"/>
      <family val="1"/>
    </font>
    <font>
      <sz val="10"/>
      <name val="BankGothic Md BT"/>
      <family val="2"/>
    </font>
    <font>
      <sz val="10"/>
      <name val="Souvenir Lt BT"/>
      <family val="1"/>
    </font>
    <font>
      <sz val="9"/>
      <name val="Souvenir Lt BT"/>
      <family val="1"/>
    </font>
    <font>
      <sz val="10"/>
      <name val="Calibri"/>
      <family val="2"/>
      <scheme val="minor"/>
    </font>
    <font>
      <u/>
      <sz val="10"/>
      <name val="Souvenir Lt BT"/>
      <family val="1"/>
    </font>
    <font>
      <i/>
      <sz val="10"/>
      <name val="BankGothic Md BT"/>
      <family val="2"/>
    </font>
    <font>
      <b/>
      <i/>
      <sz val="10"/>
      <name val="BankGothic Md BT"/>
      <family val="2"/>
    </font>
    <font>
      <b/>
      <sz val="20"/>
      <name val="Beautiful ES"/>
    </font>
    <font>
      <sz val="20"/>
      <name val="Calibri"/>
      <family val="2"/>
      <scheme val="minor"/>
    </font>
    <font>
      <b/>
      <sz val="8"/>
      <color rgb="FF000000"/>
      <name val="Arial"/>
      <family val="2"/>
    </font>
    <font>
      <sz val="10"/>
      <color theme="1"/>
      <name val="Calibri"/>
      <family val="2"/>
      <scheme val="minor"/>
    </font>
    <font>
      <sz val="8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</borders>
  <cellStyleXfs count="5">
    <xf numFmtId="0" fontId="0" fillId="0" borderId="0"/>
    <xf numFmtId="0" fontId="4" fillId="0" borderId="0"/>
    <xf numFmtId="165" fontId="4" fillId="0" borderId="0"/>
    <xf numFmtId="0" fontId="30" fillId="0" borderId="0"/>
    <xf numFmtId="0" fontId="30" fillId="0" borderId="0"/>
  </cellStyleXfs>
  <cellXfs count="521">
    <xf numFmtId="0" fontId="0" fillId="0" borderId="0" xfId="0"/>
    <xf numFmtId="0" fontId="0" fillId="2" borderId="0" xfId="0" applyFill="1"/>
    <xf numFmtId="0" fontId="2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center" vertical="center"/>
      <protection locked="0"/>
    </xf>
    <xf numFmtId="0" fontId="3" fillId="2" borderId="0" xfId="0" quotePrefix="1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shrinkToFit="1"/>
      <protection hidden="1"/>
    </xf>
    <xf numFmtId="0" fontId="4" fillId="0" borderId="0" xfId="1" applyAlignment="1" applyProtection="1">
      <alignment horizontal="center"/>
      <protection hidden="1"/>
    </xf>
    <xf numFmtId="0" fontId="4" fillId="0" borderId="7" xfId="1" applyBorder="1" applyAlignment="1" applyProtection="1">
      <alignment horizontal="center"/>
      <protection hidden="1"/>
    </xf>
    <xf numFmtId="0" fontId="4" fillId="0" borderId="8" xfId="1" applyBorder="1" applyAlignment="1" applyProtection="1">
      <alignment horizontal="center" vertical="center"/>
      <protection hidden="1"/>
    </xf>
    <xf numFmtId="0" fontId="4" fillId="0" borderId="9" xfId="1" applyBorder="1" applyAlignment="1" applyProtection="1">
      <alignment horizontal="center" vertical="center"/>
      <protection hidden="1"/>
    </xf>
    <xf numFmtId="0" fontId="4" fillId="0" borderId="10" xfId="1" applyBorder="1" applyAlignment="1" applyProtection="1">
      <alignment horizontal="center" vertical="center"/>
      <protection hidden="1"/>
    </xf>
    <xf numFmtId="0" fontId="4" fillId="0" borderId="5" xfId="1" applyBorder="1" applyAlignment="1" applyProtection="1">
      <alignment horizontal="center" vertical="center"/>
      <protection hidden="1"/>
    </xf>
    <xf numFmtId="0" fontId="4" fillId="0" borderId="5" xfId="1" applyBorder="1" applyAlignment="1" applyProtection="1">
      <alignment horizontal="center"/>
      <protection hidden="1"/>
    </xf>
    <xf numFmtId="0" fontId="4" fillId="0" borderId="11" xfId="1" applyBorder="1" applyAlignment="1" applyProtection="1">
      <alignment horizontal="center" vertical="center"/>
      <protection hidden="1"/>
    </xf>
    <xf numFmtId="0" fontId="4" fillId="0" borderId="12" xfId="1" applyBorder="1" applyAlignment="1" applyProtection="1">
      <alignment horizontal="center" vertical="center"/>
      <protection hidden="1"/>
    </xf>
    <xf numFmtId="0" fontId="4" fillId="0" borderId="13" xfId="1" applyBorder="1" applyAlignment="1" applyProtection="1">
      <alignment horizontal="center" vertical="center"/>
      <protection hidden="1"/>
    </xf>
    <xf numFmtId="0" fontId="4" fillId="0" borderId="14" xfId="1" applyBorder="1" applyAlignment="1" applyProtection="1">
      <alignment horizontal="center" vertical="center"/>
      <protection hidden="1"/>
    </xf>
    <xf numFmtId="0" fontId="4" fillId="0" borderId="15" xfId="1" applyBorder="1" applyAlignment="1" applyProtection="1">
      <alignment horizontal="center" vertical="center"/>
      <protection hidden="1"/>
    </xf>
    <xf numFmtId="0" fontId="4" fillId="0" borderId="14" xfId="1" quotePrefix="1" applyBorder="1" applyAlignment="1" applyProtection="1">
      <alignment horizontal="center" vertical="center"/>
      <protection hidden="1"/>
    </xf>
    <xf numFmtId="0" fontId="4" fillId="0" borderId="5" xfId="1" quotePrefix="1" applyBorder="1" applyAlignment="1" applyProtection="1">
      <alignment horizontal="center" vertical="center"/>
      <protection hidden="1"/>
    </xf>
    <xf numFmtId="0" fontId="4" fillId="0" borderId="0" xfId="1" applyAlignment="1" applyProtection="1">
      <alignment horizontal="left"/>
      <protection hidden="1"/>
    </xf>
    <xf numFmtId="0" fontId="2" fillId="2" borderId="5" xfId="0" quotePrefix="1" applyFont="1" applyFill="1" applyBorder="1" applyAlignment="1" applyProtection="1">
      <alignment horizontal="center" vertical="center"/>
      <protection hidden="1"/>
    </xf>
    <xf numFmtId="11" fontId="0" fillId="0" borderId="0" xfId="0" applyNumberFormat="1"/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4" xfId="0" applyFont="1" applyFill="1" applyBorder="1" applyProtection="1">
      <protection hidden="1"/>
    </xf>
    <xf numFmtId="0" fontId="2" fillId="2" borderId="4" xfId="0" applyFont="1" applyFill="1" applyBorder="1" applyAlignment="1" applyProtection="1">
      <alignment vertical="center"/>
      <protection hidden="1"/>
    </xf>
    <xf numFmtId="0" fontId="2" fillId="2" borderId="6" xfId="0" applyFont="1" applyFill="1" applyBorder="1" applyAlignment="1" applyProtection="1">
      <alignment vertical="center"/>
      <protection hidden="1"/>
    </xf>
    <xf numFmtId="0" fontId="2" fillId="2" borderId="17" xfId="0" applyFont="1" applyFill="1" applyBorder="1" applyAlignment="1" applyProtection="1">
      <alignment vertical="center"/>
      <protection hidden="1"/>
    </xf>
    <xf numFmtId="0" fontId="2" fillId="2" borderId="20" xfId="0" applyFont="1" applyFill="1" applyBorder="1" applyAlignment="1" applyProtection="1">
      <alignment vertical="center"/>
      <protection hidden="1"/>
    </xf>
    <xf numFmtId="0" fontId="2" fillId="2" borderId="19" xfId="0" applyFont="1" applyFill="1" applyBorder="1" applyAlignment="1" applyProtection="1">
      <alignment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/>
      <protection locked="0"/>
    </xf>
    <xf numFmtId="14" fontId="0" fillId="2" borderId="0" xfId="0" applyNumberFormat="1" applyFill="1" applyAlignment="1">
      <alignment horizontal="center"/>
    </xf>
    <xf numFmtId="0" fontId="0" fillId="2" borderId="5" xfId="0" applyFill="1" applyBorder="1" applyAlignment="1" applyProtection="1">
      <alignment horizontal="center" vertical="center"/>
      <protection hidden="1"/>
    </xf>
    <xf numFmtId="0" fontId="0" fillId="6" borderId="5" xfId="0" applyFill="1" applyBorder="1" applyAlignment="1" applyProtection="1">
      <alignment horizontal="center" vertical="center"/>
      <protection hidden="1"/>
    </xf>
    <xf numFmtId="0" fontId="0" fillId="7" borderId="5" xfId="0" applyFill="1" applyBorder="1" applyAlignment="1" applyProtection="1">
      <alignment horizontal="center" vertical="center"/>
      <protection hidden="1"/>
    </xf>
    <xf numFmtId="0" fontId="0" fillId="8" borderId="5" xfId="0" applyFill="1" applyBorder="1" applyAlignment="1" applyProtection="1">
      <alignment horizontal="center" vertical="center"/>
      <protection hidden="1"/>
    </xf>
    <xf numFmtId="0" fontId="0" fillId="2" borderId="5" xfId="0" applyFill="1" applyBorder="1" applyAlignment="1">
      <alignment horizontal="center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0" fontId="0" fillId="3" borderId="5" xfId="0" quotePrefix="1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 wrapText="1"/>
      <protection hidden="1"/>
    </xf>
    <xf numFmtId="0" fontId="0" fillId="2" borderId="2" xfId="0" applyFill="1" applyBorder="1"/>
    <xf numFmtId="0" fontId="8" fillId="2" borderId="0" xfId="0" applyFont="1" applyFill="1" applyAlignment="1" applyProtection="1">
      <alignment horizontal="left"/>
      <protection hidden="1"/>
    </xf>
    <xf numFmtId="0" fontId="0" fillId="2" borderId="5" xfId="0" applyFill="1" applyBorder="1"/>
    <xf numFmtId="0" fontId="9" fillId="2" borderId="0" xfId="0" applyFont="1" applyFill="1"/>
    <xf numFmtId="0" fontId="0" fillId="2" borderId="7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4" borderId="5" xfId="0" applyFill="1" applyBorder="1" applyAlignment="1" applyProtection="1">
      <alignment horizontal="center"/>
      <protection hidden="1"/>
    </xf>
    <xf numFmtId="0" fontId="0" fillId="2" borderId="22" xfId="0" applyFill="1" applyBorder="1" applyAlignment="1" applyProtection="1">
      <alignment horizontal="center" vertical="center"/>
      <protection hidden="1"/>
    </xf>
    <xf numFmtId="0" fontId="0" fillId="6" borderId="22" xfId="0" applyFill="1" applyBorder="1" applyAlignment="1" applyProtection="1">
      <alignment horizontal="center" vertical="center"/>
      <protection hidden="1"/>
    </xf>
    <xf numFmtId="0" fontId="0" fillId="4" borderId="22" xfId="0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right"/>
    </xf>
    <xf numFmtId="0" fontId="0" fillId="2" borderId="5" xfId="0" applyFill="1" applyBorder="1" applyAlignment="1" applyProtection="1">
      <alignment horizontal="center"/>
      <protection hidden="1"/>
    </xf>
    <xf numFmtId="0" fontId="10" fillId="11" borderId="0" xfId="0" applyFont="1" applyFill="1" applyAlignment="1" applyProtection="1">
      <alignment horizontal="center" vertical="center"/>
      <protection hidden="1"/>
    </xf>
    <xf numFmtId="0" fontId="2" fillId="11" borderId="0" xfId="0" applyFont="1" applyFill="1"/>
    <xf numFmtId="0" fontId="12" fillId="11" borderId="33" xfId="0" applyFont="1" applyFill="1" applyBorder="1" applyAlignment="1" applyProtection="1">
      <alignment horizontal="center" vertical="center"/>
      <protection hidden="1"/>
    </xf>
    <xf numFmtId="0" fontId="12" fillId="11" borderId="24" xfId="0" applyFont="1" applyFill="1" applyBorder="1" applyAlignment="1" applyProtection="1">
      <alignment horizontal="center" vertical="center"/>
      <protection hidden="1"/>
    </xf>
    <xf numFmtId="0" fontId="12" fillId="11" borderId="34" xfId="0" applyFont="1" applyFill="1" applyBorder="1" applyAlignment="1" applyProtection="1">
      <alignment horizontal="right" vertical="center"/>
      <protection hidden="1"/>
    </xf>
    <xf numFmtId="0" fontId="12" fillId="11" borderId="34" xfId="0" applyFont="1" applyFill="1" applyBorder="1" applyAlignment="1" applyProtection="1">
      <alignment horizontal="left" vertical="center"/>
      <protection hidden="1"/>
    </xf>
    <xf numFmtId="0" fontId="12" fillId="11" borderId="34" xfId="0" applyFont="1" applyFill="1" applyBorder="1" applyAlignment="1" applyProtection="1">
      <alignment horizontal="center" vertical="center"/>
      <protection hidden="1"/>
    </xf>
    <xf numFmtId="0" fontId="12" fillId="11" borderId="35" xfId="0" applyFont="1" applyFill="1" applyBorder="1" applyAlignment="1" applyProtection="1">
      <alignment horizontal="center" vertical="center"/>
      <protection hidden="1"/>
    </xf>
    <xf numFmtId="0" fontId="12" fillId="11" borderId="26" xfId="0" applyFont="1" applyFill="1" applyBorder="1" applyAlignment="1" applyProtection="1">
      <alignment horizontal="center" vertical="center"/>
      <protection hidden="1"/>
    </xf>
    <xf numFmtId="0" fontId="12" fillId="11" borderId="9" xfId="0" applyFont="1" applyFill="1" applyBorder="1" applyAlignment="1" applyProtection="1">
      <alignment horizontal="center" vertical="center"/>
      <protection hidden="1"/>
    </xf>
    <xf numFmtId="0" fontId="12" fillId="11" borderId="10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/>
      <protection hidden="1"/>
    </xf>
    <xf numFmtId="0" fontId="12" fillId="11" borderId="31" xfId="0" applyFont="1" applyFill="1" applyBorder="1" applyAlignment="1" applyProtection="1">
      <alignment horizontal="center" vertical="center"/>
      <protection hidden="1"/>
    </xf>
    <xf numFmtId="0" fontId="12" fillId="11" borderId="32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 wrapText="1"/>
      <protection hidden="1"/>
    </xf>
    <xf numFmtId="0" fontId="12" fillId="11" borderId="28" xfId="0" applyFont="1" applyFill="1" applyBorder="1" applyAlignment="1" applyProtection="1">
      <alignment horizontal="center" vertical="center"/>
      <protection hidden="1"/>
    </xf>
    <xf numFmtId="0" fontId="12" fillId="11" borderId="5" xfId="0" applyFont="1" applyFill="1" applyBorder="1" applyAlignment="1" applyProtection="1">
      <alignment horizontal="center" vertical="center"/>
      <protection hidden="1"/>
    </xf>
    <xf numFmtId="0" fontId="12" fillId="11" borderId="0" xfId="0" applyFont="1" applyFill="1" applyAlignment="1" applyProtection="1">
      <alignment horizontal="center" vertical="center"/>
      <protection hidden="1"/>
    </xf>
    <xf numFmtId="0" fontId="12" fillId="11" borderId="12" xfId="0" applyFont="1" applyFill="1" applyBorder="1" applyAlignment="1" applyProtection="1">
      <alignment horizontal="center" vertical="center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/>
      <protection hidden="1"/>
    </xf>
    <xf numFmtId="0" fontId="12" fillId="11" borderId="24" xfId="0" applyFont="1" applyFill="1" applyBorder="1" applyAlignment="1" applyProtection="1">
      <alignment horizontal="center" vertical="center" wrapText="1"/>
      <protection hidden="1"/>
    </xf>
    <xf numFmtId="0" fontId="12" fillId="11" borderId="29" xfId="0" applyFont="1" applyFill="1" applyBorder="1" applyAlignment="1" applyProtection="1">
      <alignment horizontal="center" vertical="center"/>
      <protection hidden="1"/>
    </xf>
    <xf numFmtId="0" fontId="13" fillId="11" borderId="11" xfId="0" applyFont="1" applyFill="1" applyBorder="1" applyAlignment="1" applyProtection="1">
      <alignment horizontal="center" vertical="center"/>
      <protection hidden="1"/>
    </xf>
    <xf numFmtId="0" fontId="12" fillId="11" borderId="5" xfId="0" quotePrefix="1" applyFont="1" applyFill="1" applyBorder="1" applyAlignment="1" applyProtection="1">
      <alignment horizontal="center" vertical="center"/>
      <protection hidden="1"/>
    </xf>
    <xf numFmtId="167" fontId="12" fillId="11" borderId="5" xfId="0" applyNumberFormat="1" applyFont="1" applyFill="1" applyBorder="1" applyAlignment="1" applyProtection="1">
      <alignment horizontal="center" vertical="center"/>
      <protection hidden="1"/>
    </xf>
    <xf numFmtId="2" fontId="12" fillId="11" borderId="12" xfId="0" quotePrefix="1" applyNumberFormat="1" applyFont="1" applyFill="1" applyBorder="1" applyAlignment="1" applyProtection="1">
      <alignment horizontal="center" vertical="center"/>
      <protection hidden="1"/>
    </xf>
    <xf numFmtId="0" fontId="12" fillId="11" borderId="28" xfId="0" quotePrefix="1" applyFont="1" applyFill="1" applyBorder="1" applyAlignment="1" applyProtection="1">
      <alignment horizontal="center" vertical="center"/>
      <protection hidden="1"/>
    </xf>
    <xf numFmtId="0" fontId="13" fillId="11" borderId="40" xfId="0" applyFont="1" applyFill="1" applyBorder="1" applyAlignment="1" applyProtection="1">
      <alignment horizontal="center" vertical="center"/>
      <protection hidden="1"/>
    </xf>
    <xf numFmtId="0" fontId="12" fillId="11" borderId="7" xfId="0" applyFont="1" applyFill="1" applyBorder="1" applyAlignment="1" applyProtection="1">
      <alignment horizontal="center" vertical="center"/>
      <protection hidden="1"/>
    </xf>
    <xf numFmtId="0" fontId="12" fillId="11" borderId="0" xfId="0" quotePrefix="1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 vertical="center"/>
      <protection hidden="1"/>
    </xf>
    <xf numFmtId="0" fontId="13" fillId="11" borderId="41" xfId="0" applyFont="1" applyFill="1" applyBorder="1" applyAlignment="1" applyProtection="1">
      <alignment horizontal="center" vertical="center"/>
      <protection hidden="1"/>
    </xf>
    <xf numFmtId="167" fontId="12" fillId="11" borderId="10" xfId="0" applyNumberFormat="1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/>
      <protection hidden="1"/>
    </xf>
    <xf numFmtId="0" fontId="13" fillId="11" borderId="45" xfId="0" applyFont="1" applyFill="1" applyBorder="1" applyAlignment="1" applyProtection="1">
      <alignment horizontal="center" vertical="center"/>
      <protection hidden="1"/>
    </xf>
    <xf numFmtId="0" fontId="12" fillId="11" borderId="15" xfId="0" applyFont="1" applyFill="1" applyBorder="1" applyAlignment="1" applyProtection="1">
      <alignment horizontal="center" vertical="center"/>
      <protection hidden="1"/>
    </xf>
    <xf numFmtId="0" fontId="12" fillId="11" borderId="26" xfId="2" applyNumberFormat="1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 wrapText="1"/>
      <protection hidden="1"/>
    </xf>
    <xf numFmtId="2" fontId="12" fillId="11" borderId="27" xfId="0" applyNumberFormat="1" applyFont="1" applyFill="1" applyBorder="1" applyAlignment="1" applyProtection="1">
      <alignment horizontal="center" vertical="center" wrapText="1"/>
      <protection hidden="1"/>
    </xf>
    <xf numFmtId="0" fontId="12" fillId="11" borderId="31" xfId="2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left"/>
    </xf>
    <xf numFmtId="0" fontId="17" fillId="11" borderId="40" xfId="0" applyFont="1" applyFill="1" applyBorder="1" applyAlignment="1" applyProtection="1">
      <alignment horizontal="center" vertical="center"/>
      <protection hidden="1"/>
    </xf>
    <xf numFmtId="0" fontId="17" fillId="11" borderId="0" xfId="0" applyFont="1" applyFill="1" applyAlignment="1" applyProtection="1">
      <alignment horizontal="center" vertical="center"/>
      <protection hidden="1"/>
    </xf>
    <xf numFmtId="2" fontId="12" fillId="11" borderId="5" xfId="0" applyNumberFormat="1" applyFont="1" applyFill="1" applyBorder="1" applyAlignment="1" applyProtection="1">
      <alignment horizontal="center" vertical="center"/>
      <protection hidden="1"/>
    </xf>
    <xf numFmtId="0" fontId="2" fillId="11" borderId="5" xfId="0" applyFont="1" applyFill="1" applyBorder="1" applyAlignment="1" applyProtection="1">
      <alignment horizontal="center" vertical="center"/>
      <protection hidden="1"/>
    </xf>
    <xf numFmtId="1" fontId="12" fillId="11" borderId="5" xfId="0" applyNumberFormat="1" applyFont="1" applyFill="1" applyBorder="1" applyAlignment="1" applyProtection="1">
      <alignment horizontal="center" vertical="center"/>
      <protection hidden="1"/>
    </xf>
    <xf numFmtId="0" fontId="0" fillId="4" borderId="5" xfId="0" applyFill="1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52" xfId="0" applyFill="1" applyBorder="1" applyAlignment="1">
      <alignment horizontal="center" vertical="center" wrapText="1"/>
    </xf>
    <xf numFmtId="0" fontId="0" fillId="4" borderId="53" xfId="0" applyFill="1" applyBorder="1" applyAlignment="1">
      <alignment horizontal="center" vertical="center" wrapText="1"/>
    </xf>
    <xf numFmtId="0" fontId="1" fillId="10" borderId="54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55" xfId="0" applyFont="1" applyFill="1" applyBorder="1" applyAlignment="1">
      <alignment horizontal="center" vertical="center"/>
    </xf>
    <xf numFmtId="0" fontId="1" fillId="0" borderId="0" xfId="0" applyFont="1"/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0" borderId="14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0" fillId="2" borderId="56" xfId="0" applyFill="1" applyBorder="1" applyAlignment="1">
      <alignment horizontal="center" vertical="center"/>
    </xf>
    <xf numFmtId="0" fontId="0" fillId="14" borderId="38" xfId="0" applyFill="1" applyBorder="1" applyAlignment="1" applyProtection="1">
      <alignment horizontal="center" vertical="center"/>
      <protection locked="0"/>
    </xf>
    <xf numFmtId="0" fontId="0" fillId="2" borderId="57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14" borderId="39" xfId="0" applyFill="1" applyBorder="1" applyAlignment="1" applyProtection="1">
      <alignment horizontal="center" vertical="center"/>
      <protection locked="0"/>
    </xf>
    <xf numFmtId="0" fontId="0" fillId="10" borderId="57" xfId="0" applyFill="1" applyBorder="1" applyAlignment="1">
      <alignment horizontal="center" vertical="center"/>
    </xf>
    <xf numFmtId="0" fontId="0" fillId="10" borderId="52" xfId="0" applyFill="1" applyBorder="1" applyAlignment="1">
      <alignment horizontal="center" vertical="center"/>
    </xf>
    <xf numFmtId="0" fontId="0" fillId="10" borderId="53" xfId="0" applyFill="1" applyBorder="1" applyAlignment="1">
      <alignment horizontal="center" vertical="center"/>
    </xf>
    <xf numFmtId="0" fontId="0" fillId="14" borderId="24" xfId="0" applyFill="1" applyBorder="1" applyAlignment="1" applyProtection="1">
      <alignment horizontal="center" vertical="center"/>
      <protection locked="0"/>
    </xf>
    <xf numFmtId="0" fontId="0" fillId="10" borderId="51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 wrapText="1"/>
    </xf>
    <xf numFmtId="0" fontId="21" fillId="4" borderId="14" xfId="0" applyFont="1" applyFill="1" applyBorder="1" applyAlignment="1">
      <alignment horizontal="center" vertical="center"/>
    </xf>
    <xf numFmtId="0" fontId="21" fillId="4" borderId="15" xfId="0" applyFont="1" applyFill="1" applyBorder="1" applyAlignment="1">
      <alignment horizontal="center" vertical="center"/>
    </xf>
    <xf numFmtId="0" fontId="0" fillId="10" borderId="54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55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 wrapText="1"/>
    </xf>
    <xf numFmtId="0" fontId="0" fillId="10" borderId="53" xfId="0" applyFill="1" applyBorder="1" applyAlignment="1">
      <alignment horizontal="center" vertical="center" wrapText="1"/>
    </xf>
    <xf numFmtId="0" fontId="21" fillId="4" borderId="8" xfId="0" applyFont="1" applyFill="1" applyBorder="1" applyAlignment="1">
      <alignment horizontal="center" vertical="center" wrapText="1"/>
    </xf>
    <xf numFmtId="0" fontId="26" fillId="4" borderId="13" xfId="0" applyFont="1" applyFill="1" applyBorder="1" applyAlignment="1">
      <alignment horizontal="center" vertical="center" wrapText="1"/>
    </xf>
    <xf numFmtId="0" fontId="1" fillId="10" borderId="58" xfId="0" applyFont="1" applyFill="1" applyBorder="1" applyAlignment="1">
      <alignment horizontal="center" vertical="center"/>
    </xf>
    <xf numFmtId="0" fontId="1" fillId="10" borderId="59" xfId="0" applyFont="1" applyFill="1" applyBorder="1" applyAlignment="1">
      <alignment horizontal="center" vertical="center"/>
    </xf>
    <xf numFmtId="0" fontId="1" fillId="10" borderId="60" xfId="0" applyFont="1" applyFill="1" applyBorder="1" applyAlignment="1">
      <alignment horizontal="center" vertical="center"/>
    </xf>
    <xf numFmtId="0" fontId="1" fillId="10" borderId="61" xfId="0" applyFont="1" applyFill="1" applyBorder="1" applyAlignment="1">
      <alignment horizontal="center" vertical="center"/>
    </xf>
    <xf numFmtId="0" fontId="1" fillId="10" borderId="62" xfId="0" applyFont="1" applyFill="1" applyBorder="1" applyAlignment="1">
      <alignment horizontal="center" vertical="center"/>
    </xf>
    <xf numFmtId="0" fontId="1" fillId="10" borderId="63" xfId="0" applyFont="1" applyFill="1" applyBorder="1" applyAlignment="1">
      <alignment horizontal="center" vertical="center"/>
    </xf>
    <xf numFmtId="0" fontId="1" fillId="10" borderId="64" xfId="0" applyFont="1" applyFill="1" applyBorder="1" applyAlignment="1">
      <alignment horizontal="center" vertical="center"/>
    </xf>
    <xf numFmtId="0" fontId="1" fillId="10" borderId="65" xfId="0" applyFont="1" applyFill="1" applyBorder="1" applyAlignment="1">
      <alignment horizontal="center" vertical="center"/>
    </xf>
    <xf numFmtId="0" fontId="1" fillId="10" borderId="66" xfId="0" applyFont="1" applyFill="1" applyBorder="1" applyAlignment="1">
      <alignment horizontal="center" vertical="center"/>
    </xf>
    <xf numFmtId="0" fontId="1" fillId="10" borderId="67" xfId="0" applyFont="1" applyFill="1" applyBorder="1" applyAlignment="1">
      <alignment horizontal="center" vertical="center"/>
    </xf>
    <xf numFmtId="0" fontId="1" fillId="10" borderId="68" xfId="0" applyFont="1" applyFill="1" applyBorder="1" applyAlignment="1">
      <alignment horizontal="center" vertical="center"/>
    </xf>
    <xf numFmtId="0" fontId="1" fillId="10" borderId="69" xfId="0" applyFont="1" applyFill="1" applyBorder="1" applyAlignment="1">
      <alignment horizontal="center" vertical="center"/>
    </xf>
    <xf numFmtId="0" fontId="0" fillId="16" borderId="38" xfId="0" applyFill="1" applyBorder="1" applyAlignment="1" applyProtection="1">
      <alignment horizontal="center" vertical="center"/>
      <protection locked="0"/>
    </xf>
    <xf numFmtId="0" fontId="0" fillId="10" borderId="70" xfId="0" applyFill="1" applyBorder="1" applyAlignment="1">
      <alignment horizontal="center" vertical="center"/>
    </xf>
    <xf numFmtId="0" fontId="21" fillId="4" borderId="41" xfId="0" applyFont="1" applyFill="1" applyBorder="1" applyAlignment="1">
      <alignment horizontal="center" vertical="center" wrapText="1"/>
    </xf>
    <xf numFmtId="0" fontId="21" fillId="4" borderId="24" xfId="0" applyFont="1" applyFill="1" applyBorder="1" applyAlignment="1">
      <alignment horizontal="center" vertical="center"/>
    </xf>
    <xf numFmtId="0" fontId="21" fillId="13" borderId="24" xfId="0" applyFont="1" applyFill="1" applyBorder="1" applyAlignment="1">
      <alignment horizontal="center" vertical="center" wrapText="1"/>
    </xf>
    <xf numFmtId="0" fontId="21" fillId="13" borderId="24" xfId="0" applyFont="1" applyFill="1" applyBorder="1" applyAlignment="1">
      <alignment horizontal="center" vertical="center"/>
    </xf>
    <xf numFmtId="0" fontId="0" fillId="17" borderId="0" xfId="0" applyFill="1"/>
    <xf numFmtId="0" fontId="0" fillId="17" borderId="39" xfId="0" applyFill="1" applyBorder="1" applyAlignment="1" applyProtection="1">
      <alignment horizontal="center" vertical="center"/>
      <protection locked="0"/>
    </xf>
    <xf numFmtId="0" fontId="0" fillId="17" borderId="24" xfId="0" applyFill="1" applyBorder="1" applyAlignment="1" applyProtection="1">
      <alignment horizontal="center" vertical="center"/>
      <protection locked="0"/>
    </xf>
    <xf numFmtId="0" fontId="0" fillId="17" borderId="53" xfId="0" applyFill="1" applyBorder="1" applyAlignment="1">
      <alignment horizontal="center" vertical="center" wrapText="1"/>
    </xf>
    <xf numFmtId="0" fontId="0" fillId="17" borderId="10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21" fillId="17" borderId="15" xfId="0" applyFont="1" applyFill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>
      <alignment horizontal="center"/>
    </xf>
    <xf numFmtId="0" fontId="28" fillId="2" borderId="0" xfId="0" applyFont="1" applyFill="1"/>
    <xf numFmtId="0" fontId="3" fillId="5" borderId="0" xfId="0" applyFont="1" applyFill="1"/>
    <xf numFmtId="0" fontId="3" fillId="2" borderId="0" xfId="0" applyFont="1" applyFill="1"/>
    <xf numFmtId="0" fontId="3" fillId="5" borderId="0" xfId="0" applyFont="1" applyFill="1" applyAlignment="1">
      <alignment horizontal="center"/>
    </xf>
    <xf numFmtId="0" fontId="0" fillId="3" borderId="3" xfId="0" applyFill="1" applyBorder="1" applyAlignment="1" applyProtection="1">
      <alignment horizontal="center"/>
      <protection locked="0" hidden="1"/>
    </xf>
    <xf numFmtId="0" fontId="9" fillId="2" borderId="0" xfId="0" applyFont="1" applyFill="1" applyAlignment="1" applyProtection="1">
      <alignment horizontal="center"/>
      <protection hidden="1"/>
    </xf>
    <xf numFmtId="0" fontId="9" fillId="2" borderId="6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8" borderId="5" xfId="0" applyFill="1" applyBorder="1" applyAlignment="1" applyProtection="1">
      <alignment horizontal="center"/>
      <protection hidden="1"/>
    </xf>
    <xf numFmtId="14" fontId="0" fillId="2" borderId="5" xfId="0" applyNumberFormat="1" applyFill="1" applyBorder="1" applyAlignment="1" applyProtection="1">
      <alignment horizontal="center"/>
      <protection hidden="1"/>
    </xf>
    <xf numFmtId="165" fontId="0" fillId="2" borderId="5" xfId="0" applyNumberFormat="1" applyFill="1" applyBorder="1" applyAlignment="1" applyProtection="1">
      <alignment horizontal="center"/>
      <protection hidden="1"/>
    </xf>
    <xf numFmtId="0" fontId="0" fillId="12" borderId="5" xfId="0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left" vertical="center"/>
    </xf>
    <xf numFmtId="0" fontId="0" fillId="12" borderId="0" xfId="0" applyFill="1" applyAlignment="1" applyProtection="1">
      <alignment horizontal="center" vertical="center"/>
      <protection locked="0"/>
    </xf>
    <xf numFmtId="0" fontId="0" fillId="19" borderId="16" xfId="0" applyFill="1" applyBorder="1" applyAlignment="1">
      <alignment horizontal="left" vertical="center"/>
    </xf>
    <xf numFmtId="0" fontId="0" fillId="19" borderId="18" xfId="0" applyFill="1" applyBorder="1" applyAlignment="1">
      <alignment horizontal="center" vertical="center"/>
    </xf>
    <xf numFmtId="0" fontId="0" fillId="19" borderId="21" xfId="0" applyFill="1" applyBorder="1" applyAlignment="1">
      <alignment horizontal="center" vertical="center"/>
    </xf>
    <xf numFmtId="0" fontId="0" fillId="19" borderId="4" xfId="0" applyFill="1" applyBorder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17" xfId="0" applyFill="1" applyBorder="1" applyAlignment="1">
      <alignment horizontal="left" vertical="center"/>
    </xf>
    <xf numFmtId="0" fontId="0" fillId="19" borderId="20" xfId="0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3" fillId="2" borderId="0" xfId="0" applyFont="1" applyFill="1" applyProtection="1">
      <protection locked="0" hidden="1"/>
    </xf>
    <xf numFmtId="0" fontId="9" fillId="11" borderId="5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16" xfId="0" applyFont="1" applyFill="1" applyBorder="1" applyProtection="1">
      <protection hidden="1"/>
    </xf>
    <xf numFmtId="0" fontId="9" fillId="2" borderId="18" xfId="0" applyFont="1" applyFill="1" applyBorder="1" applyProtection="1">
      <protection hidden="1"/>
    </xf>
    <xf numFmtId="0" fontId="9" fillId="2" borderId="21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166" fontId="9" fillId="2" borderId="7" xfId="0" applyNumberFormat="1" applyFont="1" applyFill="1" applyBorder="1" applyProtection="1">
      <protection hidden="1"/>
    </xf>
    <xf numFmtId="0" fontId="9" fillId="2" borderId="17" xfId="0" applyFont="1" applyFill="1" applyBorder="1" applyProtection="1">
      <protection hidden="1"/>
    </xf>
    <xf numFmtId="0" fontId="9" fillId="2" borderId="20" xfId="0" applyFont="1" applyFill="1" applyBorder="1" applyProtection="1">
      <protection hidden="1"/>
    </xf>
    <xf numFmtId="166" fontId="9" fillId="2" borderId="22" xfId="0" applyNumberFormat="1" applyFont="1" applyFill="1" applyBorder="1" applyProtection="1">
      <protection hidden="1"/>
    </xf>
    <xf numFmtId="0" fontId="9" fillId="2" borderId="4" xfId="0" applyFont="1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9" fillId="2" borderId="22" xfId="0" applyFont="1" applyFill="1" applyBorder="1" applyProtection="1">
      <protection hidden="1"/>
    </xf>
    <xf numFmtId="0" fontId="2" fillId="0" borderId="0" xfId="0" quotePrefix="1" applyFont="1" applyAlignment="1" applyProtection="1">
      <alignment vertical="center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0" fontId="31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/>
      <protection hidden="1"/>
    </xf>
    <xf numFmtId="168" fontId="32" fillId="2" borderId="0" xfId="0" applyNumberFormat="1" applyFont="1" applyFill="1" applyAlignment="1" applyProtection="1">
      <alignment horizontal="centerContinuous"/>
      <protection hidden="1"/>
    </xf>
    <xf numFmtId="0" fontId="31" fillId="2" borderId="0" xfId="0" quotePrefix="1" applyFont="1" applyFill="1" applyProtection="1">
      <protection hidden="1"/>
    </xf>
    <xf numFmtId="0" fontId="2" fillId="0" borderId="0" xfId="0" applyFont="1" applyAlignment="1" applyProtection="1">
      <alignment vertical="center"/>
      <protection hidden="1"/>
    </xf>
    <xf numFmtId="0" fontId="35" fillId="0" borderId="0" xfId="0" quotePrefix="1" applyFont="1" applyAlignment="1" applyProtection="1">
      <alignment vertical="center"/>
      <protection hidden="1"/>
    </xf>
    <xf numFmtId="0" fontId="35" fillId="0" borderId="0" xfId="0" applyFont="1" applyAlignment="1" applyProtection="1">
      <alignment vertical="center"/>
      <protection hidden="1"/>
    </xf>
    <xf numFmtId="0" fontId="35" fillId="0" borderId="0" xfId="1" applyFont="1" applyAlignment="1" applyProtection="1">
      <alignment vertical="center"/>
      <protection hidden="1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 wrapText="1"/>
      <protection hidden="1"/>
    </xf>
    <xf numFmtId="0" fontId="9" fillId="1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8" fillId="2" borderId="0" xfId="1" applyFont="1" applyFill="1" applyAlignment="1" applyProtection="1">
      <alignment horizontal="left"/>
      <protection hidden="1"/>
    </xf>
    <xf numFmtId="0" fontId="2" fillId="2" borderId="0" xfId="1" applyFont="1" applyFill="1" applyAlignment="1" applyProtection="1">
      <alignment horizontal="center"/>
      <protection hidden="1"/>
    </xf>
    <xf numFmtId="0" fontId="2" fillId="2" borderId="0" xfId="1" applyFont="1" applyFill="1" applyAlignment="1" applyProtection="1">
      <alignment horizontal="left"/>
      <protection hidden="1"/>
    </xf>
    <xf numFmtId="0" fontId="2" fillId="2" borderId="5" xfId="1" applyFont="1" applyFill="1" applyBorder="1" applyAlignment="1" applyProtection="1">
      <alignment horizontal="center"/>
      <protection hidden="1"/>
    </xf>
    <xf numFmtId="14" fontId="2" fillId="2" borderId="5" xfId="1" applyNumberFormat="1" applyFont="1" applyFill="1" applyBorder="1" applyAlignment="1" applyProtection="1">
      <alignment horizontal="center"/>
      <protection hidden="1"/>
    </xf>
    <xf numFmtId="0" fontId="2" fillId="2" borderId="5" xfId="1" quotePrefix="1" applyFont="1" applyFill="1" applyBorder="1" applyAlignment="1" applyProtection="1">
      <alignment horizontal="center"/>
      <protection hidden="1"/>
    </xf>
    <xf numFmtId="0" fontId="2" fillId="2" borderId="2" xfId="1" applyFont="1" applyFill="1" applyBorder="1" applyAlignment="1" applyProtection="1">
      <alignment horizontal="left"/>
      <protection hidden="1"/>
    </xf>
    <xf numFmtId="0" fontId="2" fillId="2" borderId="81" xfId="1" applyFont="1" applyFill="1" applyBorder="1" applyAlignment="1" applyProtection="1">
      <alignment horizontal="center"/>
      <protection hidden="1"/>
    </xf>
    <xf numFmtId="14" fontId="2" fillId="2" borderId="81" xfId="1" quotePrefix="1" applyNumberFormat="1" applyFont="1" applyFill="1" applyBorder="1" applyAlignment="1" applyProtection="1">
      <alignment horizontal="center"/>
      <protection hidden="1"/>
    </xf>
    <xf numFmtId="0" fontId="2" fillId="2" borderId="82" xfId="1" quotePrefix="1" applyFont="1" applyFill="1" applyBorder="1" applyAlignment="1" applyProtection="1">
      <alignment horizontal="left"/>
      <protection hidden="1"/>
    </xf>
    <xf numFmtId="0" fontId="2" fillId="2" borderId="82" xfId="1" applyFont="1" applyFill="1" applyBorder="1" applyAlignment="1" applyProtection="1">
      <alignment horizontal="left"/>
      <protection hidden="1"/>
    </xf>
    <xf numFmtId="0" fontId="2" fillId="2" borderId="83" xfId="1" applyFont="1" applyFill="1" applyBorder="1" applyAlignment="1" applyProtection="1">
      <alignment horizontal="center"/>
      <protection hidden="1"/>
    </xf>
    <xf numFmtId="14" fontId="2" fillId="2" borderId="83" xfId="1" applyNumberFormat="1" applyFont="1" applyFill="1" applyBorder="1" applyAlignment="1" applyProtection="1">
      <alignment horizontal="center"/>
      <protection hidden="1"/>
    </xf>
    <xf numFmtId="0" fontId="2" fillId="2" borderId="84" xfId="1" applyFont="1" applyFill="1" applyBorder="1" applyAlignment="1" applyProtection="1">
      <alignment horizontal="left"/>
      <protection hidden="1"/>
    </xf>
    <xf numFmtId="0" fontId="2" fillId="2" borderId="85" xfId="1" applyFont="1" applyFill="1" applyBorder="1" applyAlignment="1" applyProtection="1">
      <alignment horizontal="center"/>
      <protection hidden="1"/>
    </xf>
    <xf numFmtId="14" fontId="2" fillId="2" borderId="85" xfId="1" applyNumberFormat="1" applyFont="1" applyFill="1" applyBorder="1" applyAlignment="1" applyProtection="1">
      <alignment horizontal="center"/>
      <protection hidden="1"/>
    </xf>
    <xf numFmtId="14" fontId="2" fillId="2" borderId="86" xfId="1" applyNumberFormat="1" applyFont="1" applyFill="1" applyBorder="1" applyAlignment="1" applyProtection="1">
      <alignment horizontal="center"/>
      <protection hidden="1"/>
    </xf>
    <xf numFmtId="0" fontId="2" fillId="2" borderId="80" xfId="1" applyFont="1" applyFill="1" applyBorder="1" applyAlignment="1" applyProtection="1">
      <alignment horizontal="left"/>
      <protection hidden="1"/>
    </xf>
    <xf numFmtId="0" fontId="2" fillId="2" borderId="18" xfId="1" applyFont="1" applyFill="1" applyBorder="1" applyAlignment="1" applyProtection="1">
      <alignment horizontal="center"/>
      <protection hidden="1"/>
    </xf>
    <xf numFmtId="0" fontId="2" fillId="2" borderId="18" xfId="1" applyFont="1" applyFill="1" applyBorder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0" fontId="0" fillId="2" borderId="3" xfId="0" applyFill="1" applyBorder="1" applyAlignment="1">
      <alignment horizontal="center" vertical="center"/>
    </xf>
    <xf numFmtId="0" fontId="3" fillId="2" borderId="5" xfId="0" applyFont="1" applyFill="1" applyBorder="1"/>
    <xf numFmtId="0" fontId="9" fillId="2" borderId="5" xfId="0" applyFont="1" applyFill="1" applyBorder="1" applyAlignment="1" applyProtection="1">
      <alignment horizontal="center" vertical="center"/>
      <protection hidden="1"/>
    </xf>
    <xf numFmtId="0" fontId="9" fillId="2" borderId="5" xfId="0" applyFont="1" applyFill="1" applyBorder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8" fillId="0" borderId="0" xfId="0" quotePrefix="1" applyFont="1" applyAlignment="1" applyProtection="1">
      <alignment vertical="center"/>
      <protection hidden="1"/>
    </xf>
    <xf numFmtId="14" fontId="36" fillId="0" borderId="0" xfId="0" applyNumberFormat="1" applyFont="1" applyAlignment="1" applyProtection="1">
      <alignment horizontal="left" vertical="center"/>
      <protection hidden="1"/>
    </xf>
    <xf numFmtId="0" fontId="38" fillId="0" borderId="0" xfId="0" applyFont="1" applyAlignment="1" applyProtection="1">
      <alignment vertical="center"/>
      <protection hidden="1"/>
    </xf>
    <xf numFmtId="0" fontId="39" fillId="0" borderId="0" xfId="0" applyFont="1" applyAlignment="1" applyProtection="1">
      <alignment horizontal="left" vertical="center"/>
      <protection hidden="1"/>
    </xf>
    <xf numFmtId="2" fontId="36" fillId="0" borderId="0" xfId="0" applyNumberFormat="1" applyFont="1" applyAlignment="1" applyProtection="1">
      <alignment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1" fillId="0" borderId="0" xfId="1" applyFont="1" applyAlignment="1" applyProtection="1">
      <alignment vertical="center"/>
      <protection hidden="1"/>
    </xf>
    <xf numFmtId="0" fontId="35" fillId="0" borderId="0" xfId="0" quotePrefix="1" applyFont="1" applyAlignment="1" applyProtection="1">
      <alignment horizontal="left" vertical="center"/>
      <protection hidden="1"/>
    </xf>
    <xf numFmtId="0" fontId="31" fillId="2" borderId="0" xfId="0" quotePrefix="1" applyFont="1" applyFill="1" applyAlignment="1" applyProtection="1">
      <alignment horizontal="left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0" fontId="9" fillId="20" borderId="0" xfId="0" applyFont="1" applyFill="1" applyAlignment="1" applyProtection="1">
      <alignment vertical="center"/>
      <protection hidden="1"/>
    </xf>
    <xf numFmtId="0" fontId="6" fillId="8" borderId="0" xfId="0" applyFont="1" applyFill="1" applyAlignment="1" applyProtection="1">
      <alignment vertical="center"/>
      <protection hidden="1"/>
    </xf>
    <xf numFmtId="0" fontId="9" fillId="21" borderId="0" xfId="0" applyFont="1" applyFill="1" applyAlignment="1" applyProtection="1">
      <alignment vertical="center"/>
      <protection hidden="1"/>
    </xf>
    <xf numFmtId="0" fontId="9" fillId="22" borderId="0" xfId="0" applyFont="1" applyFill="1" applyAlignment="1" applyProtection="1">
      <alignment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0" fillId="0" borderId="5" xfId="0" applyBorder="1"/>
    <xf numFmtId="0" fontId="9" fillId="2" borderId="16" xfId="0" applyFont="1" applyFill="1" applyBorder="1" applyAlignment="1" applyProtection="1">
      <alignment vertical="center"/>
      <protection hidden="1"/>
    </xf>
    <xf numFmtId="0" fontId="9" fillId="2" borderId="18" xfId="0" applyFont="1" applyFill="1" applyBorder="1" applyAlignment="1" applyProtection="1">
      <alignment horizontal="center" vertical="center"/>
      <protection hidden="1"/>
    </xf>
    <xf numFmtId="0" fontId="31" fillId="2" borderId="18" xfId="0" quotePrefix="1" applyFont="1" applyFill="1" applyBorder="1" applyProtection="1"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" xfId="0" applyFont="1" applyFill="1" applyBorder="1" applyAlignment="1" applyProtection="1">
      <alignment vertical="center"/>
      <protection hidden="1"/>
    </xf>
    <xf numFmtId="0" fontId="9" fillId="2" borderId="17" xfId="0" applyFont="1" applyFill="1" applyBorder="1" applyAlignment="1" applyProtection="1">
      <alignment vertical="center"/>
      <protection hidden="1"/>
    </xf>
    <xf numFmtId="0" fontId="9" fillId="2" borderId="20" xfId="0" applyFont="1" applyFill="1" applyBorder="1" applyAlignment="1" applyProtection="1">
      <alignment horizontal="center" vertical="center"/>
      <protection hidden="1"/>
    </xf>
    <xf numFmtId="0" fontId="2" fillId="2" borderId="20" xfId="0" applyFont="1" applyFill="1" applyBorder="1" applyAlignment="1" applyProtection="1">
      <alignment horizontal="center" vertical="center"/>
      <protection hidden="1"/>
    </xf>
    <xf numFmtId="0" fontId="31" fillId="2" borderId="20" xfId="0" quotePrefix="1" applyFont="1" applyFill="1" applyBorder="1" applyProtection="1">
      <protection hidden="1"/>
    </xf>
    <xf numFmtId="0" fontId="9" fillId="2" borderId="19" xfId="0" applyFont="1" applyFill="1" applyBorder="1" applyAlignment="1" applyProtection="1">
      <alignment horizontal="center" vertical="center"/>
      <protection hidden="1"/>
    </xf>
    <xf numFmtId="0" fontId="0" fillId="0" borderId="16" xfId="0" applyBorder="1"/>
    <xf numFmtId="0" fontId="0" fillId="0" borderId="18" xfId="0" applyBorder="1"/>
    <xf numFmtId="0" fontId="0" fillId="0" borderId="21" xfId="0" applyBorder="1"/>
    <xf numFmtId="0" fontId="0" fillId="0" borderId="4" xfId="0" applyBorder="1"/>
    <xf numFmtId="0" fontId="0" fillId="0" borderId="6" xfId="0" applyBorder="1"/>
    <xf numFmtId="0" fontId="0" fillId="0" borderId="17" xfId="0" applyBorder="1"/>
    <xf numFmtId="0" fontId="0" fillId="0" borderId="20" xfId="0" applyBorder="1"/>
    <xf numFmtId="0" fontId="0" fillId="0" borderId="19" xfId="0" applyBorder="1"/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2" fillId="4" borderId="0" xfId="4" applyFont="1" applyFill="1"/>
    <xf numFmtId="0" fontId="30" fillId="4" borderId="0" xfId="4" applyFill="1"/>
    <xf numFmtId="0" fontId="4" fillId="4" borderId="0" xfId="4" applyFont="1" applyFill="1"/>
    <xf numFmtId="0" fontId="4" fillId="0" borderId="0" xfId="1"/>
    <xf numFmtId="0" fontId="30" fillId="0" borderId="0" xfId="4"/>
    <xf numFmtId="14" fontId="30" fillId="0" borderId="0" xfId="4" applyNumberFormat="1"/>
    <xf numFmtId="168" fontId="30" fillId="0" borderId="0" xfId="4" applyNumberFormat="1"/>
    <xf numFmtId="165" fontId="30" fillId="0" borderId="0" xfId="4" applyNumberFormat="1"/>
    <xf numFmtId="0" fontId="0" fillId="20" borderId="5" xfId="0" applyFill="1" applyBorder="1" applyAlignment="1" applyProtection="1">
      <alignment horizontal="center" vertical="center"/>
      <protection hidden="1"/>
    </xf>
    <xf numFmtId="0" fontId="0" fillId="23" borderId="5" xfId="0" applyFill="1" applyBorder="1" applyAlignment="1">
      <alignment horizontal="center"/>
    </xf>
    <xf numFmtId="0" fontId="0" fillId="4" borderId="5" xfId="0" applyFill="1" applyBorder="1"/>
    <xf numFmtId="0" fontId="0" fillId="5" borderId="5" xfId="0" quotePrefix="1" applyFill="1" applyBorder="1" applyAlignment="1">
      <alignment horizontal="center"/>
    </xf>
    <xf numFmtId="0" fontId="0" fillId="5" borderId="22" xfId="0" quotePrefix="1" applyFill="1" applyBorder="1" applyAlignment="1">
      <alignment horizontal="center"/>
    </xf>
    <xf numFmtId="0" fontId="0" fillId="4" borderId="22" xfId="0" applyFill="1" applyBorder="1"/>
    <xf numFmtId="0" fontId="45" fillId="2" borderId="0" xfId="0" applyFont="1" applyFill="1" applyProtection="1">
      <protection locked="0" hidden="1"/>
    </xf>
    <xf numFmtId="0" fontId="0" fillId="2" borderId="0" xfId="0" applyFill="1" applyProtection="1">
      <protection hidden="1"/>
    </xf>
    <xf numFmtId="0" fontId="45" fillId="2" borderId="0" xfId="0" applyFont="1" applyFill="1" applyProtection="1">
      <protection hidden="1"/>
    </xf>
    <xf numFmtId="0" fontId="36" fillId="0" borderId="75" xfId="0" applyFont="1" applyBorder="1" applyAlignment="1" applyProtection="1">
      <alignment horizontal="center" vertical="center"/>
      <protection hidden="1"/>
    </xf>
    <xf numFmtId="0" fontId="36" fillId="0" borderId="78" xfId="0" applyFont="1" applyBorder="1" applyAlignment="1" applyProtection="1">
      <alignment horizontal="center" vertical="center"/>
      <protection hidden="1"/>
    </xf>
    <xf numFmtId="0" fontId="36" fillId="0" borderId="76" xfId="0" applyFont="1" applyBorder="1" applyAlignment="1" applyProtection="1">
      <alignment horizontal="center" vertical="center"/>
      <protection hidden="1"/>
    </xf>
    <xf numFmtId="0" fontId="36" fillId="10" borderId="71" xfId="0" applyFont="1" applyFill="1" applyBorder="1" applyAlignment="1" applyProtection="1">
      <alignment horizontal="center" vertical="center" wrapText="1"/>
      <protection hidden="1"/>
    </xf>
    <xf numFmtId="0" fontId="36" fillId="10" borderId="77" xfId="0" applyFont="1" applyFill="1" applyBorder="1" applyAlignment="1" applyProtection="1">
      <alignment horizontal="center" vertical="center" wrapText="1"/>
      <protection hidden="1"/>
    </xf>
    <xf numFmtId="0" fontId="36" fillId="10" borderId="73" xfId="0" applyFont="1" applyFill="1" applyBorder="1" applyAlignment="1" applyProtection="1">
      <alignment horizontal="center" vertical="center" wrapText="1"/>
      <protection hidden="1"/>
    </xf>
    <xf numFmtId="0" fontId="36" fillId="10" borderId="79" xfId="0" applyFont="1" applyFill="1" applyBorder="1" applyAlignment="1" applyProtection="1">
      <alignment horizontal="center" vertical="center" wrapText="1"/>
      <protection hidden="1"/>
    </xf>
    <xf numFmtId="0" fontId="36" fillId="10" borderId="77" xfId="0" applyFont="1" applyFill="1" applyBorder="1" applyAlignment="1" applyProtection="1">
      <alignment horizontal="center" vertical="center"/>
      <protection hidden="1"/>
    </xf>
    <xf numFmtId="0" fontId="36" fillId="10" borderId="79" xfId="0" applyFont="1" applyFill="1" applyBorder="1" applyAlignment="1" applyProtection="1">
      <alignment horizontal="center" vertical="center"/>
      <protection hidden="1"/>
    </xf>
    <xf numFmtId="0" fontId="36" fillId="10" borderId="72" xfId="0" applyFont="1" applyFill="1" applyBorder="1" applyAlignment="1" applyProtection="1">
      <alignment horizontal="center" vertical="center"/>
      <protection hidden="1"/>
    </xf>
    <xf numFmtId="0" fontId="36" fillId="10" borderId="74" xfId="0" applyFont="1" applyFill="1" applyBorder="1" applyAlignment="1" applyProtection="1">
      <alignment horizontal="center" vertical="center"/>
      <protection hidden="1"/>
    </xf>
    <xf numFmtId="0" fontId="36" fillId="0" borderId="87" xfId="0" applyFont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42" fillId="0" borderId="0" xfId="0" applyFont="1" applyAlignment="1" applyProtection="1">
      <alignment horizontal="left" vertical="center"/>
      <protection hidden="1"/>
    </xf>
    <xf numFmtId="0" fontId="43" fillId="0" borderId="0" xfId="0" applyFont="1" applyAlignment="1" applyProtection="1">
      <alignment horizontal="left" vertical="center"/>
      <protection hidden="1"/>
    </xf>
    <xf numFmtId="0" fontId="36" fillId="0" borderId="0" xfId="0" quotePrefix="1" applyFont="1" applyAlignment="1" applyProtection="1">
      <alignment horizontal="left" vertical="top" wrapText="1"/>
      <protection hidden="1"/>
    </xf>
    <xf numFmtId="0" fontId="36" fillId="0" borderId="0" xfId="0" applyFont="1" applyAlignment="1" applyProtection="1">
      <alignment horizontal="left" vertical="top" wrapText="1"/>
      <protection hidden="1"/>
    </xf>
    <xf numFmtId="0" fontId="36" fillId="0" borderId="0" xfId="0" applyFont="1" applyAlignment="1" applyProtection="1">
      <alignment horizontal="left" vertical="center" wrapText="1"/>
      <protection hidden="1"/>
    </xf>
    <xf numFmtId="0" fontId="36" fillId="0" borderId="0" xfId="0" quotePrefix="1" applyFont="1" applyAlignment="1" applyProtection="1">
      <alignment horizontal="left" vertical="center" wrapText="1"/>
      <protection hidden="1"/>
    </xf>
    <xf numFmtId="14" fontId="36" fillId="0" borderId="0" xfId="0" applyNumberFormat="1" applyFont="1" applyAlignment="1" applyProtection="1">
      <alignment horizontal="left" vertical="center"/>
      <protection hidden="1"/>
    </xf>
    <xf numFmtId="0" fontId="35" fillId="0" borderId="0" xfId="0" quotePrefix="1" applyFont="1" applyAlignment="1" applyProtection="1">
      <alignment horizontal="center" vertical="center"/>
      <protection hidden="1"/>
    </xf>
    <xf numFmtId="165" fontId="36" fillId="0" borderId="0" xfId="0" applyNumberFormat="1" applyFont="1" applyAlignment="1" applyProtection="1">
      <alignment horizontal="left"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2" fillId="2" borderId="1" xfId="3" applyFont="1" applyFill="1" applyBorder="1" applyAlignment="1" applyProtection="1">
      <alignment horizontal="left"/>
      <protection hidden="1"/>
    </xf>
    <xf numFmtId="0" fontId="2" fillId="2" borderId="2" xfId="3" applyFont="1" applyFill="1" applyBorder="1" applyAlignment="1" applyProtection="1">
      <alignment horizontal="left"/>
      <protection hidden="1"/>
    </xf>
    <xf numFmtId="0" fontId="2" fillId="2" borderId="3" xfId="3" applyFont="1" applyFill="1" applyBorder="1" applyAlignment="1" applyProtection="1">
      <alignment horizontal="left"/>
      <protection hidden="1"/>
    </xf>
    <xf numFmtId="0" fontId="2" fillId="2" borderId="1" xfId="3" applyFont="1" applyFill="1" applyBorder="1" applyAlignment="1" applyProtection="1">
      <alignment horizontal="center"/>
      <protection hidden="1"/>
    </xf>
    <xf numFmtId="0" fontId="2" fillId="2" borderId="3" xfId="3" applyFont="1" applyFill="1" applyBorder="1" applyAlignment="1" applyProtection="1">
      <alignment horizontal="center"/>
      <protection hidden="1"/>
    </xf>
    <xf numFmtId="14" fontId="2" fillId="2" borderId="1" xfId="3" applyNumberFormat="1" applyFont="1" applyFill="1" applyBorder="1" applyAlignment="1" applyProtection="1">
      <alignment horizontal="center"/>
      <protection hidden="1"/>
    </xf>
    <xf numFmtId="14" fontId="2" fillId="2" borderId="2" xfId="3" applyNumberFormat="1" applyFont="1" applyFill="1" applyBorder="1" applyAlignment="1" applyProtection="1">
      <alignment horizontal="center"/>
      <protection hidden="1"/>
    </xf>
    <xf numFmtId="14" fontId="2" fillId="2" borderId="3" xfId="3" applyNumberFormat="1" applyFont="1" applyFill="1" applyBorder="1" applyAlignment="1" applyProtection="1">
      <alignment horizontal="center"/>
      <protection hidden="1"/>
    </xf>
    <xf numFmtId="0" fontId="2" fillId="2" borderId="2" xfId="3" applyFont="1" applyFill="1" applyBorder="1" applyAlignment="1" applyProtection="1">
      <alignment horizontal="center"/>
      <protection hidden="1"/>
    </xf>
    <xf numFmtId="166" fontId="2" fillId="3" borderId="1" xfId="0" applyNumberFormat="1" applyFont="1" applyFill="1" applyBorder="1" applyAlignment="1" applyProtection="1">
      <alignment horizontal="center" vertical="center"/>
      <protection locked="0"/>
    </xf>
    <xf numFmtId="166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left" vertical="center"/>
      <protection locked="0"/>
    </xf>
    <xf numFmtId="0" fontId="2" fillId="3" borderId="2" xfId="0" applyFont="1" applyFill="1" applyBorder="1" applyAlignment="1" applyProtection="1">
      <alignment horizontal="left" vertical="center"/>
      <protection locked="0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16" xfId="0" applyFont="1" applyFill="1" applyBorder="1" applyAlignment="1" applyProtection="1">
      <alignment horizontal="left" vertical="top"/>
      <protection locked="0"/>
    </xf>
    <xf numFmtId="0" fontId="2" fillId="3" borderId="18" xfId="0" applyFont="1" applyFill="1" applyBorder="1" applyAlignment="1" applyProtection="1">
      <alignment horizontal="left" vertical="top"/>
      <protection locked="0"/>
    </xf>
    <xf numFmtId="0" fontId="2" fillId="3" borderId="21" xfId="0" applyFont="1" applyFill="1" applyBorder="1" applyAlignment="1" applyProtection="1">
      <alignment horizontal="left" vertical="top"/>
      <protection locked="0"/>
    </xf>
    <xf numFmtId="0" fontId="2" fillId="3" borderId="17" xfId="0" applyFont="1" applyFill="1" applyBorder="1" applyAlignment="1" applyProtection="1">
      <alignment horizontal="left" vertical="top"/>
      <protection locked="0"/>
    </xf>
    <xf numFmtId="0" fontId="2" fillId="3" borderId="20" xfId="0" applyFont="1" applyFill="1" applyBorder="1" applyAlignment="1" applyProtection="1">
      <alignment horizontal="left" vertical="top"/>
      <protection locked="0"/>
    </xf>
    <xf numFmtId="0" fontId="2" fillId="3" borderId="19" xfId="0" applyFont="1" applyFill="1" applyBorder="1" applyAlignment="1" applyProtection="1">
      <alignment horizontal="left" vertical="top"/>
      <protection locked="0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49" fontId="2" fillId="3" borderId="1" xfId="0" applyNumberFormat="1" applyFont="1" applyFill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49" fontId="2" fillId="3" borderId="3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center"/>
      <protection hidden="1"/>
    </xf>
    <xf numFmtId="166" fontId="2" fillId="3" borderId="17" xfId="0" applyNumberFormat="1" applyFont="1" applyFill="1" applyBorder="1" applyAlignment="1" applyProtection="1">
      <alignment horizontal="center" vertical="center" shrinkToFit="1"/>
      <protection locked="0"/>
    </xf>
    <xf numFmtId="166" fontId="2" fillId="3" borderId="19" xfId="0" applyNumberFormat="1" applyFont="1" applyFill="1" applyBorder="1" applyAlignment="1" applyProtection="1">
      <alignment horizontal="center" vertical="center" shrinkToFit="1"/>
      <protection locked="0"/>
    </xf>
    <xf numFmtId="166" fontId="2" fillId="3" borderId="17" xfId="0" applyNumberFormat="1" applyFont="1" applyFill="1" applyBorder="1" applyAlignment="1" applyProtection="1">
      <alignment horizontal="center" vertical="center"/>
      <protection locked="0"/>
    </xf>
    <xf numFmtId="166" fontId="2" fillId="3" borderId="19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center" vertical="center"/>
      <protection locked="0"/>
    </xf>
    <xf numFmtId="164" fontId="2" fillId="3" borderId="1" xfId="0" applyNumberFormat="1" applyFont="1" applyFill="1" applyBorder="1" applyAlignment="1" applyProtection="1">
      <alignment horizontal="center" vertical="center"/>
      <protection locked="0"/>
    </xf>
    <xf numFmtId="164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center" vertical="center"/>
      <protection hidden="1"/>
    </xf>
    <xf numFmtId="165" fontId="2" fillId="3" borderId="1" xfId="0" applyNumberFormat="1" applyFont="1" applyFill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 applyProtection="1">
      <alignment horizontal="center" vertical="center"/>
      <protection locked="0"/>
    </xf>
    <xf numFmtId="165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/>
      <protection hidden="1"/>
    </xf>
    <xf numFmtId="0" fontId="2" fillId="2" borderId="3" xfId="0" applyFont="1" applyFill="1" applyBorder="1" applyAlignment="1" applyProtection="1">
      <alignment horizontal="left"/>
      <protection hidden="1"/>
    </xf>
    <xf numFmtId="0" fontId="2" fillId="3" borderId="1" xfId="0" quotePrefix="1" applyFont="1" applyFill="1" applyBorder="1" applyAlignment="1" applyProtection="1">
      <alignment horizontal="left" vertical="center"/>
      <protection locked="0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shrinkToFit="1"/>
      <protection locked="0" hidden="1"/>
    </xf>
    <xf numFmtId="0" fontId="0" fillId="3" borderId="2" xfId="0" applyFill="1" applyBorder="1" applyAlignment="1" applyProtection="1">
      <alignment horizontal="center" shrinkToFit="1"/>
      <protection locked="0" hidden="1"/>
    </xf>
    <xf numFmtId="0" fontId="0" fillId="3" borderId="3" xfId="0" applyFill="1" applyBorder="1" applyAlignment="1" applyProtection="1">
      <alignment horizontal="center" shrinkToFit="1"/>
      <protection locked="0" hidden="1"/>
    </xf>
    <xf numFmtId="0" fontId="0" fillId="3" borderId="5" xfId="0" applyFill="1" applyBorder="1" applyAlignment="1" applyProtection="1">
      <alignment horizontal="center"/>
      <protection locked="0" hidden="1"/>
    </xf>
    <xf numFmtId="0" fontId="0" fillId="3" borderId="7" xfId="0" applyFill="1" applyBorder="1" applyAlignment="1" applyProtection="1">
      <alignment horizontal="center"/>
      <protection locked="0" hidden="1"/>
    </xf>
    <xf numFmtId="0" fontId="0" fillId="3" borderId="1" xfId="0" applyFill="1" applyBorder="1" applyAlignment="1" applyProtection="1">
      <alignment horizontal="center"/>
      <protection locked="0" hidden="1"/>
    </xf>
    <xf numFmtId="0" fontId="0" fillId="3" borderId="2" xfId="0" applyFill="1" applyBorder="1" applyAlignment="1" applyProtection="1">
      <alignment horizontal="center"/>
      <protection locked="0" hidden="1"/>
    </xf>
    <xf numFmtId="0" fontId="0" fillId="3" borderId="3" xfId="0" applyFill="1" applyBorder="1" applyAlignment="1" applyProtection="1">
      <alignment horizontal="center"/>
      <protection locked="0" hidden="1"/>
    </xf>
    <xf numFmtId="0" fontId="0" fillId="2" borderId="5" xfId="0" applyFill="1" applyBorder="1" applyAlignment="1">
      <alignment horizontal="center"/>
    </xf>
    <xf numFmtId="0" fontId="2" fillId="9" borderId="5" xfId="0" applyFont="1" applyFill="1" applyBorder="1" applyAlignment="1" applyProtection="1">
      <alignment horizontal="center" wrapText="1"/>
      <protection hidden="1"/>
    </xf>
    <xf numFmtId="0" fontId="2" fillId="9" borderId="5" xfId="0" applyFont="1" applyFill="1" applyBorder="1" applyAlignment="1" applyProtection="1">
      <alignment horizontal="center"/>
      <protection hidden="1"/>
    </xf>
    <xf numFmtId="0" fontId="0" fillId="10" borderId="17" xfId="0" applyFill="1" applyBorder="1" applyAlignment="1" applyProtection="1">
      <alignment horizontal="center" wrapText="1"/>
      <protection locked="0" hidden="1"/>
    </xf>
    <xf numFmtId="0" fontId="0" fillId="10" borderId="20" xfId="0" applyFill="1" applyBorder="1" applyAlignment="1" applyProtection="1">
      <alignment horizontal="center" wrapText="1"/>
      <protection locked="0" hidden="1"/>
    </xf>
    <xf numFmtId="0" fontId="0" fillId="10" borderId="19" xfId="0" applyFill="1" applyBorder="1" applyAlignment="1" applyProtection="1">
      <alignment horizontal="center" wrapText="1"/>
      <protection locked="0" hidden="1"/>
    </xf>
    <xf numFmtId="0" fontId="0" fillId="2" borderId="0" xfId="0" applyFill="1" applyAlignment="1">
      <alignment horizontal="left"/>
    </xf>
    <xf numFmtId="0" fontId="0" fillId="3" borderId="5" xfId="0" applyFill="1" applyBorder="1" applyAlignment="1" applyProtection="1">
      <alignment horizontal="center" shrinkToFit="1"/>
      <protection locked="0" hidden="1"/>
    </xf>
    <xf numFmtId="0" fontId="0" fillId="2" borderId="16" xfId="0" applyFill="1" applyBorder="1" applyAlignment="1">
      <alignment horizontal="center" wrapText="1"/>
    </xf>
    <xf numFmtId="0" fontId="0" fillId="2" borderId="18" xfId="0" applyFill="1" applyBorder="1" applyAlignment="1">
      <alignment horizontal="center" wrapText="1"/>
    </xf>
    <xf numFmtId="0" fontId="0" fillId="2" borderId="21" xfId="0" applyFill="1" applyBorder="1" applyAlignment="1">
      <alignment horizontal="center" wrapText="1"/>
    </xf>
    <xf numFmtId="0" fontId="0" fillId="2" borderId="17" xfId="0" applyFill="1" applyBorder="1" applyAlignment="1">
      <alignment horizontal="center" wrapText="1"/>
    </xf>
    <xf numFmtId="0" fontId="0" fillId="2" borderId="20" xfId="0" applyFill="1" applyBorder="1" applyAlignment="1">
      <alignment horizontal="center" wrapText="1"/>
    </xf>
    <xf numFmtId="0" fontId="0" fillId="2" borderId="19" xfId="0" applyFill="1" applyBorder="1" applyAlignment="1">
      <alignment horizontal="center" wrapText="1"/>
    </xf>
    <xf numFmtId="0" fontId="0" fillId="2" borderId="0" xfId="0" applyFill="1" applyAlignment="1" applyProtection="1">
      <alignment horizontal="left"/>
      <protection locked="0" hidden="1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left" vertical="top"/>
      <protection locked="0"/>
    </xf>
    <xf numFmtId="0" fontId="0" fillId="3" borderId="18" xfId="0" applyFill="1" applyBorder="1" applyAlignment="1" applyProtection="1">
      <alignment horizontal="left" vertical="top"/>
      <protection locked="0"/>
    </xf>
    <xf numFmtId="0" fontId="0" fillId="3" borderId="21" xfId="0" applyFill="1" applyBorder="1" applyAlignment="1" applyProtection="1">
      <alignment horizontal="left" vertical="top"/>
      <protection locked="0"/>
    </xf>
    <xf numFmtId="0" fontId="0" fillId="3" borderId="17" xfId="0" applyFill="1" applyBorder="1" applyAlignment="1" applyProtection="1">
      <alignment horizontal="left" vertical="top"/>
      <protection locked="0"/>
    </xf>
    <xf numFmtId="0" fontId="0" fillId="3" borderId="20" xfId="0" applyFill="1" applyBorder="1" applyAlignment="1" applyProtection="1">
      <alignment horizontal="left" vertical="top"/>
      <protection locked="0"/>
    </xf>
    <xf numFmtId="0" fontId="0" fillId="3" borderId="19" xfId="0" applyFill="1" applyBorder="1" applyAlignment="1" applyProtection="1">
      <alignment horizontal="left" vertical="top"/>
      <protection locked="0"/>
    </xf>
    <xf numFmtId="0" fontId="0" fillId="2" borderId="4" xfId="0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right"/>
      <protection hidden="1"/>
    </xf>
    <xf numFmtId="0" fontId="0" fillId="2" borderId="6" xfId="0" applyFill="1" applyBorder="1" applyAlignment="1" applyProtection="1">
      <alignment horizontal="right"/>
      <protection hidden="1"/>
    </xf>
    <xf numFmtId="0" fontId="2" fillId="3" borderId="1" xfId="0" applyFont="1" applyFill="1" applyBorder="1" applyAlignment="1" applyProtection="1">
      <alignment horizontal="center" vertical="center"/>
      <protection locked="0" hidden="1"/>
    </xf>
    <xf numFmtId="0" fontId="2" fillId="3" borderId="2" xfId="0" applyFont="1" applyFill="1" applyBorder="1" applyAlignment="1" applyProtection="1">
      <alignment horizontal="center" vertical="center"/>
      <protection locked="0" hidden="1"/>
    </xf>
    <xf numFmtId="0" fontId="2" fillId="3" borderId="5" xfId="0" applyFont="1" applyFill="1" applyBorder="1" applyAlignment="1" applyProtection="1">
      <alignment horizontal="center" vertical="center"/>
      <protection locked="0" hidden="1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2" fillId="9" borderId="7" xfId="0" applyFont="1" applyFill="1" applyBorder="1" applyAlignment="1" applyProtection="1">
      <alignment horizontal="center" wrapText="1"/>
      <protection hidden="1"/>
    </xf>
    <xf numFmtId="0" fontId="2" fillId="9" borderId="22" xfId="0" applyFont="1" applyFill="1" applyBorder="1" applyAlignment="1" applyProtection="1">
      <alignment horizontal="center" wrapText="1"/>
      <protection hidden="1"/>
    </xf>
    <xf numFmtId="0" fontId="2" fillId="9" borderId="1" xfId="0" applyFont="1" applyFill="1" applyBorder="1" applyAlignment="1" applyProtection="1">
      <alignment horizontal="center"/>
      <protection hidden="1"/>
    </xf>
    <xf numFmtId="0" fontId="2" fillId="9" borderId="2" xfId="0" applyFont="1" applyFill="1" applyBorder="1" applyAlignment="1" applyProtection="1">
      <alignment horizontal="center"/>
      <protection hidden="1"/>
    </xf>
    <xf numFmtId="0" fontId="2" fillId="9" borderId="3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 vertical="center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  <xf numFmtId="0" fontId="12" fillId="11" borderId="50" xfId="0" applyFont="1" applyFill="1" applyBorder="1" applyAlignment="1" applyProtection="1">
      <alignment horizontal="right" vertical="center"/>
      <protection hidden="1"/>
    </xf>
    <xf numFmtId="0" fontId="12" fillId="11" borderId="34" xfId="0" applyFont="1" applyFill="1" applyBorder="1" applyAlignment="1" applyProtection="1">
      <alignment horizontal="right" vertical="center"/>
      <protection hidden="1"/>
    </xf>
    <xf numFmtId="0" fontId="12" fillId="11" borderId="51" xfId="0" applyFont="1" applyFill="1" applyBorder="1" applyAlignment="1" applyProtection="1">
      <alignment horizontal="right" vertical="center"/>
      <protection hidden="1"/>
    </xf>
    <xf numFmtId="0" fontId="12" fillId="11" borderId="46" xfId="0" applyFont="1" applyFill="1" applyBorder="1" applyAlignment="1" applyProtection="1">
      <alignment horizontal="center" vertical="center"/>
      <protection hidden="1"/>
    </xf>
    <xf numFmtId="0" fontId="12" fillId="11" borderId="47" xfId="0" applyFont="1" applyFill="1" applyBorder="1" applyAlignment="1" applyProtection="1">
      <alignment horizontal="center" vertical="center"/>
      <protection hidden="1"/>
    </xf>
    <xf numFmtId="0" fontId="12" fillId="11" borderId="48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 wrapText="1"/>
      <protection hidden="1"/>
    </xf>
    <xf numFmtId="0" fontId="12" fillId="11" borderId="32" xfId="0" applyFont="1" applyFill="1" applyBorder="1" applyAlignment="1" applyProtection="1">
      <alignment horizontal="center" vertical="center" wrapText="1"/>
      <protection hidden="1"/>
    </xf>
    <xf numFmtId="0" fontId="12" fillId="11" borderId="42" xfId="0" applyFont="1" applyFill="1" applyBorder="1" applyAlignment="1" applyProtection="1">
      <alignment horizontal="right" vertical="center"/>
      <protection hidden="1"/>
    </xf>
    <xf numFmtId="0" fontId="12" fillId="11" borderId="43" xfId="0" applyFont="1" applyFill="1" applyBorder="1" applyAlignment="1" applyProtection="1">
      <alignment horizontal="right" vertical="center"/>
      <protection hidden="1"/>
    </xf>
    <xf numFmtId="0" fontId="12" fillId="11" borderId="44" xfId="0" applyFont="1" applyFill="1" applyBorder="1" applyAlignment="1" applyProtection="1">
      <alignment horizontal="right" vertical="center"/>
      <protection hidden="1"/>
    </xf>
    <xf numFmtId="0" fontId="12" fillId="11" borderId="42" xfId="0" applyFont="1" applyFill="1" applyBorder="1" applyAlignment="1" applyProtection="1">
      <alignment horizontal="center" vertical="center"/>
      <protection hidden="1"/>
    </xf>
    <xf numFmtId="0" fontId="12" fillId="11" borderId="43" xfId="0" applyFont="1" applyFill="1" applyBorder="1" applyAlignment="1" applyProtection="1">
      <alignment horizontal="center" vertical="center"/>
      <protection hidden="1"/>
    </xf>
    <xf numFmtId="0" fontId="12" fillId="11" borderId="44" xfId="0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/>
      <protection hidden="1"/>
    </xf>
    <xf numFmtId="0" fontId="12" fillId="11" borderId="27" xfId="0" applyFont="1" applyFill="1" applyBorder="1" applyAlignment="1" applyProtection="1">
      <alignment horizontal="center" vertical="center"/>
      <protection hidden="1"/>
    </xf>
    <xf numFmtId="0" fontId="12" fillId="11" borderId="46" xfId="0" applyFont="1" applyFill="1" applyBorder="1" applyAlignment="1" applyProtection="1">
      <alignment horizontal="right" vertical="center"/>
      <protection hidden="1"/>
    </xf>
    <xf numFmtId="0" fontId="12" fillId="11" borderId="47" xfId="0" applyFont="1" applyFill="1" applyBorder="1" applyAlignment="1" applyProtection="1">
      <alignment horizontal="right" vertical="center"/>
      <protection hidden="1"/>
    </xf>
    <xf numFmtId="0" fontId="12" fillId="11" borderId="48" xfId="0" applyFont="1" applyFill="1" applyBorder="1" applyAlignment="1" applyProtection="1">
      <alignment horizontal="right" vertical="center"/>
      <protection hidden="1"/>
    </xf>
    <xf numFmtId="1" fontId="12" fillId="11" borderId="45" xfId="0" applyNumberFormat="1" applyFont="1" applyFill="1" applyBorder="1" applyAlignment="1" applyProtection="1">
      <alignment horizontal="center" vertical="center"/>
      <protection hidden="1"/>
    </xf>
    <xf numFmtId="1" fontId="12" fillId="11" borderId="49" xfId="0" applyNumberFormat="1" applyFont="1" applyFill="1" applyBorder="1" applyAlignment="1" applyProtection="1">
      <alignment horizontal="center" vertical="center"/>
      <protection hidden="1"/>
    </xf>
    <xf numFmtId="0" fontId="12" fillId="11" borderId="36" xfId="0" applyFont="1" applyFill="1" applyBorder="1" applyAlignment="1" applyProtection="1">
      <alignment horizontal="center" vertical="center"/>
      <protection hidden="1"/>
    </xf>
    <xf numFmtId="0" fontId="12" fillId="11" borderId="38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/>
      <protection hidden="1"/>
    </xf>
    <xf numFmtId="0" fontId="12" fillId="11" borderId="31" xfId="0" applyFont="1" applyFill="1" applyBorder="1" applyAlignment="1" applyProtection="1">
      <alignment horizontal="center" vertical="center"/>
      <protection hidden="1"/>
    </xf>
    <xf numFmtId="0" fontId="12" fillId="11" borderId="32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/>
      <protection hidden="1"/>
    </xf>
    <xf numFmtId="0" fontId="12" fillId="11" borderId="39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11" borderId="31" xfId="0" applyFont="1" applyFill="1" applyBorder="1" applyAlignment="1" applyProtection="1">
      <alignment horizontal="center" vertical="center" wrapText="1"/>
      <protection hidden="1"/>
    </xf>
    <xf numFmtId="0" fontId="13" fillId="11" borderId="32" xfId="0" applyFont="1" applyFill="1" applyBorder="1" applyAlignment="1" applyProtection="1">
      <alignment horizontal="center" vertical="center" wrapText="1"/>
      <protection hidden="1"/>
    </xf>
    <xf numFmtId="0" fontId="12" fillId="11" borderId="33" xfId="0" applyFont="1" applyFill="1" applyBorder="1" applyAlignment="1" applyProtection="1">
      <alignment horizontal="center" vertical="center" wrapText="1"/>
      <protection hidden="1"/>
    </xf>
    <xf numFmtId="0" fontId="12" fillId="11" borderId="34" xfId="0" applyFont="1" applyFill="1" applyBorder="1" applyAlignment="1" applyProtection="1">
      <alignment horizontal="center" vertical="center" wrapText="1"/>
      <protection hidden="1"/>
    </xf>
    <xf numFmtId="0" fontId="12" fillId="11" borderId="35" xfId="0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Alignment="1" applyProtection="1">
      <alignment horizontal="center" vertical="center"/>
      <protection hidden="1"/>
    </xf>
    <xf numFmtId="0" fontId="11" fillId="11" borderId="0" xfId="0" applyFont="1" applyFill="1" applyAlignment="1" applyProtection="1">
      <alignment horizontal="center" vertical="center"/>
      <protection hidden="1"/>
    </xf>
    <xf numFmtId="0" fontId="4" fillId="0" borderId="20" xfId="1" applyBorder="1" applyAlignment="1" applyProtection="1">
      <alignment horizontal="center"/>
      <protection hidden="1"/>
    </xf>
    <xf numFmtId="0" fontId="1" fillId="6" borderId="33" xfId="0" applyFont="1" applyFill="1" applyBorder="1" applyAlignment="1">
      <alignment horizontal="center" vertical="center" wrapText="1"/>
    </xf>
    <xf numFmtId="0" fontId="1" fillId="6" borderId="34" xfId="0" applyFont="1" applyFill="1" applyBorder="1" applyAlignment="1">
      <alignment horizontal="center" vertical="center" wrapText="1"/>
    </xf>
    <xf numFmtId="0" fontId="1" fillId="6" borderId="35" xfId="0" applyFont="1" applyFill="1" applyBorder="1" applyAlignment="1">
      <alignment horizontal="center" vertical="center" wrapText="1"/>
    </xf>
    <xf numFmtId="0" fontId="1" fillId="6" borderId="2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20" fillId="15" borderId="33" xfId="0" applyFont="1" applyFill="1" applyBorder="1" applyAlignment="1">
      <alignment horizontal="center" wrapText="1"/>
    </xf>
    <xf numFmtId="0" fontId="20" fillId="15" borderId="34" xfId="0" applyFont="1" applyFill="1" applyBorder="1" applyAlignment="1">
      <alignment horizontal="center" wrapText="1"/>
    </xf>
    <xf numFmtId="0" fontId="20" fillId="15" borderId="35" xfId="0" applyFont="1" applyFill="1" applyBorder="1" applyAlignment="1">
      <alignment horizontal="center" wrapText="1"/>
    </xf>
    <xf numFmtId="0" fontId="0" fillId="12" borderId="3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20" fillId="13" borderId="33" xfId="0" applyFont="1" applyFill="1" applyBorder="1" applyAlignment="1">
      <alignment horizontal="center" vertical="center" wrapText="1"/>
    </xf>
    <xf numFmtId="0" fontId="20" fillId="13" borderId="34" xfId="0" applyFont="1" applyFill="1" applyBorder="1" applyAlignment="1">
      <alignment horizontal="center" vertical="center" wrapText="1"/>
    </xf>
    <xf numFmtId="0" fontId="20" fillId="13" borderId="35" xfId="0" applyFont="1" applyFill="1" applyBorder="1" applyAlignment="1">
      <alignment horizontal="center" vertical="center" wrapText="1"/>
    </xf>
    <xf numFmtId="0" fontId="2" fillId="2" borderId="1" xfId="1" applyFont="1" applyFill="1" applyBorder="1" applyAlignment="1" applyProtection="1">
      <alignment horizontal="left"/>
      <protection hidden="1"/>
    </xf>
    <xf numFmtId="0" fontId="2" fillId="2" borderId="3" xfId="1" applyFont="1" applyFill="1" applyBorder="1" applyAlignment="1" applyProtection="1">
      <alignment horizontal="left"/>
      <protection hidden="1"/>
    </xf>
    <xf numFmtId="0" fontId="2" fillId="2" borderId="5" xfId="1" applyFont="1" applyFill="1" applyBorder="1" applyAlignment="1" applyProtection="1">
      <alignment horizontal="center"/>
      <protection hidden="1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</cellXfs>
  <cellStyles count="5">
    <cellStyle name="Normal" xfId="0" builtinId="0"/>
    <cellStyle name="Normal 2" xfId="1" xr:uid="{913822E6-EE12-4331-B652-6E70E25D7007}"/>
    <cellStyle name="Normal 2 3" xfId="4" xr:uid="{43EC666A-EA65-45F2-B76F-67FEA8150BDF}"/>
    <cellStyle name="Normal 3" xfId="3" xr:uid="{9F630041-3913-4C0A-97DC-222B33A58A11}"/>
    <cellStyle name="Normal_Balanço" xfId="2" xr:uid="{EADF5D47-231A-4DB5-B42C-520DB4AED2DB}"/>
  </cellStyles>
  <dxfs count="42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Z$9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jpeg"/><Relationship Id="rId4" Type="http://schemas.openxmlformats.org/officeDocument/2006/relationships/image" Target="../media/image8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jpeg"/><Relationship Id="rId1" Type="http://schemas.openxmlformats.org/officeDocument/2006/relationships/image" Target="../media/image6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07/relationships/hdphoto" Target="../media/hdphoto1.wdp"/><Relationship Id="rId1" Type="http://schemas.openxmlformats.org/officeDocument/2006/relationships/image" Target="../media/image13.png"/><Relationship Id="rId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2</xdr:row>
          <xdr:rowOff>45720</xdr:rowOff>
        </xdr:from>
        <xdr:to>
          <xdr:col>28</xdr:col>
          <xdr:colOff>274320</xdr:colOff>
          <xdr:row>4</xdr:row>
          <xdr:rowOff>7620</xdr:rowOff>
        </xdr:to>
        <xdr:sp macro="" textlink="">
          <xdr:nvSpPr>
            <xdr:cNvPr id="28673" name="Botão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Resultados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0</xdr:row>
          <xdr:rowOff>76200</xdr:rowOff>
        </xdr:from>
        <xdr:to>
          <xdr:col>28</xdr:col>
          <xdr:colOff>274320</xdr:colOff>
          <xdr:row>2</xdr:row>
          <xdr:rowOff>38100</xdr:rowOff>
        </xdr:to>
        <xdr:sp macro="" textlink="">
          <xdr:nvSpPr>
            <xdr:cNvPr id="28674" name="Botão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4</xdr:row>
          <xdr:rowOff>30480</xdr:rowOff>
        </xdr:from>
        <xdr:to>
          <xdr:col>28</xdr:col>
          <xdr:colOff>274320</xdr:colOff>
          <xdr:row>5</xdr:row>
          <xdr:rowOff>182880</xdr:rowOff>
        </xdr:to>
        <xdr:sp macro="" textlink="">
          <xdr:nvSpPr>
            <xdr:cNvPr id="28675" name="Botão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Formatar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277599</xdr:colOff>
          <xdr:row>0</xdr:row>
          <xdr:rowOff>19051</xdr:rowOff>
        </xdr:from>
        <xdr:to>
          <xdr:col>22</xdr:col>
          <xdr:colOff>66675</xdr:colOff>
          <xdr:row>6</xdr:row>
          <xdr:rowOff>0</xdr:rowOff>
        </xdr:to>
        <xdr:pic>
          <xdr:nvPicPr>
            <xdr:cNvPr id="3" name="Imagem 2">
              <a:extLst>
                <a:ext uri="{FF2B5EF4-FFF2-40B4-BE49-F238E27FC236}">
                  <a16:creationId xmlns:a16="http://schemas.microsoft.com/office/drawing/2014/main" id="{14D3D6D6-8248-4E7A-8A69-6B64ED642A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_rbc" spid="_x0000_s288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3374" y="19051"/>
              <a:ext cx="1789326" cy="1123949"/>
            </a:xfrm>
            <a:prstGeom prst="rect">
              <a:avLst/>
            </a:prstGeom>
            <a:noFill/>
            <a:effectLst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144780</xdr:colOff>
          <xdr:row>24</xdr:row>
          <xdr:rowOff>0</xdr:rowOff>
        </xdr:from>
        <xdr:to>
          <xdr:col>24</xdr:col>
          <xdr:colOff>7620</xdr:colOff>
          <xdr:row>25</xdr:row>
          <xdr:rowOff>152400</xdr:rowOff>
        </xdr:to>
        <xdr:sp macro="" textlink="">
          <xdr:nvSpPr>
            <xdr:cNvPr id="1035" name="Botão 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Resultados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24</xdr:row>
          <xdr:rowOff>0</xdr:rowOff>
        </xdr:from>
        <xdr:to>
          <xdr:col>20</xdr:col>
          <xdr:colOff>99060</xdr:colOff>
          <xdr:row>25</xdr:row>
          <xdr:rowOff>152400</xdr:rowOff>
        </xdr:to>
        <xdr:sp macro="" textlink="">
          <xdr:nvSpPr>
            <xdr:cNvPr id="1036" name="Botão 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144780</xdr:colOff>
          <xdr:row>24</xdr:row>
          <xdr:rowOff>0</xdr:rowOff>
        </xdr:from>
        <xdr:to>
          <xdr:col>24</xdr:col>
          <xdr:colOff>7620</xdr:colOff>
          <xdr:row>25</xdr:row>
          <xdr:rowOff>152400</xdr:rowOff>
        </xdr:to>
        <xdr:sp macro="" textlink="">
          <xdr:nvSpPr>
            <xdr:cNvPr id="1037" name="Botão 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Resultados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24</xdr:row>
          <xdr:rowOff>0</xdr:rowOff>
        </xdr:from>
        <xdr:to>
          <xdr:col>20</xdr:col>
          <xdr:colOff>99060</xdr:colOff>
          <xdr:row>25</xdr:row>
          <xdr:rowOff>152400</xdr:rowOff>
        </xdr:to>
        <xdr:sp macro="" textlink="">
          <xdr:nvSpPr>
            <xdr:cNvPr id="1038" name="Botão 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9</xdr:row>
          <xdr:rowOff>190500</xdr:rowOff>
        </xdr:from>
        <xdr:to>
          <xdr:col>18</xdr:col>
          <xdr:colOff>312420</xdr:colOff>
          <xdr:row>11</xdr:row>
          <xdr:rowOff>7620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Ponto fixo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106680</xdr:colOff>
          <xdr:row>10</xdr:row>
          <xdr:rowOff>22860</xdr:rowOff>
        </xdr:from>
        <xdr:to>
          <xdr:col>21</xdr:col>
          <xdr:colOff>175260</xdr:colOff>
          <xdr:row>10</xdr:row>
          <xdr:rowOff>182880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Multipontos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274320</xdr:colOff>
          <xdr:row>10</xdr:row>
          <xdr:rowOff>22860</xdr:rowOff>
        </xdr:from>
        <xdr:to>
          <xdr:col>23</xdr:col>
          <xdr:colOff>342900</xdr:colOff>
          <xdr:row>10</xdr:row>
          <xdr:rowOff>182880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Faixa variavel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14358" name="Button 1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3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14359" name="Button 2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3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14360" name="Button 3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3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14361" name="Button 4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3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14362" name="Button 5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3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14363" name="Button 1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3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14364" name="Button 2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3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14365" name="Button 3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3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14366" name="Button 4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3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14367" name="Button 5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3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14368" name="Button 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3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14372" name="Butto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3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14373" name="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3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3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3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14376" name="Butto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3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3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3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14379" name="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3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3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3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3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4385" name="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3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14387" name="Button 51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3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14388" name="Button 52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3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14389" name="Button 53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3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14390" name="Button 54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3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3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3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14393" name="Button 57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3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14394" name="Button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3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14395" name="Button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3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3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3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3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14399" name="Button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3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14400" name="Button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3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14401" name="Button 65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3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14402" name="Button 66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3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14403" name="Button 67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3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14404" name="Button 68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3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14405" name="Button 69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3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14406" name="Button 70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3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14407" name="Button 71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3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14408" name="Button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3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14409" name="Button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3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3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3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14412" name="Button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3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14413" name="Button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3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14414" name="Button 78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3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14415" name="Button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3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14416" name="Button 80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3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14417" name="Button 81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3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14418" name="Button 82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3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14419" name="Button 83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3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14420" name="Button 84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3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14421" name="Button 85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3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14422" name="Button 86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3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14423" name="Button 87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3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14424" name="Button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3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14425" name="Button 89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3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14426" name="Button 90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3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14427" name="Button 9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3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14428" name="Button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3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14429" name="Button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3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14430" name="Button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3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14431" name="Button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3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14432" name="Button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3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14433" name="Button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3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14434" name="Button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3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14435" name="Button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3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14436" name="Button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3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14437" name="Button 10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3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14438" name="Button 102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3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14439" name="Button 103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3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14440" name="Button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3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14441" name="Button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3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14442" name="Button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3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14443" name="Button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3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14444" name="Button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3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14445" name="Button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3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14446" name="Button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3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B739DA26-3848-4B42-D601-8FA287FCE60E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8C37CDF8-F791-432B-A3EA-75DE8E023C1D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00BA910D-3AE0-4F14-B3DF-73FBA9139305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12B14F0D-E7E2-4CFC-8D64-FAC2442BEBB0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B66CB332-D803-4D34-A3DB-54DD6BF7A93E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B082F9D0-1CFF-4968-A74A-E5AFBB3B63D9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D95224E-97FB-45DC-A36B-C351CFA61DDB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4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4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4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4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4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4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4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4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4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4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4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4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4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4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4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4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4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4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4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4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4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4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4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4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4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4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4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4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4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4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4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4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4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4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4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4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4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4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4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4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4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4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4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4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4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4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4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4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4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4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4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4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4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4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4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4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4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4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4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4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4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4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4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4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4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4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4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4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4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4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4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4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4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4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4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4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4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4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4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4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96806A7-15B0-40D7-8C06-0C6563D7A168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392A36AB-3BD9-47FC-A779-B2AF78F77EA2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6" name="Retângulo 5">
          <a:extLst>
            <a:ext uri="{FF2B5EF4-FFF2-40B4-BE49-F238E27FC236}">
              <a16:creationId xmlns:a16="http://schemas.microsoft.com/office/drawing/2014/main" id="{E7B0283C-E4BE-4FDC-840E-1C98813EA8DF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7" name="Retângulo 6">
          <a:extLst>
            <a:ext uri="{FF2B5EF4-FFF2-40B4-BE49-F238E27FC236}">
              <a16:creationId xmlns:a16="http://schemas.microsoft.com/office/drawing/2014/main" id="{B6D0F350-364D-437D-8147-C13B48B1D70E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8" name="Retângulo 7">
          <a:extLst>
            <a:ext uri="{FF2B5EF4-FFF2-40B4-BE49-F238E27FC236}">
              <a16:creationId xmlns:a16="http://schemas.microsoft.com/office/drawing/2014/main" id="{0F7CF6B4-26F8-4961-87A3-56CA49B57370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9" name="Retângulo 8">
          <a:extLst>
            <a:ext uri="{FF2B5EF4-FFF2-40B4-BE49-F238E27FC236}">
              <a16:creationId xmlns:a16="http://schemas.microsoft.com/office/drawing/2014/main" id="{77EDB2CD-3357-472E-BEBB-BB4194DFE8D3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10" name="Retângulo 9">
          <a:extLst>
            <a:ext uri="{FF2B5EF4-FFF2-40B4-BE49-F238E27FC236}">
              <a16:creationId xmlns:a16="http://schemas.microsoft.com/office/drawing/2014/main" id="{7749D14F-EA91-493E-93D2-6A741CD073DA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11" name="Retângulo 10">
          <a:extLst>
            <a:ext uri="{FF2B5EF4-FFF2-40B4-BE49-F238E27FC236}">
              <a16:creationId xmlns:a16="http://schemas.microsoft.com/office/drawing/2014/main" id="{705A1026-94C4-4373-9E6E-57E8CF485FE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5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5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5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5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5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5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5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5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5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5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5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5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5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5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5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5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5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5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5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5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5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5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5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5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5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5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5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5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05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05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05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05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05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05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05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05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05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05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05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05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05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05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05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05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05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05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05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05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05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05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05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05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05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05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05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05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05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05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05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05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05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05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05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05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05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05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05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05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05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05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05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05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05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05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05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05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05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05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05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05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05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05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FE5D637F-5D54-4BCA-9CF2-D86F4F72F215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2129BA24-1ABA-4750-A113-335ECE4AA0CC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5" name="Retângulo 4">
          <a:extLst>
            <a:ext uri="{FF2B5EF4-FFF2-40B4-BE49-F238E27FC236}">
              <a16:creationId xmlns:a16="http://schemas.microsoft.com/office/drawing/2014/main" id="{A48098AB-EE16-4E51-B13B-74323A1AD3F9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6" name="Retângulo 5">
          <a:extLst>
            <a:ext uri="{FF2B5EF4-FFF2-40B4-BE49-F238E27FC236}">
              <a16:creationId xmlns:a16="http://schemas.microsoft.com/office/drawing/2014/main" id="{2417FAB6-F3AE-4A82-B02F-8A99DBC0C6A9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0</xdr:colOff>
      <xdr:row>111</xdr:row>
      <xdr:rowOff>0</xdr:rowOff>
    </xdr:from>
    <xdr:to>
      <xdr:col>13</xdr:col>
      <xdr:colOff>9525</xdr:colOff>
      <xdr:row>112</xdr:row>
      <xdr:rowOff>9525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E0DBA6E-DCE7-85E1-FC56-103516B2F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221700"/>
          <a:ext cx="3905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8" name="Retângulo 7">
          <a:extLst>
            <a:ext uri="{FF2B5EF4-FFF2-40B4-BE49-F238E27FC236}">
              <a16:creationId xmlns:a16="http://schemas.microsoft.com/office/drawing/2014/main" id="{0E6F67D5-ED25-4811-8F5F-D44EF3F58D6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9" name="Retângulo 8">
          <a:extLst>
            <a:ext uri="{FF2B5EF4-FFF2-40B4-BE49-F238E27FC236}">
              <a16:creationId xmlns:a16="http://schemas.microsoft.com/office/drawing/2014/main" id="{389B0187-3BCF-4075-86D2-2181D958A8A3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0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0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0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0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0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0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0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0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0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0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0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0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0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0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0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0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0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0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0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0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0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0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0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0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0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0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0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0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0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0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0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0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0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0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0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0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0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0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0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0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0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0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0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0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0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0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0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0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B28CDA81-4585-4625-9CF4-9E4CE93CC254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28079B4A-CE6E-4083-B122-4DE336B4CC93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C0492594-B8ED-4607-86F5-E32B3C18E5ED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FB303BE1-FDCD-4079-8716-17E3B2D3C9CC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39D16696-4EFD-4F2A-951C-2AF07BD064B2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E2F69D8C-E6C3-4D4A-9C2D-178B0891B500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BF19309C-5CE2-42CB-AA23-3DE89FB97D66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7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7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7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7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7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7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7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7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7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7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7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7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7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7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7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7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7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7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7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7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7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7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7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7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7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7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7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7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7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7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7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7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7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7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07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07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07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07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07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07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07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07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07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07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07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07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07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07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07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07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07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07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07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07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07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07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07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07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07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07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07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07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07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07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07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07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07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07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07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07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07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07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07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07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07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07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07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07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07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07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07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07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ECF2565-9A5E-4B5F-990C-A47ACF846AA1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A67BF597-5C12-40C2-9EA0-7ADE5F875062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4E6739B3-32B2-490D-A3DE-1C8A79563ED1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5ADC9E0F-F068-4770-B985-887BF7EED2DD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64ABB9B0-C14E-4D1F-B950-4A773284237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5643A499-9DB7-438E-93F8-13016609A1D6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409B3B4-DFE9-4204-B802-823F7F338B1B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8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8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8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8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8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8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8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8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8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8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8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8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8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8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8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8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08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08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08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08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08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08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08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08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08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08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08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08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08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08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08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08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08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08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08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08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08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08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08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08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08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08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08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08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08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08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08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08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08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08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08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08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08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08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08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08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08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08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08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08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08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08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08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08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08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08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08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08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08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08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08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08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08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08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08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08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08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08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08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08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08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08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08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FB5C3FE-9F03-47C8-ABB3-1D83BB47E55E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84390321-E388-4EF1-B3A9-087705409837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4CA8C6EB-82C1-44DD-BE9D-8BFE4D2FC878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E7C9CDED-B52D-4938-B84A-3BE1B85FADEF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09822B8B-F450-49E5-80E8-084527B77B22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4F5C6AD7-9E3C-46F4-9DB0-4C1039E41ABF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9A8AF90C-1BFE-4C83-8497-354F9C7C013B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9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9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9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9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9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9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9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9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9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9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9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9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9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9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9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9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9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9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9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9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9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9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9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9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9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9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9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9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9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9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9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9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9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09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09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09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09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9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09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09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09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09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09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09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09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09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09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09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09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09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09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09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09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09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09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09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09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09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09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09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09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09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09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09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09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09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09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09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09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09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09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09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09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09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09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09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09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09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09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09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09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7A4D4A0E-AA15-466B-9102-4B34047A212F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6EAC0F61-7A1F-43C3-ADDC-EC24CD6704FD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149CF654-F23D-40CD-8F96-9C157B7BE8A9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42946544-492C-40CA-A944-14F3010DE0AD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30A5A40A-E4C1-420D-9A76-CA404D5542A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28C4CA46-3167-44A0-8A2B-178E97514462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85CED332-9157-4B50-89E1-B77A093D1D18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A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A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A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A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A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A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A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A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A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A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A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A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A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A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A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A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A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A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A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A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A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A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A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A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A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A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A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A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A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A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A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0A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0A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0A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0A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0A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0A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0A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0A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0A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0A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0A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0A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0A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0A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0A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0A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0A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0A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0A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0A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0A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0A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0A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0A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0A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0A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0A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0A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0A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0A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0A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0A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0A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0A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0A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0A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0A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0A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0A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0A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0A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0A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0A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0A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0A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0A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0A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0A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C24245AD-C90E-46A5-9A82-112E432DA317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F538A5BC-C5D0-4DBB-A748-EAB7D20D39DA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B197347E-4164-424A-B87A-5322AD793832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06D7F6E3-DCA5-4955-BC38-034017771BDA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225AD150-291A-4F86-AAD9-D820BF845736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1E08E0A0-C6E1-4EA0-85B2-8D37694A7C8F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14DC5F4-D2A0-4A16-899D-649C24B81E9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B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B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B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B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B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B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B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B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B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B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B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B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B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B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B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B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B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B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B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B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B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B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B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B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B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B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B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B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B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B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B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B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B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B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B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B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B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B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B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B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B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B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B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B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B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B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B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B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B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B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B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B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B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B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B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B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B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B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B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B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B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B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B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B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B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B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B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B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B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B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B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B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B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B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B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B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B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B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B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B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B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36109EB9-106A-4422-B47D-60E79DF32280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37922C9B-BF69-4339-816C-66233C5B491E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6A4B01C5-676D-4E8A-ADB6-8CB3479FD2C1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787435FA-E904-4F96-BEEB-5272E6AE6352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C993E6AB-2CCB-485E-8DEC-D2DF392D3D1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5D903435-EB74-4E64-969D-8F044C1A0F3B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C9985F26-94A3-42E8-9E09-DEEB8DF9449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C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C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C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C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C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C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C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C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C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C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C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C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C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C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C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C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C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C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C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C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C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C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C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C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C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C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C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C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C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C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C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C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C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C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C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C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C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C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C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C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C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C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C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C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C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C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C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C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C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C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C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C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C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C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C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C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C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C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C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C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C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C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C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C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C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C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C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C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C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C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C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C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C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C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C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FF76698E-E9DB-4275-8BF7-1DC30A20F466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58FA15AF-FBA9-40F5-8788-ACEC06119E2A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7D6C3CAC-AA46-4EAC-9928-210F8F7B23BF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838AE3B2-99A8-44AA-91A0-18B7B4386CA9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20D0AF22-7387-42A5-AE9F-90AED1A36E38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1E27BA92-4A64-4F0A-B6C7-40DB7300E00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74A03E8B-5E19-42AA-8727-221715EBEB13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D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D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D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D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D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D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D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D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D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D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D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D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D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D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D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D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D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D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D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D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D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D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D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D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D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D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D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D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D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D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D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D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D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D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D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D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D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D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D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D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D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D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D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D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D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D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D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D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D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D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D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D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D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D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D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D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D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D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D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D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D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D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D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D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D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D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D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D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D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D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D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D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D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D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D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D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D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D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D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D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DF45ACD2-25F3-4ACF-B598-FA5B47D0351A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08E6220A-B8C5-4E76-80AF-C11D0E217098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65297163-8E62-4FA4-A7DC-C349BF7047F0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C6DCFE13-AFC3-49D8-92E4-F671554F217A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717C47B6-E654-4C72-9714-CA04182EF92F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3BB60849-1E40-4BC5-943E-9E4A583C6BE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0CF73DF4-511D-4487-A8DC-86AAD4F24D62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EA2A4159-9F9E-4AD0-92C9-D079CDA41DF9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7784FAFF-D546-4F06-B32C-C7CCB9820911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5" name="Retângulo 4">
          <a:extLst>
            <a:ext uri="{FF2B5EF4-FFF2-40B4-BE49-F238E27FC236}">
              <a16:creationId xmlns:a16="http://schemas.microsoft.com/office/drawing/2014/main" id="{654A951C-4830-43EB-B6E6-E0B183BBD8F4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6" name="Retângulo 5">
          <a:extLst>
            <a:ext uri="{FF2B5EF4-FFF2-40B4-BE49-F238E27FC236}">
              <a16:creationId xmlns:a16="http://schemas.microsoft.com/office/drawing/2014/main" id="{5B48E763-3657-4281-83EC-C8F20E28B923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7" name="Retângulo 6">
          <a:extLst>
            <a:ext uri="{FF2B5EF4-FFF2-40B4-BE49-F238E27FC236}">
              <a16:creationId xmlns:a16="http://schemas.microsoft.com/office/drawing/2014/main" id="{2AFDF571-FBD6-4BC3-9574-CFD4E64E8C34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8" name="Retângulo 7">
          <a:extLst>
            <a:ext uri="{FF2B5EF4-FFF2-40B4-BE49-F238E27FC236}">
              <a16:creationId xmlns:a16="http://schemas.microsoft.com/office/drawing/2014/main" id="{87742AC2-AFB1-4B73-A970-5B7AFB816C1C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9" name="Retângulo 8">
          <a:extLst>
            <a:ext uri="{FF2B5EF4-FFF2-40B4-BE49-F238E27FC236}">
              <a16:creationId xmlns:a16="http://schemas.microsoft.com/office/drawing/2014/main" id="{DC456746-73AE-4BB7-B305-D26D842350E6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14A3276-6E9E-91E1-F91F-700A87AAF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9257" name="Button 5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F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9258" name="Button 5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F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9259" name="Button 5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F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9262" name="Button 5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F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9265" name="Button 5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F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9268" name="Button 5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F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9271" name="Button 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F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6B23FFB-DCD9-4BE2-BD12-FA5B9C3AB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25601" name="Button 5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8873003-58E2-42F9-AE3F-3719E0837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5537" name="Button 5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1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1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11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1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11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11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1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01FBF0E-C646-4796-A780-747E12783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4513" name="Button 5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12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12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12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12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12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0761604-21CF-4997-83AC-41B2A6D6E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3489" name="Button 5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72379CF-5ABA-4A36-A9D6-19E2700D3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2465" name="Button 5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4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4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4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4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4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4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4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6D8A1CA-9FD2-4BF9-9126-1D441FF96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1441" name="Button 5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5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5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5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5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5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5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5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AAFF97F-45DF-44E6-80DB-D2DE3C2BE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0417" name="Button 5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6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561085B-0E91-4370-911A-A7C1CCBC2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59393" name="Button 5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7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7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7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7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7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9E23D16-0250-45BB-A5BB-440275E66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58369" name="Button 5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8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8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8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8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8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8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8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F06EFE1-C200-4E69-9961-F43C8A8A4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57345" name="Button 5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52BBC88-61DB-4E63-BBEC-0A5901D35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56321" name="Button 5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A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1</xdr:col>
      <xdr:colOff>1266825</xdr:colOff>
      <xdr:row>1</xdr:row>
      <xdr:rowOff>288963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69BC8D3-B4FC-488E-BA66-45722B6C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876425" cy="565188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1266825</xdr:colOff>
      <xdr:row>51</xdr:row>
      <xdr:rowOff>164372</xdr:rowOff>
    </xdr:from>
    <xdr:to>
      <xdr:col>17</xdr:col>
      <xdr:colOff>687249</xdr:colOff>
      <xdr:row>65</xdr:row>
      <xdr:rowOff>791742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EA1CAA9-2A25-4B87-B996-1F769D3F5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0" y="12937397"/>
          <a:ext cx="6478449" cy="52184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1171575</xdr:colOff>
      <xdr:row>65</xdr:row>
      <xdr:rowOff>809625</xdr:rowOff>
    </xdr:from>
    <xdr:to>
      <xdr:col>17</xdr:col>
      <xdr:colOff>628650</xdr:colOff>
      <xdr:row>71</xdr:row>
      <xdr:rowOff>184045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E75CDC6-1D82-4327-8EEB-4BDD8E5C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06500" y="18173700"/>
          <a:ext cx="6515100" cy="2069995"/>
        </a:xfrm>
        <a:prstGeom prst="rect">
          <a:avLst/>
        </a:prstGeom>
      </xdr:spPr>
    </xdr:pic>
    <xdr:clientData/>
  </xdr:twoCellAnchor>
  <xdr:twoCellAnchor editAs="oneCell">
    <xdr:from>
      <xdr:col>12</xdr:col>
      <xdr:colOff>323849</xdr:colOff>
      <xdr:row>0</xdr:row>
      <xdr:rowOff>38100</xdr:rowOff>
    </xdr:from>
    <xdr:to>
      <xdr:col>17</xdr:col>
      <xdr:colOff>439158</xdr:colOff>
      <xdr:row>19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45D9015-7E41-41E6-B860-99C6FD77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4649" y="38100"/>
          <a:ext cx="5887459" cy="5048250"/>
        </a:xfrm>
        <a:prstGeom prst="rect">
          <a:avLst/>
        </a:prstGeom>
      </xdr:spPr>
    </xdr:pic>
    <xdr:clientData/>
  </xdr:twoCellAnchor>
  <xdr:twoCellAnchor editAs="oneCell">
    <xdr:from>
      <xdr:col>17</xdr:col>
      <xdr:colOff>457199</xdr:colOff>
      <xdr:row>0</xdr:row>
      <xdr:rowOff>47625</xdr:rowOff>
    </xdr:from>
    <xdr:to>
      <xdr:col>21</xdr:col>
      <xdr:colOff>905884</xdr:colOff>
      <xdr:row>19</xdr:row>
      <xdr:rowOff>58779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15D90AE-BCFD-471D-8CDA-5AEFB7661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50149" y="47625"/>
          <a:ext cx="5858885" cy="50879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1123950</xdr:colOff>
      <xdr:row>0</xdr:row>
      <xdr:rowOff>1059377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CC0B195-15DF-4692-ABCF-CE798AB71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90650" cy="105937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219075</xdr:colOff>
      <xdr:row>65</xdr:row>
      <xdr:rowOff>628650</xdr:rowOff>
    </xdr:from>
    <xdr:to>
      <xdr:col>17</xdr:col>
      <xdr:colOff>542925</xdr:colOff>
      <xdr:row>68</xdr:row>
      <xdr:rowOff>860320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C80418A-8A6D-4322-AC04-4870DC147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18030825"/>
          <a:ext cx="6515100" cy="20699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1133475</xdr:colOff>
      <xdr:row>0</xdr:row>
      <xdr:rowOff>1059377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0445BD1-DC85-4041-A200-5BC462D6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90650" cy="1059377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152400</xdr:colOff>
      <xdr:row>37</xdr:row>
      <xdr:rowOff>419100</xdr:rowOff>
    </xdr:from>
    <xdr:to>
      <xdr:col>17</xdr:col>
      <xdr:colOff>1267845</xdr:colOff>
      <xdr:row>65</xdr:row>
      <xdr:rowOff>648777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B8CC9C1-65C7-4310-91B1-55FA824AB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58850" y="10334625"/>
          <a:ext cx="7306695" cy="7716327"/>
        </a:xfrm>
        <a:prstGeom prst="rect">
          <a:avLst/>
        </a:prstGeom>
      </xdr:spPr>
    </xdr:pic>
    <xdr:clientData/>
  </xdr:twoCellAnchor>
  <xdr:twoCellAnchor editAs="oneCell">
    <xdr:from>
      <xdr:col>12</xdr:col>
      <xdr:colOff>1</xdr:colOff>
      <xdr:row>0</xdr:row>
      <xdr:rowOff>0</xdr:rowOff>
    </xdr:from>
    <xdr:to>
      <xdr:col>17</xdr:col>
      <xdr:colOff>1</xdr:colOff>
      <xdr:row>19</xdr:row>
      <xdr:rowOff>58175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4732704-7C70-4985-A3A8-9EEDEC6D1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06451" y="0"/>
          <a:ext cx="6191250" cy="5135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20</xdr:row>
      <xdr:rowOff>0</xdr:rowOff>
    </xdr:from>
    <xdr:to>
      <xdr:col>16</xdr:col>
      <xdr:colOff>1476374</xdr:colOff>
      <xdr:row>34</xdr:row>
      <xdr:rowOff>81900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B910538-A7B5-4758-A5B0-55E4C3A69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06450" y="5276850"/>
          <a:ext cx="6191249" cy="401572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47625</xdr:rowOff>
    </xdr:from>
    <xdr:to>
      <xdr:col>1</xdr:col>
      <xdr:colOff>1838100</xdr:colOff>
      <xdr:row>1</xdr:row>
      <xdr:rowOff>1124887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627263F-BDE5-41D0-9541-DC0EF6E2A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10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38250"/>
          <a:ext cx="1800000" cy="1077262"/>
        </a:xfrm>
        <a:prstGeom prst="rect">
          <a:avLst/>
        </a:prstGeom>
        <a:noFill/>
        <a:effectLst>
          <a:softEdge rad="127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57150</xdr:colOff>
      <xdr:row>2</xdr:row>
      <xdr:rowOff>40299</xdr:rowOff>
    </xdr:from>
    <xdr:to>
      <xdr:col>1</xdr:col>
      <xdr:colOff>1832776</xdr:colOff>
      <xdr:row>2</xdr:row>
      <xdr:rowOff>1171574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DEECA78-A344-C3E4-4E17-543F4A4B4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6750" y="2421549"/>
          <a:ext cx="1775626" cy="11312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19051</xdr:colOff>
      <xdr:row>3</xdr:row>
      <xdr:rowOff>28576</xdr:rowOff>
    </xdr:from>
    <xdr:to>
      <xdr:col>1</xdr:col>
      <xdr:colOff>1857059</xdr:colOff>
      <xdr:row>3</xdr:row>
      <xdr:rowOff>1133476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9587C7EE-C312-1F0D-8134-8455B1A6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1" y="3600451"/>
          <a:ext cx="1838008" cy="1104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T&#233;cnicos.xlsx" TargetMode="External"/><Relationship Id="rId1" Type="http://schemas.openxmlformats.org/officeDocument/2006/relationships/externalLinkPath" Target="file:///T:\ELUS\Formul&#225;rios\Modelo%20de%20Certificado%20Acreditado\Banco%20de%20dados%20de%20padr&#245;es\T&#233;cnico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Term&#244;metros.xlsx" TargetMode="External"/><Relationship Id="rId1" Type="http://schemas.openxmlformats.org/officeDocument/2006/relationships/externalLinkPath" Target="file:///T:\ELUS\Formul&#225;rios\Modelo%20de%20Certificado%20Acreditado\Banco%20de%20dados%20de%20padr&#245;es\Term&#244;metro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Umidade.xlsx" TargetMode="External"/><Relationship Id="rId1" Type="http://schemas.openxmlformats.org/officeDocument/2006/relationships/externalLinkPath" Target="file:///T:\ELUS\Formul&#225;rios\Modelo%20de%20Certificado%20Acreditado\Banco%20de%20dados%20de%20padr&#245;es\Umidade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Bar&#244;metros%20-%20Ambiente.xlsx" TargetMode="External"/><Relationship Id="rId1" Type="http://schemas.openxmlformats.org/officeDocument/2006/relationships/externalLinkPath" Target="file:///T:\ELUS\Formul&#225;rios\Modelo%20de%20Certificado%20Acreditado\Banco%20de%20dados%20de%20padr&#245;es\Bar&#244;metros%20-%20Ambiente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Balan&#231;as.xlsx" TargetMode="External"/><Relationship Id="rId1" Type="http://schemas.openxmlformats.org/officeDocument/2006/relationships/externalLinkPath" Target="file:///T:\ELUS\Formul&#225;rios\Modelo%20de%20Certificado%20Acreditado\Banco%20de%20dados%20de%20padr&#245;es\Balan&#231;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écnicos"/>
      <sheetName val="Planilha2"/>
    </sheetNames>
    <sheetDataSet>
      <sheetData sheetId="0">
        <row r="1">
          <cell r="A1" t="str">
            <v>Alessandro Severiano dos Santos</v>
          </cell>
          <cell r="C1" t="str">
            <v>Alexandre Do Nascimento Oliveira</v>
          </cell>
          <cell r="E1" t="str">
            <v>Alessandro Severiano dos Santos</v>
          </cell>
        </row>
        <row r="2">
          <cell r="A2" t="str">
            <v>Alexandre do Nascimento</v>
          </cell>
          <cell r="C2" t="str">
            <v>Bruno Moraes Oliveira</v>
          </cell>
          <cell r="E2" t="str">
            <v>André Chaves de Souza</v>
          </cell>
        </row>
        <row r="3">
          <cell r="A3" t="str">
            <v>Aline Roque da Cruz</v>
          </cell>
          <cell r="C3" t="str">
            <v>Gabriel Job Borges da Silva</v>
          </cell>
          <cell r="E3" t="str">
            <v>Celson José dos Santos</v>
          </cell>
        </row>
        <row r="4">
          <cell r="A4" t="str">
            <v>André Chaves de Souza</v>
          </cell>
          <cell r="C4" t="str">
            <v>Gustavo Vinícius Neres Carneiro</v>
          </cell>
          <cell r="E4" t="str">
            <v>Renan Andrade da Annunciação</v>
          </cell>
        </row>
        <row r="5">
          <cell r="A5" t="str">
            <v>Bruno Moraes Oliveira</v>
          </cell>
          <cell r="C5" t="str">
            <v>Marcos Rodrigues</v>
          </cell>
          <cell r="E5" t="str">
            <v>-</v>
          </cell>
        </row>
        <row r="6">
          <cell r="A6" t="str">
            <v>Caio Cesar Silva</v>
          </cell>
          <cell r="C6" t="str">
            <v>Robson Crepaldi</v>
          </cell>
          <cell r="E6" t="str">
            <v>-</v>
          </cell>
        </row>
        <row r="7">
          <cell r="A7" t="str">
            <v>Carlos Augusto Benevides</v>
          </cell>
          <cell r="C7" t="str">
            <v>Rodrigo Gomes Cordeiro</v>
          </cell>
          <cell r="E7" t="str">
            <v>-</v>
          </cell>
        </row>
        <row r="8">
          <cell r="A8" t="str">
            <v>Celson José dos Santos</v>
          </cell>
          <cell r="C8" t="str">
            <v>Uendel Ranieres B. de Carvalho</v>
          </cell>
          <cell r="E8" t="str">
            <v>-</v>
          </cell>
        </row>
        <row r="9">
          <cell r="A9" t="str">
            <v>Douglas Camargo da Silva</v>
          </cell>
          <cell r="C9" t="str">
            <v>-</v>
          </cell>
          <cell r="E9" t="str">
            <v>-</v>
          </cell>
        </row>
        <row r="10">
          <cell r="A10" t="str">
            <v>Everaldo José da Silva</v>
          </cell>
          <cell r="C10" t="str">
            <v>-</v>
          </cell>
          <cell r="E10" t="str">
            <v>-</v>
          </cell>
        </row>
        <row r="11">
          <cell r="A11" t="str">
            <v>Ezequiel Antonio da Silva</v>
          </cell>
          <cell r="C11" t="str">
            <v>-</v>
          </cell>
          <cell r="E11" t="str">
            <v>-</v>
          </cell>
        </row>
        <row r="12">
          <cell r="A12" t="str">
            <v>Felipe Vicente Leite</v>
          </cell>
          <cell r="C12" t="str">
            <v>-</v>
          </cell>
          <cell r="E12" t="str">
            <v>-</v>
          </cell>
        </row>
        <row r="13">
          <cell r="A13" t="str">
            <v>Fernando Fardin Soares</v>
          </cell>
          <cell r="C13" t="str">
            <v>-</v>
          </cell>
          <cell r="E13" t="str">
            <v>-</v>
          </cell>
        </row>
        <row r="14">
          <cell r="A14" t="str">
            <v>Gabriel Job Borges da Silva</v>
          </cell>
          <cell r="C14" t="str">
            <v>-</v>
          </cell>
          <cell r="E14" t="str">
            <v>-</v>
          </cell>
        </row>
        <row r="15">
          <cell r="A15" t="str">
            <v>Gabriel Moura Ribeiro</v>
          </cell>
          <cell r="C15" t="str">
            <v>-</v>
          </cell>
          <cell r="E15" t="str">
            <v>-</v>
          </cell>
        </row>
        <row r="16">
          <cell r="A16" t="str">
            <v>Geovani Silva Pereira Borges</v>
          </cell>
          <cell r="C16" t="str">
            <v>-</v>
          </cell>
          <cell r="E16" t="str">
            <v>-</v>
          </cell>
        </row>
        <row r="17">
          <cell r="A17" t="str">
            <v xml:space="preserve">Guilherme Tullio Sellini </v>
          </cell>
          <cell r="C17" t="str">
            <v>-</v>
          </cell>
          <cell r="E17" t="str">
            <v>-</v>
          </cell>
        </row>
        <row r="18">
          <cell r="A18" t="str">
            <v>Gustavo Nonato Sanfelici</v>
          </cell>
          <cell r="C18" t="str">
            <v>-</v>
          </cell>
          <cell r="E18" t="str">
            <v>-</v>
          </cell>
        </row>
        <row r="19">
          <cell r="A19" t="str">
            <v>Gustavo Vinicius Neres Carneiro</v>
          </cell>
          <cell r="C19" t="str">
            <v>-</v>
          </cell>
          <cell r="E19" t="str">
            <v>-</v>
          </cell>
        </row>
        <row r="20">
          <cell r="A20" t="str">
            <v>Ivao Joab de Souza Tochizawa</v>
          </cell>
          <cell r="C20" t="str">
            <v>-</v>
          </cell>
          <cell r="E20" t="str">
            <v>-</v>
          </cell>
        </row>
        <row r="21">
          <cell r="A21" t="str">
            <v>João Lucas Meris Flausino</v>
          </cell>
          <cell r="C21" t="str">
            <v>-</v>
          </cell>
          <cell r="E21" t="str">
            <v>-</v>
          </cell>
        </row>
        <row r="22">
          <cell r="A22" t="str">
            <v xml:space="preserve">Joelson José Batista de Faria </v>
          </cell>
          <cell r="C22" t="str">
            <v>-</v>
          </cell>
          <cell r="E22" t="str">
            <v>-</v>
          </cell>
        </row>
        <row r="23">
          <cell r="A23" t="str">
            <v>Joyce Carvalho Moreira</v>
          </cell>
          <cell r="C23" t="str">
            <v>-</v>
          </cell>
          <cell r="E23" t="str">
            <v>-</v>
          </cell>
        </row>
        <row r="24">
          <cell r="A24" t="str">
            <v>Julio Cesar Pereira de Souza</v>
          </cell>
          <cell r="C24" t="str">
            <v>-</v>
          </cell>
          <cell r="E24" t="str">
            <v>-</v>
          </cell>
        </row>
        <row r="25">
          <cell r="A25" t="str">
            <v xml:space="preserve">Leandra Luiza Oliveira de Araújo </v>
          </cell>
          <cell r="C25" t="str">
            <v>-</v>
          </cell>
          <cell r="E25" t="str">
            <v>-</v>
          </cell>
        </row>
        <row r="26">
          <cell r="A26" t="str">
            <v>Leonardo Portolani da Silva</v>
          </cell>
          <cell r="C26" t="str">
            <v>-</v>
          </cell>
          <cell r="E26" t="str">
            <v>-</v>
          </cell>
        </row>
        <row r="27">
          <cell r="A27" t="str">
            <v xml:space="preserve">Leonardo Sousa Araújo </v>
          </cell>
          <cell r="C27" t="str">
            <v>-</v>
          </cell>
          <cell r="E27" t="str">
            <v>-</v>
          </cell>
        </row>
        <row r="28">
          <cell r="A28" t="str">
            <v>Lucas Rodrigues Amador</v>
          </cell>
          <cell r="C28" t="str">
            <v>-</v>
          </cell>
          <cell r="E28" t="str">
            <v>-</v>
          </cell>
        </row>
        <row r="29">
          <cell r="A29" t="str">
            <v>Luiz de Jesus F. Neto</v>
          </cell>
          <cell r="C29" t="str">
            <v>-</v>
          </cell>
          <cell r="E29" t="str">
            <v>-</v>
          </cell>
        </row>
        <row r="30">
          <cell r="A30" t="str">
            <v>Luiz Roberto Hiller</v>
          </cell>
          <cell r="C30" t="str">
            <v>-</v>
          </cell>
          <cell r="E30" t="str">
            <v>-</v>
          </cell>
        </row>
        <row r="31">
          <cell r="A31" t="str">
            <v>Marcelo Bueno da Silva</v>
          </cell>
          <cell r="C31" t="str">
            <v>-</v>
          </cell>
          <cell r="E31" t="str">
            <v>-</v>
          </cell>
        </row>
        <row r="32">
          <cell r="A32" t="str">
            <v>Marcos Benedito P. de Souza</v>
          </cell>
          <cell r="C32" t="str">
            <v>-</v>
          </cell>
          <cell r="E32" t="str">
            <v>-</v>
          </cell>
        </row>
        <row r="33">
          <cell r="A33" t="str">
            <v>Marcos Franco da Silva</v>
          </cell>
          <cell r="C33" t="str">
            <v>-</v>
          </cell>
          <cell r="E33" t="str">
            <v>-</v>
          </cell>
        </row>
        <row r="34">
          <cell r="A34" t="str">
            <v>Mariana dos Santos Dias</v>
          </cell>
          <cell r="C34" t="str">
            <v>-</v>
          </cell>
          <cell r="E34" t="str">
            <v>-</v>
          </cell>
        </row>
        <row r="35">
          <cell r="A35" t="str">
            <v>Matheus Pereira dos Santos</v>
          </cell>
          <cell r="C35" t="str">
            <v>-</v>
          </cell>
          <cell r="E35" t="str">
            <v>-</v>
          </cell>
        </row>
        <row r="36">
          <cell r="A36" t="str">
            <v>Maurício Barros de A. Júnior</v>
          </cell>
          <cell r="C36" t="str">
            <v>-</v>
          </cell>
          <cell r="E36" t="str">
            <v>-</v>
          </cell>
        </row>
        <row r="37">
          <cell r="A37" t="str">
            <v>Mayko Vasconcelos Rodrigues</v>
          </cell>
          <cell r="C37" t="str">
            <v>-</v>
          </cell>
          <cell r="E37" t="str">
            <v>-</v>
          </cell>
        </row>
        <row r="38">
          <cell r="A38" t="str">
            <v>Mônica Alves da Silva</v>
          </cell>
          <cell r="C38" t="str">
            <v>-</v>
          </cell>
          <cell r="E38" t="str">
            <v>-</v>
          </cell>
        </row>
        <row r="39">
          <cell r="A39" t="str">
            <v>Nathan Aragão Aguiar</v>
          </cell>
          <cell r="C39" t="str">
            <v>-</v>
          </cell>
          <cell r="E39" t="str">
            <v>-</v>
          </cell>
        </row>
        <row r="40">
          <cell r="A40" t="str">
            <v>Nicolas Santos Assunção</v>
          </cell>
          <cell r="C40" t="str">
            <v>-</v>
          </cell>
          <cell r="E40" t="str">
            <v>-</v>
          </cell>
        </row>
        <row r="41">
          <cell r="A41" t="str">
            <v>Renan Andrade da Annunciação</v>
          </cell>
          <cell r="C41" t="str">
            <v>-</v>
          </cell>
          <cell r="E41" t="str">
            <v>-</v>
          </cell>
        </row>
        <row r="42">
          <cell r="A42" t="str">
            <v>Rinaldo Alves Martinez</v>
          </cell>
          <cell r="C42" t="str">
            <v>-</v>
          </cell>
          <cell r="E42" t="str">
            <v>-</v>
          </cell>
        </row>
        <row r="43">
          <cell r="A43" t="str">
            <v>Robson Crepaldi</v>
          </cell>
          <cell r="C43" t="str">
            <v>-</v>
          </cell>
          <cell r="E43" t="str">
            <v>-</v>
          </cell>
        </row>
        <row r="44">
          <cell r="A44" t="str">
            <v>Rodrigo Gomes Cordeiro</v>
          </cell>
          <cell r="C44" t="str">
            <v>-</v>
          </cell>
          <cell r="E44" t="str">
            <v>-</v>
          </cell>
        </row>
        <row r="45">
          <cell r="A45" t="str">
            <v>Rodrigo Merida Silva</v>
          </cell>
          <cell r="C45" t="str">
            <v>-</v>
          </cell>
          <cell r="E45" t="str">
            <v>-</v>
          </cell>
        </row>
        <row r="46">
          <cell r="A46" t="str">
            <v>Uendel Ranieres B. de Carvalho</v>
          </cell>
          <cell r="C46" t="str">
            <v>-</v>
          </cell>
          <cell r="E46" t="str">
            <v>-</v>
          </cell>
        </row>
        <row r="47">
          <cell r="A47" t="str">
            <v>Vitor Santos Nunes</v>
          </cell>
          <cell r="C47" t="str">
            <v>-</v>
          </cell>
          <cell r="E47" t="str">
            <v>-</v>
          </cell>
        </row>
        <row r="48">
          <cell r="A48" t="str">
            <v>Weverton Santos Oliveira</v>
          </cell>
          <cell r="C48" t="str">
            <v>-</v>
          </cell>
          <cell r="E48" t="str">
            <v>-</v>
          </cell>
        </row>
        <row r="49">
          <cell r="A49" t="str">
            <v>-</v>
          </cell>
          <cell r="C49" t="str">
            <v>-</v>
          </cell>
          <cell r="E49" t="str">
            <v>-</v>
          </cell>
        </row>
        <row r="50">
          <cell r="A50" t="str">
            <v>-</v>
          </cell>
          <cell r="C50" t="str">
            <v>-</v>
          </cell>
          <cell r="E50" t="str">
            <v>-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e"/>
      <sheetName val="Cadastro - Padrões"/>
      <sheetName val="Histórico de revisões"/>
      <sheetName val="Planilha1"/>
    </sheetNames>
    <sheetDataSet>
      <sheetData sheetId="0">
        <row r="6">
          <cell r="A6">
            <v>1</v>
          </cell>
          <cell r="B6" t="str">
            <v>E.TH.LT-010</v>
          </cell>
          <cell r="C6" t="str">
            <v>Termômetro Digital</v>
          </cell>
          <cell r="D6" t="str">
            <v>Elus</v>
          </cell>
          <cell r="E6" t="str">
            <v>RBC - CAL 0439</v>
          </cell>
          <cell r="F6" t="str">
            <v>E0319/25</v>
          </cell>
          <cell r="G6">
            <v>45807</v>
          </cell>
          <cell r="H6">
            <v>46172</v>
          </cell>
          <cell r="I6" t="str">
            <v>°C</v>
          </cell>
          <cell r="J6" t="str">
            <v>Contato</v>
          </cell>
          <cell r="K6" t="str">
            <v>Termoresisitivo</v>
          </cell>
          <cell r="L6">
            <v>-90</v>
          </cell>
          <cell r="M6">
            <v>300</v>
          </cell>
          <cell r="N6">
            <v>1E-3</v>
          </cell>
          <cell r="O6">
            <v>1.6000000000005343E-2</v>
          </cell>
          <cell r="P6">
            <v>7.0000000000000007E-2</v>
          </cell>
          <cell r="Q6">
            <v>1.300000000000523E-2</v>
          </cell>
          <cell r="R6">
            <v>6.5014406312258188E-3</v>
          </cell>
          <cell r="S6">
            <v>4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3.3862099637634828E-11</v>
          </cell>
          <cell r="Y6">
            <v>-1.370832608225586E-8</v>
          </cell>
          <cell r="Z6">
            <v>2.3422233772980279E-7</v>
          </cell>
          <cell r="AA6">
            <v>1.0002897984663692</v>
          </cell>
          <cell r="AB6">
            <v>-3.2031675832163015E-3</v>
          </cell>
          <cell r="AC6">
            <v>-90</v>
          </cell>
          <cell r="AD6">
            <v>7.0000000000000007E-2</v>
          </cell>
          <cell r="AE6">
            <v>2</v>
          </cell>
          <cell r="AF6">
            <v>1000000</v>
          </cell>
          <cell r="AG6">
            <v>-45</v>
          </cell>
          <cell r="AH6">
            <v>0.03</v>
          </cell>
          <cell r="AI6">
            <v>2</v>
          </cell>
          <cell r="AJ6">
            <v>1000000</v>
          </cell>
          <cell r="AK6">
            <v>0.01</v>
          </cell>
          <cell r="AL6">
            <v>0.03</v>
          </cell>
          <cell r="AM6">
            <v>2</v>
          </cell>
          <cell r="AN6">
            <v>1000000</v>
          </cell>
          <cell r="AO6">
            <v>49.997999999999998</v>
          </cell>
          <cell r="AP6">
            <v>0.03</v>
          </cell>
          <cell r="AQ6">
            <v>2</v>
          </cell>
          <cell r="AR6">
            <v>1000000</v>
          </cell>
          <cell r="AS6">
            <v>150</v>
          </cell>
          <cell r="AT6">
            <v>0.03</v>
          </cell>
          <cell r="AU6">
            <v>2</v>
          </cell>
          <cell r="AV6">
            <v>1000000</v>
          </cell>
          <cell r="AW6">
            <v>300</v>
          </cell>
          <cell r="AX6">
            <v>0.05</v>
          </cell>
          <cell r="AY6">
            <v>2</v>
          </cell>
          <cell r="AZ6">
            <v>1000000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 t="str">
            <v>-</v>
          </cell>
        </row>
        <row r="7">
          <cell r="A7">
            <v>2</v>
          </cell>
          <cell r="B7" t="str">
            <v>E.TH.PMR-004</v>
          </cell>
          <cell r="C7" t="str">
            <v>Termohigrômetro Digital</v>
          </cell>
          <cell r="D7" t="str">
            <v>Elus</v>
          </cell>
          <cell r="E7" t="str">
            <v>RBC - CAL 0439</v>
          </cell>
          <cell r="F7" t="str">
            <v>E0401/25</v>
          </cell>
          <cell r="G7">
            <v>45836</v>
          </cell>
          <cell r="H7">
            <v>46203</v>
          </cell>
          <cell r="I7" t="str">
            <v>°C</v>
          </cell>
          <cell r="J7" t="str">
            <v>IN</v>
          </cell>
          <cell r="K7" t="str">
            <v>NA</v>
          </cell>
          <cell r="L7">
            <v>15</v>
          </cell>
          <cell r="M7">
            <v>35</v>
          </cell>
          <cell r="N7">
            <v>0.1</v>
          </cell>
          <cell r="O7">
            <v>0.30000000000000071</v>
          </cell>
          <cell r="P7">
            <v>0.2</v>
          </cell>
          <cell r="Q7">
            <v>9.9999999999999645E-2</v>
          </cell>
          <cell r="R7">
            <v>4.0621552867992961E-2</v>
          </cell>
          <cell r="S7">
            <v>1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0.99501666611662976</v>
          </cell>
          <cell r="AB7">
            <v>0.38992112471536089</v>
          </cell>
          <cell r="AC7">
            <v>15</v>
          </cell>
          <cell r="AD7">
            <v>0.2</v>
          </cell>
          <cell r="AE7">
            <v>2</v>
          </cell>
          <cell r="AF7">
            <v>1000000</v>
          </cell>
          <cell r="AG7">
            <v>25</v>
          </cell>
          <cell r="AH7">
            <v>0.2</v>
          </cell>
          <cell r="AI7">
            <v>2</v>
          </cell>
          <cell r="AJ7">
            <v>1000000</v>
          </cell>
          <cell r="AK7">
            <v>35</v>
          </cell>
          <cell r="AL7">
            <v>0.2</v>
          </cell>
          <cell r="AM7">
            <v>2</v>
          </cell>
          <cell r="AN7">
            <v>1000000</v>
          </cell>
          <cell r="AO7" t="str">
            <v>-</v>
          </cell>
          <cell r="AP7" t="str">
            <v>-</v>
          </cell>
          <cell r="AQ7" t="str">
            <v>-</v>
          </cell>
          <cell r="AR7" t="str">
            <v>-</v>
          </cell>
          <cell r="AS7" t="str">
            <v>-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 t="str">
            <v>-</v>
          </cell>
        </row>
        <row r="8">
          <cell r="A8">
            <v>3</v>
          </cell>
          <cell r="B8" t="str">
            <v>EL-800</v>
          </cell>
          <cell r="C8" t="str">
            <v>Termohigrômetro Digital</v>
          </cell>
          <cell r="D8" t="str">
            <v>Elus</v>
          </cell>
          <cell r="E8" t="str">
            <v>RBC - CAL 0439</v>
          </cell>
          <cell r="F8" t="str">
            <v>R0038/24</v>
          </cell>
          <cell r="G8">
            <v>45412</v>
          </cell>
          <cell r="H8">
            <v>45777</v>
          </cell>
          <cell r="I8" t="str">
            <v>°C</v>
          </cell>
          <cell r="J8" t="str">
            <v>OUT</v>
          </cell>
          <cell r="K8" t="str">
            <v>NA</v>
          </cell>
          <cell r="L8">
            <v>-10</v>
          </cell>
          <cell r="M8">
            <v>60</v>
          </cell>
          <cell r="N8">
            <v>0.1</v>
          </cell>
          <cell r="O8">
            <v>0.80000000000000071</v>
          </cell>
          <cell r="P8">
            <v>0.1</v>
          </cell>
          <cell r="Q8">
            <v>0.20000000000000284</v>
          </cell>
          <cell r="R8">
            <v>0.16191063706946096</v>
          </cell>
          <cell r="S8">
            <v>1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0.99149080734342532</v>
          </cell>
          <cell r="AB8">
            <v>0.64237583292985434</v>
          </cell>
          <cell r="AC8">
            <v>-10</v>
          </cell>
          <cell r="AD8">
            <v>0.1</v>
          </cell>
          <cell r="AE8">
            <v>2</v>
          </cell>
          <cell r="AF8">
            <v>1000000</v>
          </cell>
          <cell r="AG8">
            <v>25</v>
          </cell>
          <cell r="AH8">
            <v>0.1</v>
          </cell>
          <cell r="AI8">
            <v>2</v>
          </cell>
          <cell r="AJ8">
            <v>1000000</v>
          </cell>
          <cell r="AK8">
            <v>60</v>
          </cell>
          <cell r="AL8">
            <v>0.1</v>
          </cell>
          <cell r="AM8">
            <v>2</v>
          </cell>
          <cell r="AN8">
            <v>1000000</v>
          </cell>
          <cell r="AO8" t="str">
            <v>-</v>
          </cell>
          <cell r="AP8" t="str">
            <v>-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>-</v>
          </cell>
          <cell r="AU8" t="str">
            <v>-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 t="str">
            <v>-</v>
          </cell>
        </row>
        <row r="9">
          <cell r="A9">
            <v>4</v>
          </cell>
          <cell r="B9" t="str">
            <v>EL-800</v>
          </cell>
          <cell r="C9" t="str">
            <v>Termohigrômetro Digital</v>
          </cell>
          <cell r="D9" t="str">
            <v>Elus</v>
          </cell>
          <cell r="E9" t="str">
            <v>RBC - CAL 0439</v>
          </cell>
          <cell r="F9" t="str">
            <v>R0038/24</v>
          </cell>
          <cell r="G9">
            <v>45412</v>
          </cell>
          <cell r="H9">
            <v>45777</v>
          </cell>
          <cell r="I9" t="str">
            <v>°C</v>
          </cell>
          <cell r="J9" t="str">
            <v>IN</v>
          </cell>
          <cell r="K9" t="str">
            <v>NA</v>
          </cell>
          <cell r="L9">
            <v>15</v>
          </cell>
          <cell r="M9">
            <v>35</v>
          </cell>
          <cell r="N9">
            <v>0.1</v>
          </cell>
          <cell r="O9">
            <v>0.89999999999999858</v>
          </cell>
          <cell r="P9">
            <v>0.2</v>
          </cell>
          <cell r="Q9">
            <v>0.69999999999999574</v>
          </cell>
          <cell r="R9">
            <v>0</v>
          </cell>
          <cell r="S9">
            <v>1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1.0204081632653059</v>
          </cell>
          <cell r="AB9">
            <v>0.20408163265306456</v>
          </cell>
          <cell r="AC9">
            <v>15</v>
          </cell>
          <cell r="AD9">
            <v>0.2</v>
          </cell>
          <cell r="AE9">
            <v>2</v>
          </cell>
          <cell r="AF9">
            <v>1000000</v>
          </cell>
          <cell r="AG9">
            <v>25</v>
          </cell>
          <cell r="AH9">
            <v>0.2</v>
          </cell>
          <cell r="AI9">
            <v>2</v>
          </cell>
          <cell r="AJ9">
            <v>1000000</v>
          </cell>
          <cell r="AK9">
            <v>35</v>
          </cell>
          <cell r="AL9">
            <v>0.2</v>
          </cell>
          <cell r="AM9">
            <v>2</v>
          </cell>
          <cell r="AN9">
            <v>1000000</v>
          </cell>
          <cell r="AO9" t="str">
            <v>-</v>
          </cell>
          <cell r="AP9" t="str">
            <v>-</v>
          </cell>
          <cell r="AQ9" t="str">
            <v>-</v>
          </cell>
          <cell r="AR9" t="str">
            <v>-</v>
          </cell>
          <cell r="AS9" t="str">
            <v>-</v>
          </cell>
          <cell r="AT9" t="str">
            <v>-</v>
          </cell>
          <cell r="AU9" t="str">
            <v>-</v>
          </cell>
          <cell r="AV9" t="str">
            <v>-</v>
          </cell>
          <cell r="AW9" t="str">
            <v>-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 t="str">
            <v>-</v>
          </cell>
        </row>
        <row r="10">
          <cell r="A10">
            <v>5</v>
          </cell>
          <cell r="B10" t="str">
            <v>E.VM.LQ-021</v>
          </cell>
          <cell r="C10" t="str">
            <v>Termômetro Digital</v>
          </cell>
          <cell r="D10" t="str">
            <v>Elus</v>
          </cell>
          <cell r="E10" t="str">
            <v>RBC - CAL 0439</v>
          </cell>
          <cell r="F10" t="str">
            <v>E0758/25</v>
          </cell>
          <cell r="G10">
            <v>45959</v>
          </cell>
          <cell r="H10">
            <v>46325</v>
          </cell>
          <cell r="I10" t="str">
            <v>°C</v>
          </cell>
          <cell r="J10" t="str">
            <v>Contato</v>
          </cell>
          <cell r="K10" t="str">
            <v>Termoresisitivo</v>
          </cell>
          <cell r="L10">
            <v>9.99</v>
          </cell>
          <cell r="M10">
            <v>70</v>
          </cell>
          <cell r="N10">
            <v>0.01</v>
          </cell>
          <cell r="O10">
            <v>9.9999999999997868E-3</v>
          </cell>
          <cell r="P10">
            <v>0.05</v>
          </cell>
          <cell r="Q10">
            <v>9.9999999999997868E-3</v>
          </cell>
          <cell r="R10">
            <v>3.2733087579416287E-3</v>
          </cell>
          <cell r="S10">
            <v>4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1.228106680984832E-8</v>
          </cell>
          <cell r="Y10">
            <v>-1.7123079239843365E-6</v>
          </cell>
          <cell r="Z10">
            <v>6.8728600167173361E-5</v>
          </cell>
          <cell r="AA10">
            <v>0.99953003485552561</v>
          </cell>
          <cell r="AB10">
            <v>-1.1384701963950458E-2</v>
          </cell>
          <cell r="AC10">
            <v>9.99</v>
          </cell>
          <cell r="AD10">
            <v>0.05</v>
          </cell>
          <cell r="AE10">
            <v>2</v>
          </cell>
          <cell r="AF10">
            <v>1000000</v>
          </cell>
          <cell r="AG10">
            <v>14.99</v>
          </cell>
          <cell r="AH10">
            <v>0.05</v>
          </cell>
          <cell r="AI10">
            <v>2</v>
          </cell>
          <cell r="AJ10">
            <v>1000000</v>
          </cell>
          <cell r="AK10">
            <v>25</v>
          </cell>
          <cell r="AL10">
            <v>0.05</v>
          </cell>
          <cell r="AM10">
            <v>2</v>
          </cell>
          <cell r="AN10">
            <v>1000000</v>
          </cell>
          <cell r="AO10">
            <v>35</v>
          </cell>
          <cell r="AP10">
            <v>0.05</v>
          </cell>
          <cell r="AQ10">
            <v>2</v>
          </cell>
          <cell r="AR10">
            <v>1000000</v>
          </cell>
          <cell r="AS10">
            <v>50</v>
          </cell>
          <cell r="AT10">
            <v>0.05</v>
          </cell>
          <cell r="AU10">
            <v>2</v>
          </cell>
          <cell r="AV10">
            <v>1000000</v>
          </cell>
          <cell r="AW10">
            <v>70</v>
          </cell>
          <cell r="AX10">
            <v>0.05</v>
          </cell>
          <cell r="AY10">
            <v>2</v>
          </cell>
          <cell r="AZ10">
            <v>1000000</v>
          </cell>
          <cell r="BA10" t="str">
            <v>-</v>
          </cell>
          <cell r="BB10" t="str">
            <v>-</v>
          </cell>
          <cell r="BC10" t="str">
            <v>-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  <cell r="BP10" t="str">
            <v>-</v>
          </cell>
        </row>
        <row r="11">
          <cell r="A11">
            <v>6</v>
          </cell>
          <cell r="B11" t="str">
            <v>E.TH.PMR-006</v>
          </cell>
          <cell r="C11" t="str">
            <v>Termohigrômetro Digital</v>
          </cell>
          <cell r="D11" t="str">
            <v>Elus</v>
          </cell>
          <cell r="E11" t="str">
            <v>RBC - CAL 0439</v>
          </cell>
          <cell r="F11" t="str">
            <v>E0208/25</v>
          </cell>
          <cell r="G11">
            <v>45761</v>
          </cell>
          <cell r="H11">
            <v>46142</v>
          </cell>
          <cell r="I11" t="str">
            <v>°C</v>
          </cell>
          <cell r="J11" t="str">
            <v>IN</v>
          </cell>
          <cell r="K11" t="str">
            <v>NA</v>
          </cell>
          <cell r="L11">
            <v>15</v>
          </cell>
          <cell r="M11">
            <v>35</v>
          </cell>
          <cell r="N11">
            <v>0.1</v>
          </cell>
          <cell r="O11">
            <v>0.10000000000000142</v>
          </cell>
          <cell r="P11">
            <v>0.1</v>
          </cell>
          <cell r="Q11">
            <v>0.10000000000000142</v>
          </cell>
          <cell r="R11">
            <v>3.5527136788005009E-15</v>
          </cell>
          <cell r="S11">
            <v>1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1.0000000000000002</v>
          </cell>
          <cell r="AB11">
            <v>9.9999999999997868E-2</v>
          </cell>
          <cell r="AC11">
            <v>15</v>
          </cell>
          <cell r="AD11">
            <v>0.1</v>
          </cell>
          <cell r="AE11">
            <v>2</v>
          </cell>
          <cell r="AF11">
            <v>1000000</v>
          </cell>
          <cell r="AG11">
            <v>25</v>
          </cell>
          <cell r="AH11">
            <v>0.1</v>
          </cell>
          <cell r="AI11">
            <v>2</v>
          </cell>
          <cell r="AJ11">
            <v>1000000</v>
          </cell>
          <cell r="AK11">
            <v>35</v>
          </cell>
          <cell r="AL11">
            <v>0.1</v>
          </cell>
          <cell r="AM11">
            <v>2</v>
          </cell>
          <cell r="AN11">
            <v>1000000</v>
          </cell>
          <cell r="AO11" t="str">
            <v>-</v>
          </cell>
          <cell r="AP11" t="str">
            <v>-</v>
          </cell>
          <cell r="AQ11" t="str">
            <v>-</v>
          </cell>
          <cell r="AR11" t="str">
            <v>-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>-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  <cell r="BB11" t="str">
            <v>-</v>
          </cell>
          <cell r="BC11" t="str">
            <v>-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  <cell r="BP11" t="str">
            <v>-</v>
          </cell>
        </row>
        <row r="12">
          <cell r="A12">
            <v>7</v>
          </cell>
          <cell r="B12" t="str">
            <v>E.TH.FS-051</v>
          </cell>
          <cell r="C12" t="str">
            <v>Termohigrômetro Digital</v>
          </cell>
          <cell r="D12" t="str">
            <v>Elus</v>
          </cell>
          <cell r="E12" t="str">
            <v>RBC - CAL 0439</v>
          </cell>
          <cell r="F12" t="str">
            <v>E0051/26</v>
          </cell>
          <cell r="G12">
            <v>46056</v>
          </cell>
          <cell r="H12">
            <v>46446</v>
          </cell>
          <cell r="I12" t="str">
            <v>°C</v>
          </cell>
          <cell r="J12" t="str">
            <v>IN</v>
          </cell>
          <cell r="K12" t="str">
            <v>NA</v>
          </cell>
          <cell r="L12">
            <v>15</v>
          </cell>
          <cell r="M12">
            <v>35</v>
          </cell>
          <cell r="N12">
            <v>0.1</v>
          </cell>
          <cell r="O12">
            <v>0.30000000000000071</v>
          </cell>
          <cell r="P12">
            <v>0.2</v>
          </cell>
          <cell r="Q12">
            <v>0.10000000000000142</v>
          </cell>
          <cell r="R12">
            <v>0.24011143756655073</v>
          </cell>
          <cell r="S12">
            <v>1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0.98010954165465558</v>
          </cell>
          <cell r="AB12">
            <v>0.59527241279907273</v>
          </cell>
          <cell r="AC12">
            <v>15</v>
          </cell>
          <cell r="AD12">
            <v>0.2</v>
          </cell>
          <cell r="AE12">
            <v>2</v>
          </cell>
          <cell r="AF12">
            <v>1000000</v>
          </cell>
          <cell r="AG12">
            <v>25</v>
          </cell>
          <cell r="AH12">
            <v>0.2</v>
          </cell>
          <cell r="AI12">
            <v>2</v>
          </cell>
          <cell r="AJ12">
            <v>1000000</v>
          </cell>
          <cell r="AK12">
            <v>35</v>
          </cell>
          <cell r="AL12">
            <v>0.2</v>
          </cell>
          <cell r="AM12">
            <v>2</v>
          </cell>
          <cell r="AN12">
            <v>1000000</v>
          </cell>
          <cell r="AO12" t="str">
            <v>-</v>
          </cell>
          <cell r="AP12" t="str">
            <v>-</v>
          </cell>
          <cell r="AQ12" t="str">
            <v>-</v>
          </cell>
          <cell r="AR12" t="str">
            <v>-</v>
          </cell>
          <cell r="AS12" t="str">
            <v>-</v>
          </cell>
          <cell r="AT12" t="str">
            <v>-</v>
          </cell>
          <cell r="AU12" t="str">
            <v>-</v>
          </cell>
          <cell r="AV12" t="str">
            <v>-</v>
          </cell>
          <cell r="AW12" t="str">
            <v>-</v>
          </cell>
          <cell r="AX12" t="str">
            <v>-</v>
          </cell>
          <cell r="AY12" t="str">
            <v>-</v>
          </cell>
          <cell r="AZ12" t="str">
            <v>-</v>
          </cell>
          <cell r="BA12" t="str">
            <v>-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  <cell r="BP12" t="str">
            <v>-</v>
          </cell>
        </row>
        <row r="13">
          <cell r="A13">
            <v>8</v>
          </cell>
          <cell r="B13" t="str">
            <v>E.TH.FS-051</v>
          </cell>
          <cell r="C13" t="str">
            <v>Termohigrômetro Digital</v>
          </cell>
          <cell r="D13" t="str">
            <v>Elus</v>
          </cell>
          <cell r="E13" t="str">
            <v>RBC - CAL 0439</v>
          </cell>
          <cell r="F13" t="str">
            <v>E0051/26</v>
          </cell>
          <cell r="G13">
            <v>46056</v>
          </cell>
          <cell r="H13">
            <v>46446</v>
          </cell>
          <cell r="I13" t="str">
            <v>°C</v>
          </cell>
          <cell r="J13" t="str">
            <v>OUT</v>
          </cell>
          <cell r="K13" t="str">
            <v>NA</v>
          </cell>
          <cell r="L13">
            <v>15</v>
          </cell>
          <cell r="M13">
            <v>35</v>
          </cell>
          <cell r="N13">
            <v>0.1</v>
          </cell>
          <cell r="O13">
            <v>0.29999999999999716</v>
          </cell>
          <cell r="P13">
            <v>0.1</v>
          </cell>
          <cell r="Q13">
            <v>0.19999999999999574</v>
          </cell>
          <cell r="R13">
            <v>4.0221343777805174E-2</v>
          </cell>
          <cell r="S13">
            <v>1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0.98521370563302846</v>
          </cell>
          <cell r="AB13">
            <v>0.23829553175654894</v>
          </cell>
          <cell r="AC13">
            <v>15</v>
          </cell>
          <cell r="AD13">
            <v>0.1</v>
          </cell>
          <cell r="AE13">
            <v>2</v>
          </cell>
          <cell r="AF13">
            <v>1000000</v>
          </cell>
          <cell r="AG13">
            <v>25</v>
          </cell>
          <cell r="AH13">
            <v>0.1</v>
          </cell>
          <cell r="AI13">
            <v>2</v>
          </cell>
          <cell r="AJ13">
            <v>1000000</v>
          </cell>
          <cell r="AK13">
            <v>35</v>
          </cell>
          <cell r="AL13">
            <v>0.1</v>
          </cell>
          <cell r="AM13">
            <v>2</v>
          </cell>
          <cell r="AN13">
            <v>1000000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 t="str">
            <v>-</v>
          </cell>
        </row>
        <row r="14">
          <cell r="A14">
            <v>9</v>
          </cell>
          <cell r="B14" t="str">
            <v>E.PS.LQ-020</v>
          </cell>
          <cell r="C14" t="str">
            <v>Termohigrômetro Digital</v>
          </cell>
          <cell r="D14" t="str">
            <v>Elus</v>
          </cell>
          <cell r="E14" t="str">
            <v>RBC - CAL 0439</v>
          </cell>
          <cell r="F14" t="str">
            <v>E0440/25</v>
          </cell>
          <cell r="G14">
            <v>45839</v>
          </cell>
          <cell r="H14">
            <v>46233</v>
          </cell>
          <cell r="I14" t="str">
            <v>°C</v>
          </cell>
          <cell r="J14" t="str">
            <v>IN</v>
          </cell>
          <cell r="K14" t="str">
            <v>NA</v>
          </cell>
          <cell r="L14">
            <v>15</v>
          </cell>
          <cell r="M14">
            <v>30</v>
          </cell>
          <cell r="N14">
            <v>0.1</v>
          </cell>
          <cell r="O14">
            <v>0.5</v>
          </cell>
          <cell r="P14">
            <v>0.2</v>
          </cell>
          <cell r="Q14">
            <v>0.80000000000000071</v>
          </cell>
          <cell r="R14">
            <v>8.6098422096066773E-2</v>
          </cell>
          <cell r="S14">
            <v>2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-1.8619390567355732E-3</v>
          </cell>
          <cell r="AA14">
            <v>1.0613726414095694</v>
          </cell>
          <cell r="AB14">
            <v>-0.62153736127913128</v>
          </cell>
          <cell r="AC14">
            <v>15</v>
          </cell>
          <cell r="AD14">
            <v>0.2</v>
          </cell>
          <cell r="AE14">
            <v>2</v>
          </cell>
          <cell r="AF14">
            <v>1000000</v>
          </cell>
          <cell r="AG14">
            <v>20</v>
          </cell>
          <cell r="AH14">
            <v>0.2</v>
          </cell>
          <cell r="AI14">
            <v>2</v>
          </cell>
          <cell r="AJ14">
            <v>1000000</v>
          </cell>
          <cell r="AK14">
            <v>25</v>
          </cell>
          <cell r="AL14">
            <v>0.2</v>
          </cell>
          <cell r="AM14">
            <v>2</v>
          </cell>
          <cell r="AN14">
            <v>1000000</v>
          </cell>
          <cell r="AO14">
            <v>30</v>
          </cell>
          <cell r="AP14">
            <v>0.2</v>
          </cell>
          <cell r="AQ14">
            <v>2</v>
          </cell>
          <cell r="AR14">
            <v>1000000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-</v>
          </cell>
          <cell r="AY14" t="str">
            <v>-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 t="str">
            <v>-</v>
          </cell>
        </row>
        <row r="15">
          <cell r="A15">
            <v>10</v>
          </cell>
          <cell r="B15" t="str">
            <v>E.TH.FS-041</v>
          </cell>
          <cell r="C15" t="str">
            <v>Termohigrômetro Digital</v>
          </cell>
          <cell r="D15" t="str">
            <v>Elus</v>
          </cell>
          <cell r="E15" t="str">
            <v>RBC - CAL 0439</v>
          </cell>
          <cell r="F15" t="str">
            <v>R0030/25</v>
          </cell>
          <cell r="G15">
            <v>45692</v>
          </cell>
          <cell r="H15">
            <v>46081</v>
          </cell>
          <cell r="I15" t="str">
            <v>°C</v>
          </cell>
          <cell r="J15" t="str">
            <v>IN</v>
          </cell>
          <cell r="K15" t="str">
            <v>NA</v>
          </cell>
          <cell r="L15">
            <v>15</v>
          </cell>
          <cell r="M15">
            <v>35</v>
          </cell>
          <cell r="N15">
            <v>0.1</v>
          </cell>
          <cell r="O15">
            <v>0.39999999999999858</v>
          </cell>
          <cell r="P15">
            <v>0.2</v>
          </cell>
          <cell r="Q15">
            <v>0.39999999999999858</v>
          </cell>
          <cell r="R15">
            <v>4.1871436009245144E-2</v>
          </cell>
          <cell r="S15">
            <v>1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1.0256320347838284</v>
          </cell>
          <cell r="AB15">
            <v>-0.50404993162452882</v>
          </cell>
          <cell r="AC15">
            <v>15</v>
          </cell>
          <cell r="AD15">
            <v>0.2</v>
          </cell>
          <cell r="AE15">
            <v>2</v>
          </cell>
          <cell r="AF15">
            <v>1000000</v>
          </cell>
          <cell r="AG15">
            <v>25</v>
          </cell>
          <cell r="AH15">
            <v>0.2</v>
          </cell>
          <cell r="AI15">
            <v>2</v>
          </cell>
          <cell r="AJ15">
            <v>1000000</v>
          </cell>
          <cell r="AK15">
            <v>35</v>
          </cell>
          <cell r="AL15">
            <v>0.2</v>
          </cell>
          <cell r="AM15">
            <v>2</v>
          </cell>
          <cell r="AN15">
            <v>1000000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-</v>
          </cell>
          <cell r="AY15" t="str">
            <v>-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 t="str">
            <v>-</v>
          </cell>
        </row>
        <row r="16">
          <cell r="A16">
            <v>11</v>
          </cell>
          <cell r="B16" t="str">
            <v>E.TH.FS-041</v>
          </cell>
          <cell r="C16" t="str">
            <v>Termohigrômetro Digital</v>
          </cell>
          <cell r="D16" t="str">
            <v>Elus</v>
          </cell>
          <cell r="E16" t="str">
            <v>RBC - CAL 0439</v>
          </cell>
          <cell r="F16" t="str">
            <v>R0030/25</v>
          </cell>
          <cell r="G16">
            <v>45692</v>
          </cell>
          <cell r="H16">
            <v>46081</v>
          </cell>
          <cell r="I16" t="str">
            <v>°C</v>
          </cell>
          <cell r="J16" t="str">
            <v>OUT</v>
          </cell>
          <cell r="K16" t="str">
            <v>NA</v>
          </cell>
          <cell r="L16">
            <v>15</v>
          </cell>
          <cell r="M16">
            <v>35</v>
          </cell>
          <cell r="N16">
            <v>0.1</v>
          </cell>
          <cell r="O16">
            <v>0.29999999999999716</v>
          </cell>
          <cell r="P16">
            <v>0.1</v>
          </cell>
          <cell r="Q16">
            <v>0.29999999999999716</v>
          </cell>
          <cell r="R16">
            <v>4.0221343777805174E-2</v>
          </cell>
          <cell r="S16">
            <v>1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0.98521370563302846</v>
          </cell>
          <cell r="AB16">
            <v>0.23829553175654894</v>
          </cell>
          <cell r="AC16">
            <v>15</v>
          </cell>
          <cell r="AD16">
            <v>0.1</v>
          </cell>
          <cell r="AE16">
            <v>2</v>
          </cell>
          <cell r="AF16">
            <v>1000000</v>
          </cell>
          <cell r="AG16">
            <v>25</v>
          </cell>
          <cell r="AH16">
            <v>0.1</v>
          </cell>
          <cell r="AI16">
            <v>2</v>
          </cell>
          <cell r="AJ16">
            <v>1000000</v>
          </cell>
          <cell r="AK16">
            <v>35</v>
          </cell>
          <cell r="AL16">
            <v>0.1</v>
          </cell>
          <cell r="AM16">
            <v>2</v>
          </cell>
          <cell r="AN16">
            <v>1000000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 t="str">
            <v>-</v>
          </cell>
        </row>
        <row r="17">
          <cell r="A17">
            <v>12</v>
          </cell>
          <cell r="B17" t="str">
            <v>E.TH.PMR-007</v>
          </cell>
          <cell r="C17" t="str">
            <v>Termohigrômetro Digital</v>
          </cell>
          <cell r="D17" t="str">
            <v>Elus</v>
          </cell>
          <cell r="E17" t="str">
            <v>RBC - CAL 0439</v>
          </cell>
          <cell r="F17" t="str">
            <v>E0209/25</v>
          </cell>
          <cell r="G17">
            <v>45761</v>
          </cell>
          <cell r="H17">
            <v>46142</v>
          </cell>
          <cell r="I17" t="str">
            <v>°C</v>
          </cell>
          <cell r="J17" t="str">
            <v>IN</v>
          </cell>
          <cell r="K17" t="str">
            <v>NA</v>
          </cell>
          <cell r="L17">
            <v>15</v>
          </cell>
          <cell r="M17">
            <v>35</v>
          </cell>
          <cell r="N17">
            <v>0.1</v>
          </cell>
          <cell r="O17">
            <v>0.10000000000000142</v>
          </cell>
          <cell r="P17">
            <v>0.1</v>
          </cell>
          <cell r="Q17">
            <v>0.10000000000000142</v>
          </cell>
          <cell r="R17">
            <v>3.5527136788005009E-15</v>
          </cell>
          <cell r="S17">
            <v>1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1.0000000000000002</v>
          </cell>
          <cell r="AB17">
            <v>9.9999999999997868E-2</v>
          </cell>
          <cell r="AC17">
            <v>15</v>
          </cell>
          <cell r="AD17">
            <v>0.1</v>
          </cell>
          <cell r="AE17">
            <v>2</v>
          </cell>
          <cell r="AF17">
            <v>1000000</v>
          </cell>
          <cell r="AG17">
            <v>25</v>
          </cell>
          <cell r="AH17">
            <v>0.1</v>
          </cell>
          <cell r="AI17">
            <v>2</v>
          </cell>
          <cell r="AJ17">
            <v>1000000</v>
          </cell>
          <cell r="AK17">
            <v>35</v>
          </cell>
          <cell r="AL17">
            <v>0.1</v>
          </cell>
          <cell r="AM17">
            <v>2</v>
          </cell>
          <cell r="AN17">
            <v>1000000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-</v>
          </cell>
          <cell r="AY17" t="str">
            <v>-</v>
          </cell>
          <cell r="AZ17" t="str">
            <v>-</v>
          </cell>
          <cell r="BA17" t="str">
            <v>-</v>
          </cell>
          <cell r="BB17" t="str">
            <v>-</v>
          </cell>
          <cell r="BC17" t="str">
            <v>-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 t="str">
            <v>-</v>
          </cell>
        </row>
        <row r="18">
          <cell r="A18">
            <v>13</v>
          </cell>
          <cell r="B18" t="str">
            <v>E.TH.LT-021</v>
          </cell>
          <cell r="C18" t="str">
            <v>Termômetro Digital</v>
          </cell>
          <cell r="D18" t="str">
            <v>Elus</v>
          </cell>
          <cell r="E18" t="str">
            <v>RBC - CAL - 0439</v>
          </cell>
          <cell r="F18" t="str">
            <v>E0341/25</v>
          </cell>
          <cell r="G18">
            <v>45807</v>
          </cell>
          <cell r="H18">
            <v>46172</v>
          </cell>
          <cell r="I18" t="str">
            <v>°C</v>
          </cell>
          <cell r="J18" t="str">
            <v>Contato</v>
          </cell>
          <cell r="K18" t="str">
            <v>Termoresisitivo</v>
          </cell>
          <cell r="L18">
            <v>-90</v>
          </cell>
          <cell r="M18">
            <v>300</v>
          </cell>
          <cell r="N18">
            <v>1E-3</v>
          </cell>
          <cell r="O18">
            <v>0.18799999999998818</v>
          </cell>
          <cell r="P18">
            <v>7.0000000000000007E-2</v>
          </cell>
          <cell r="Q18">
            <v>0.24799999999999045</v>
          </cell>
          <cell r="R18">
            <v>2.6098828887825221E-2</v>
          </cell>
          <cell r="S18">
            <v>4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5.6395233399577991E-11</v>
          </cell>
          <cell r="Y18">
            <v>-3.7291910845180696E-8</v>
          </cell>
          <cell r="Z18">
            <v>2.9971035295548071E-6</v>
          </cell>
          <cell r="AA18">
            <v>1.0015229801032324</v>
          </cell>
          <cell r="AB18">
            <v>-8.7791670805556915E-3</v>
          </cell>
          <cell r="AC18">
            <v>-90</v>
          </cell>
          <cell r="AD18">
            <v>7.0000000000000007E-2</v>
          </cell>
          <cell r="AE18">
            <v>2</v>
          </cell>
          <cell r="AF18">
            <v>1000000</v>
          </cell>
          <cell r="AG18">
            <v>-45</v>
          </cell>
          <cell r="AH18">
            <v>0.03</v>
          </cell>
          <cell r="AI18">
            <v>2</v>
          </cell>
          <cell r="AJ18">
            <v>1000000</v>
          </cell>
          <cell r="AK18">
            <v>0.01</v>
          </cell>
          <cell r="AL18">
            <v>0.03</v>
          </cell>
          <cell r="AM18">
            <v>2</v>
          </cell>
          <cell r="AN18">
            <v>1000000</v>
          </cell>
          <cell r="AO18">
            <v>49.997999999999998</v>
          </cell>
          <cell r="AP18">
            <v>0.03</v>
          </cell>
          <cell r="AQ18">
            <v>2</v>
          </cell>
          <cell r="AR18">
            <v>1000000</v>
          </cell>
          <cell r="AS18">
            <v>150</v>
          </cell>
          <cell r="AT18">
            <v>0.03</v>
          </cell>
          <cell r="AU18">
            <v>2</v>
          </cell>
          <cell r="AV18">
            <v>1000000</v>
          </cell>
          <cell r="AW18">
            <v>300</v>
          </cell>
          <cell r="AX18">
            <v>0.05</v>
          </cell>
          <cell r="AY18">
            <v>2</v>
          </cell>
          <cell r="AZ18">
            <v>1000000</v>
          </cell>
          <cell r="BA18" t="str">
            <v>-</v>
          </cell>
          <cell r="BB18" t="str">
            <v>-</v>
          </cell>
          <cell r="BC18" t="str">
            <v>-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  <cell r="BP18" t="str">
            <v>-</v>
          </cell>
        </row>
        <row r="19">
          <cell r="A19">
            <v>14</v>
          </cell>
          <cell r="B19" t="str">
            <v>E.TH.FS-042</v>
          </cell>
          <cell r="C19" t="str">
            <v>Termohigrômetro Digital</v>
          </cell>
          <cell r="D19" t="str">
            <v>Elus</v>
          </cell>
          <cell r="E19" t="str">
            <v>RBC - CAL 0439</v>
          </cell>
          <cell r="F19" t="str">
            <v>E0053/26</v>
          </cell>
          <cell r="G19">
            <v>46056</v>
          </cell>
          <cell r="H19">
            <v>46446</v>
          </cell>
          <cell r="I19" t="str">
            <v>°C</v>
          </cell>
          <cell r="J19" t="str">
            <v>IN</v>
          </cell>
          <cell r="K19" t="str">
            <v>NA</v>
          </cell>
          <cell r="L19">
            <v>15</v>
          </cell>
          <cell r="M19">
            <v>35</v>
          </cell>
          <cell r="N19">
            <v>0.1</v>
          </cell>
          <cell r="O19">
            <v>0.39999999999999858</v>
          </cell>
          <cell r="P19">
            <v>0.2</v>
          </cell>
          <cell r="Q19">
            <v>0.79999999999999716</v>
          </cell>
          <cell r="R19">
            <v>3.9444125849199096E-2</v>
          </cell>
          <cell r="S19">
            <v>1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0.96617605874848311</v>
          </cell>
          <cell r="AB19">
            <v>0.78118679403802815</v>
          </cell>
          <cell r="AC19">
            <v>15</v>
          </cell>
          <cell r="AD19">
            <v>0.2</v>
          </cell>
          <cell r="AE19">
            <v>2</v>
          </cell>
          <cell r="AF19">
            <v>1000000</v>
          </cell>
          <cell r="AG19">
            <v>25</v>
          </cell>
          <cell r="AH19">
            <v>0.2</v>
          </cell>
          <cell r="AI19">
            <v>2</v>
          </cell>
          <cell r="AJ19">
            <v>1000000</v>
          </cell>
          <cell r="AK19">
            <v>35</v>
          </cell>
          <cell r="AL19">
            <v>0.2</v>
          </cell>
          <cell r="AM19">
            <v>2</v>
          </cell>
          <cell r="AN19">
            <v>1000000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-</v>
          </cell>
          <cell r="AY19" t="str">
            <v>-</v>
          </cell>
          <cell r="AZ19" t="str">
            <v>-</v>
          </cell>
          <cell r="BA19" t="str">
            <v>-</v>
          </cell>
          <cell r="BB19" t="str">
            <v>-</v>
          </cell>
          <cell r="BC19" t="str">
            <v>-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  <cell r="BP19" t="str">
            <v>-</v>
          </cell>
        </row>
        <row r="20">
          <cell r="A20">
            <v>15</v>
          </cell>
          <cell r="B20" t="str">
            <v>E.TH.FS-042</v>
          </cell>
          <cell r="C20" t="str">
            <v>Termohigrômetro Digital</v>
          </cell>
          <cell r="D20" t="str">
            <v>Elus</v>
          </cell>
          <cell r="E20" t="str">
            <v>RBC - CAL 0439</v>
          </cell>
          <cell r="F20" t="str">
            <v>E0053/26</v>
          </cell>
          <cell r="G20">
            <v>46056</v>
          </cell>
          <cell r="H20">
            <v>46446</v>
          </cell>
          <cell r="I20" t="str">
            <v>°C</v>
          </cell>
          <cell r="J20" t="str">
            <v>OUT</v>
          </cell>
          <cell r="K20" t="str">
            <v>NA</v>
          </cell>
          <cell r="L20">
            <v>15</v>
          </cell>
          <cell r="M20">
            <v>35</v>
          </cell>
          <cell r="N20">
            <v>0.1</v>
          </cell>
          <cell r="O20">
            <v>0.10000000000000142</v>
          </cell>
          <cell r="P20">
            <v>0.1</v>
          </cell>
          <cell r="Q20">
            <v>0.29999999999999716</v>
          </cell>
          <cell r="R20">
            <v>8.083992486288416E-2</v>
          </cell>
          <cell r="S20">
            <v>1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0.9900666579532087</v>
          </cell>
          <cell r="AB20">
            <v>0.28133577310155289</v>
          </cell>
          <cell r="AC20">
            <v>15</v>
          </cell>
          <cell r="AD20">
            <v>0.1</v>
          </cell>
          <cell r="AE20">
            <v>2</v>
          </cell>
          <cell r="AF20">
            <v>1000000</v>
          </cell>
          <cell r="AG20">
            <v>25</v>
          </cell>
          <cell r="AH20">
            <v>0.1</v>
          </cell>
          <cell r="AI20">
            <v>2</v>
          </cell>
          <cell r="AJ20">
            <v>1000000</v>
          </cell>
          <cell r="AK20">
            <v>35</v>
          </cell>
          <cell r="AL20">
            <v>0.1</v>
          </cell>
          <cell r="AM20">
            <v>2</v>
          </cell>
          <cell r="AN20">
            <v>1000000</v>
          </cell>
          <cell r="AO20" t="str">
            <v>-</v>
          </cell>
          <cell r="AP20" t="str">
            <v>-</v>
          </cell>
          <cell r="AQ20" t="str">
            <v>-</v>
          </cell>
          <cell r="AR20" t="str">
            <v>-</v>
          </cell>
          <cell r="AS20" t="str">
            <v>-</v>
          </cell>
          <cell r="AT20" t="str">
            <v>-</v>
          </cell>
          <cell r="AU20" t="str">
            <v>-</v>
          </cell>
          <cell r="AV20" t="str">
            <v>-</v>
          </cell>
          <cell r="AW20" t="str">
            <v>-</v>
          </cell>
          <cell r="AX20" t="str">
            <v>-</v>
          </cell>
          <cell r="AY20" t="str">
            <v>-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  <cell r="BP20" t="str">
            <v>-</v>
          </cell>
        </row>
        <row r="21">
          <cell r="A21">
            <v>16</v>
          </cell>
          <cell r="B21" t="str">
            <v>E.TH.FS-043</v>
          </cell>
          <cell r="C21" t="str">
            <v>Termohigrômetro Digital</v>
          </cell>
          <cell r="D21" t="str">
            <v>Elus</v>
          </cell>
          <cell r="E21" t="str">
            <v>RBC - CAL 0439</v>
          </cell>
          <cell r="F21" t="str">
            <v>E0090/26</v>
          </cell>
          <cell r="G21">
            <v>46071</v>
          </cell>
          <cell r="H21">
            <v>46446</v>
          </cell>
          <cell r="I21" t="str">
            <v>°C</v>
          </cell>
          <cell r="J21" t="str">
            <v>IN</v>
          </cell>
          <cell r="K21" t="str">
            <v>NA</v>
          </cell>
          <cell r="L21">
            <v>15</v>
          </cell>
          <cell r="M21">
            <v>35</v>
          </cell>
          <cell r="N21">
            <v>0.1</v>
          </cell>
          <cell r="O21">
            <v>0.29999999999999716</v>
          </cell>
          <cell r="P21">
            <v>0.2</v>
          </cell>
          <cell r="Q21">
            <v>0.30000000000000071</v>
          </cell>
          <cell r="R21">
            <v>4.0221343777805174E-2</v>
          </cell>
          <cell r="S21">
            <v>1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0.98521370563302813</v>
          </cell>
          <cell r="AB21">
            <v>0.205455074902126</v>
          </cell>
          <cell r="AC21">
            <v>15</v>
          </cell>
          <cell r="AD21">
            <v>0.2</v>
          </cell>
          <cell r="AE21">
            <v>2</v>
          </cell>
          <cell r="AF21">
            <v>1000000</v>
          </cell>
          <cell r="AG21">
            <v>25</v>
          </cell>
          <cell r="AH21">
            <v>0.2</v>
          </cell>
          <cell r="AI21">
            <v>2</v>
          </cell>
          <cell r="AJ21">
            <v>1000000</v>
          </cell>
          <cell r="AK21">
            <v>35</v>
          </cell>
          <cell r="AL21">
            <v>0.2</v>
          </cell>
          <cell r="AM21">
            <v>2</v>
          </cell>
          <cell r="AN21">
            <v>1000000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 t="str">
            <v>-</v>
          </cell>
        </row>
        <row r="22">
          <cell r="A22">
            <v>17</v>
          </cell>
          <cell r="B22" t="str">
            <v>E.TH.FS-043</v>
          </cell>
          <cell r="C22" t="str">
            <v>Termohigrômetro Digital</v>
          </cell>
          <cell r="D22" t="str">
            <v>Elus</v>
          </cell>
          <cell r="E22" t="str">
            <v>RBC - CAL 0439</v>
          </cell>
          <cell r="F22" t="str">
            <v>E0090/26</v>
          </cell>
          <cell r="G22">
            <v>46071</v>
          </cell>
          <cell r="H22">
            <v>46446</v>
          </cell>
          <cell r="I22" t="str">
            <v>°C</v>
          </cell>
          <cell r="J22" t="str">
            <v>OUT</v>
          </cell>
          <cell r="K22" t="str">
            <v>NA</v>
          </cell>
          <cell r="L22">
            <v>15</v>
          </cell>
          <cell r="M22">
            <v>35</v>
          </cell>
          <cell r="N22">
            <v>0.1</v>
          </cell>
          <cell r="O22">
            <v>0.20000000000000284</v>
          </cell>
          <cell r="P22">
            <v>0.1</v>
          </cell>
          <cell r="Q22">
            <v>0.30000000000000071</v>
          </cell>
          <cell r="R22">
            <v>8.0839924862878831E-2</v>
          </cell>
          <cell r="S22">
            <v>1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0.9900666579532087</v>
          </cell>
          <cell r="AB22">
            <v>0.11632466344268622</v>
          </cell>
          <cell r="AC22">
            <v>15</v>
          </cell>
          <cell r="AD22">
            <v>0.1</v>
          </cell>
          <cell r="AE22">
            <v>2</v>
          </cell>
          <cell r="AF22">
            <v>1000000</v>
          </cell>
          <cell r="AG22">
            <v>25</v>
          </cell>
          <cell r="AH22">
            <v>0.1</v>
          </cell>
          <cell r="AI22">
            <v>2</v>
          </cell>
          <cell r="AJ22">
            <v>1000000</v>
          </cell>
          <cell r="AK22">
            <v>35</v>
          </cell>
          <cell r="AL22">
            <v>0.1</v>
          </cell>
          <cell r="AM22">
            <v>2</v>
          </cell>
          <cell r="AN22">
            <v>1000000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 t="str">
            <v>-</v>
          </cell>
        </row>
        <row r="23">
          <cell r="A23">
            <v>18</v>
          </cell>
          <cell r="B23" t="str">
            <v>E.TH.FS-013</v>
          </cell>
          <cell r="C23" t="str">
            <v>Termômetro Digital</v>
          </cell>
          <cell r="D23" t="str">
            <v>Elus</v>
          </cell>
          <cell r="E23" t="str">
            <v>RBC - CAL 0439</v>
          </cell>
          <cell r="F23" t="str">
            <v>E0628/25</v>
          </cell>
          <cell r="G23">
            <v>45904</v>
          </cell>
          <cell r="H23">
            <v>46295</v>
          </cell>
          <cell r="I23" t="str">
            <v>°C</v>
          </cell>
          <cell r="J23" t="str">
            <v>Contato</v>
          </cell>
          <cell r="K23" t="str">
            <v>Termoresisitivo</v>
          </cell>
          <cell r="L23">
            <v>15</v>
          </cell>
          <cell r="M23">
            <v>35</v>
          </cell>
          <cell r="N23">
            <v>0.1</v>
          </cell>
          <cell r="O23">
            <v>0.10000000000000142</v>
          </cell>
          <cell r="P23">
            <v>0.1</v>
          </cell>
          <cell r="Q23">
            <v>9.9999999999999645E-2</v>
          </cell>
          <cell r="R23">
            <v>1.7763568394002505E-15</v>
          </cell>
          <cell r="S23">
            <v>3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2.7033087933442125E-18</v>
          </cell>
          <cell r="Z23">
            <v>-2.0597704296134091E-16</v>
          </cell>
          <cell r="AA23">
            <v>1.0000000000000051</v>
          </cell>
          <cell r="AB23">
            <v>9.9999999999959691E-2</v>
          </cell>
          <cell r="AC23">
            <v>15</v>
          </cell>
          <cell r="AD23">
            <v>0.1</v>
          </cell>
          <cell r="AE23">
            <v>2</v>
          </cell>
          <cell r="AF23">
            <v>1000000</v>
          </cell>
          <cell r="AG23">
            <v>20</v>
          </cell>
          <cell r="AH23">
            <v>0.1</v>
          </cell>
          <cell r="AI23">
            <v>2</v>
          </cell>
          <cell r="AJ23">
            <v>1000000</v>
          </cell>
          <cell r="AK23">
            <v>25</v>
          </cell>
          <cell r="AL23">
            <v>0.1</v>
          </cell>
          <cell r="AM23">
            <v>2</v>
          </cell>
          <cell r="AN23">
            <v>1000000</v>
          </cell>
          <cell r="AO23">
            <v>30</v>
          </cell>
          <cell r="AP23">
            <v>0.1</v>
          </cell>
          <cell r="AQ23">
            <v>2</v>
          </cell>
          <cell r="AR23">
            <v>1000000</v>
          </cell>
          <cell r="AS23">
            <v>35</v>
          </cell>
          <cell r="AT23">
            <v>0.1</v>
          </cell>
          <cell r="AU23">
            <v>2</v>
          </cell>
          <cell r="AV23">
            <v>1000000</v>
          </cell>
          <cell r="AW23" t="str">
            <v>-</v>
          </cell>
          <cell r="AX23" t="str">
            <v>-</v>
          </cell>
          <cell r="AY23" t="str">
            <v>-</v>
          </cell>
          <cell r="AZ23" t="str">
            <v>-</v>
          </cell>
          <cell r="BA23" t="str">
            <v>-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 t="str">
            <v>-</v>
          </cell>
        </row>
        <row r="24">
          <cell r="A24">
            <v>19</v>
          </cell>
          <cell r="B24" t="str">
            <v>M.TH.LT-009</v>
          </cell>
          <cell r="C24" t="str">
            <v>Termohigrômetro Digital</v>
          </cell>
          <cell r="D24" t="str">
            <v>Elus</v>
          </cell>
          <cell r="E24" t="str">
            <v>RBC CAL 0439</v>
          </cell>
          <cell r="F24" t="str">
            <v>E0519/25</v>
          </cell>
          <cell r="G24">
            <v>45894</v>
          </cell>
          <cell r="H24">
            <v>46264</v>
          </cell>
          <cell r="I24" t="str">
            <v>°C</v>
          </cell>
          <cell r="J24" t="str">
            <v>OUT</v>
          </cell>
          <cell r="K24" t="str">
            <v>Termoresisitivo</v>
          </cell>
          <cell r="L24">
            <v>0</v>
          </cell>
          <cell r="M24">
            <v>50</v>
          </cell>
          <cell r="N24">
            <v>0.01</v>
          </cell>
          <cell r="O24">
            <v>0.34</v>
          </cell>
          <cell r="P24">
            <v>7.0000000000000007E-2</v>
          </cell>
          <cell r="Q24">
            <v>0.32</v>
          </cell>
          <cell r="R24">
            <v>4.2591154617378724E-2</v>
          </cell>
          <cell r="S24">
            <v>3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-1.4207164272314706E-5</v>
          </cell>
          <cell r="Z24">
            <v>8.4145397990634154E-4</v>
          </cell>
          <cell r="AA24">
            <v>0.99731872321808379</v>
          </cell>
          <cell r="AB24">
            <v>-0.34103998884224973</v>
          </cell>
          <cell r="AC24">
            <v>0</v>
          </cell>
          <cell r="AD24">
            <v>7.0000000000000007E-2</v>
          </cell>
          <cell r="AE24">
            <v>2</v>
          </cell>
          <cell r="AF24">
            <v>1000000</v>
          </cell>
          <cell r="AG24">
            <v>15</v>
          </cell>
          <cell r="AH24">
            <v>7.0000000000000007E-2</v>
          </cell>
          <cell r="AI24">
            <v>2</v>
          </cell>
          <cell r="AJ24">
            <v>1000000</v>
          </cell>
          <cell r="AK24">
            <v>25</v>
          </cell>
          <cell r="AL24">
            <v>7.0000000000000007E-2</v>
          </cell>
          <cell r="AM24">
            <v>2</v>
          </cell>
          <cell r="AN24">
            <v>1000000</v>
          </cell>
          <cell r="AO24">
            <v>30</v>
          </cell>
          <cell r="AP24">
            <v>7.0000000000000007E-2</v>
          </cell>
          <cell r="AQ24">
            <v>2</v>
          </cell>
          <cell r="AR24">
            <v>1000000</v>
          </cell>
          <cell r="AS24">
            <v>50</v>
          </cell>
          <cell r="AT24">
            <v>7.0000000000000007E-2</v>
          </cell>
          <cell r="AU24">
            <v>2</v>
          </cell>
          <cell r="AV24">
            <v>1000000</v>
          </cell>
          <cell r="AW24" t="str">
            <v>-</v>
          </cell>
          <cell r="AX24" t="str">
            <v>-</v>
          </cell>
          <cell r="AY24" t="str">
            <v>-</v>
          </cell>
          <cell r="AZ24" t="str">
            <v>-</v>
          </cell>
          <cell r="BA24" t="str">
            <v>-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 t="str">
            <v>-</v>
          </cell>
        </row>
        <row r="25">
          <cell r="A25">
            <v>20</v>
          </cell>
          <cell r="B25" t="str">
            <v>E.TH.FS-044</v>
          </cell>
          <cell r="C25" t="str">
            <v>Termohigrômetro Digital</v>
          </cell>
          <cell r="D25" t="str">
            <v>Elus</v>
          </cell>
          <cell r="E25" t="str">
            <v>RBC - CAL 0439</v>
          </cell>
          <cell r="F25" t="str">
            <v>E0048/26</v>
          </cell>
          <cell r="G25">
            <v>46056</v>
          </cell>
          <cell r="H25">
            <v>46446</v>
          </cell>
          <cell r="I25" t="str">
            <v>°C</v>
          </cell>
          <cell r="J25" t="str">
            <v>IN</v>
          </cell>
          <cell r="K25" t="str">
            <v>NA</v>
          </cell>
          <cell r="L25">
            <v>15</v>
          </cell>
          <cell r="M25">
            <v>35</v>
          </cell>
          <cell r="N25">
            <v>0.1</v>
          </cell>
          <cell r="O25">
            <v>0.69999999999999929</v>
          </cell>
          <cell r="P25">
            <v>0.2</v>
          </cell>
          <cell r="Q25">
            <v>0.69999999999999574</v>
          </cell>
          <cell r="R25">
            <v>0.11608565018149974</v>
          </cell>
          <cell r="S25">
            <v>1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0.94780343185697635</v>
          </cell>
          <cell r="AB25">
            <v>1.4944748899469857</v>
          </cell>
          <cell r="AC25">
            <v>15</v>
          </cell>
          <cell r="AD25">
            <v>0.2</v>
          </cell>
          <cell r="AE25">
            <v>2</v>
          </cell>
          <cell r="AF25">
            <v>1000000</v>
          </cell>
          <cell r="AG25">
            <v>25</v>
          </cell>
          <cell r="AH25">
            <v>0.2</v>
          </cell>
          <cell r="AI25">
            <v>2</v>
          </cell>
          <cell r="AJ25">
            <v>1000000</v>
          </cell>
          <cell r="AK25">
            <v>35</v>
          </cell>
          <cell r="AL25">
            <v>0.2</v>
          </cell>
          <cell r="AM25">
            <v>2</v>
          </cell>
          <cell r="AN25">
            <v>1000000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 t="str">
            <v>-</v>
          </cell>
        </row>
        <row r="26">
          <cell r="A26">
            <v>21</v>
          </cell>
          <cell r="B26" t="str">
            <v>E.TH.FS-044</v>
          </cell>
          <cell r="C26" t="str">
            <v>Termohigrômetro Digital</v>
          </cell>
          <cell r="D26" t="str">
            <v>Elus</v>
          </cell>
          <cell r="E26" t="str">
            <v>RBC - CAL 0439</v>
          </cell>
          <cell r="F26" t="str">
            <v>E0048/26</v>
          </cell>
          <cell r="G26">
            <v>46056</v>
          </cell>
          <cell r="H26">
            <v>46446</v>
          </cell>
          <cell r="I26" t="str">
            <v>°C</v>
          </cell>
          <cell r="J26" t="str">
            <v>OUT</v>
          </cell>
          <cell r="K26" t="str">
            <v>NA</v>
          </cell>
          <cell r="L26">
            <v>15</v>
          </cell>
          <cell r="M26">
            <v>35</v>
          </cell>
          <cell r="N26">
            <v>0.1</v>
          </cell>
          <cell r="O26">
            <v>0.29999999999999716</v>
          </cell>
          <cell r="P26">
            <v>0.1</v>
          </cell>
          <cell r="Q26">
            <v>0</v>
          </cell>
          <cell r="R26">
            <v>0.11948303988921261</v>
          </cell>
          <cell r="S26">
            <v>1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0.97554011611306735</v>
          </cell>
          <cell r="AB26">
            <v>0.51394308556201196</v>
          </cell>
          <cell r="AC26">
            <v>15</v>
          </cell>
          <cell r="AD26">
            <v>0.1</v>
          </cell>
          <cell r="AE26">
            <v>2</v>
          </cell>
          <cell r="AF26">
            <v>1000000</v>
          </cell>
          <cell r="AG26">
            <v>25</v>
          </cell>
          <cell r="AH26">
            <v>0.1</v>
          </cell>
          <cell r="AI26">
            <v>2</v>
          </cell>
          <cell r="AJ26">
            <v>1000000</v>
          </cell>
          <cell r="AK26">
            <v>35</v>
          </cell>
          <cell r="AL26">
            <v>0.1</v>
          </cell>
          <cell r="AM26">
            <v>2</v>
          </cell>
          <cell r="AN26">
            <v>1000000</v>
          </cell>
          <cell r="AO26" t="str">
            <v>-</v>
          </cell>
          <cell r="AP26" t="str">
            <v>-</v>
          </cell>
          <cell r="AQ26" t="str">
            <v>-</v>
          </cell>
          <cell r="AR26" t="str">
            <v>-</v>
          </cell>
          <cell r="AS26" t="str">
            <v>-</v>
          </cell>
          <cell r="AT26" t="str">
            <v>-</v>
          </cell>
          <cell r="AU26" t="str">
            <v>-</v>
          </cell>
          <cell r="AV26" t="str">
            <v>-</v>
          </cell>
          <cell r="AW26" t="str">
            <v>-</v>
          </cell>
          <cell r="AX26" t="str">
            <v>-</v>
          </cell>
          <cell r="AY26" t="str">
            <v>-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 t="str">
            <v>-</v>
          </cell>
          <cell r="BP26" t="str">
            <v>-</v>
          </cell>
        </row>
        <row r="27">
          <cell r="A27">
            <v>22</v>
          </cell>
          <cell r="B27" t="str">
            <v>E.TH.PMR-008</v>
          </cell>
          <cell r="C27" t="str">
            <v>Termohigrômetro Digital</v>
          </cell>
          <cell r="D27" t="str">
            <v>Elus</v>
          </cell>
          <cell r="E27" t="str">
            <v>RBC - CAL 0439</v>
          </cell>
          <cell r="F27" t="str">
            <v>E0210/25</v>
          </cell>
          <cell r="G27">
            <v>45761</v>
          </cell>
          <cell r="H27">
            <v>46142</v>
          </cell>
          <cell r="I27" t="str">
            <v>°C</v>
          </cell>
          <cell r="J27" t="str">
            <v>IN</v>
          </cell>
          <cell r="K27" t="str">
            <v>NA</v>
          </cell>
          <cell r="L27">
            <v>15</v>
          </cell>
          <cell r="M27">
            <v>35</v>
          </cell>
          <cell r="N27">
            <v>0.1</v>
          </cell>
          <cell r="O27">
            <v>0.20000000000000284</v>
          </cell>
          <cell r="P27">
            <v>0.1</v>
          </cell>
          <cell r="Q27">
            <v>0.20000000000000284</v>
          </cell>
          <cell r="R27">
            <v>3.5527136788005009E-15</v>
          </cell>
          <cell r="S27">
            <v>1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0.99999999999999989</v>
          </cell>
          <cell r="AB27">
            <v>0.20000000000000284</v>
          </cell>
          <cell r="AC27">
            <v>15</v>
          </cell>
          <cell r="AD27">
            <v>0.1</v>
          </cell>
          <cell r="AE27">
            <v>2</v>
          </cell>
          <cell r="AF27">
            <v>1000000</v>
          </cell>
          <cell r="AG27">
            <v>25</v>
          </cell>
          <cell r="AH27">
            <v>0.1</v>
          </cell>
          <cell r="AI27">
            <v>2</v>
          </cell>
          <cell r="AJ27">
            <v>1000000</v>
          </cell>
          <cell r="AK27">
            <v>35</v>
          </cell>
          <cell r="AL27">
            <v>0.1</v>
          </cell>
          <cell r="AM27">
            <v>2</v>
          </cell>
          <cell r="AN27">
            <v>1000000</v>
          </cell>
          <cell r="AO27" t="str">
            <v>-</v>
          </cell>
          <cell r="AP27" t="str">
            <v>-</v>
          </cell>
          <cell r="AQ27" t="str">
            <v>-</v>
          </cell>
          <cell r="AR27" t="str">
            <v>-</v>
          </cell>
          <cell r="AS27" t="str">
            <v>-</v>
          </cell>
          <cell r="AT27" t="str">
            <v>-</v>
          </cell>
          <cell r="AU27" t="str">
            <v>-</v>
          </cell>
          <cell r="AV27" t="str">
            <v>-</v>
          </cell>
          <cell r="AW27" t="str">
            <v>-</v>
          </cell>
          <cell r="AX27" t="str">
            <v>-</v>
          </cell>
          <cell r="AY27" t="str">
            <v>-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 t="str">
            <v>-</v>
          </cell>
          <cell r="BP27" t="str">
            <v>-</v>
          </cell>
        </row>
        <row r="28">
          <cell r="A28">
            <v>23</v>
          </cell>
          <cell r="B28" t="str">
            <v>E.TH.LT-007</v>
          </cell>
          <cell r="C28" t="str">
            <v>Termohigrômetro Digital</v>
          </cell>
          <cell r="D28" t="str">
            <v>Elus</v>
          </cell>
          <cell r="E28" t="str">
            <v>RBC - CAL 0439</v>
          </cell>
          <cell r="F28" t="str">
            <v>E0325/25</v>
          </cell>
          <cell r="G28">
            <v>45807</v>
          </cell>
          <cell r="H28">
            <v>45991</v>
          </cell>
          <cell r="I28" t="str">
            <v>°C</v>
          </cell>
          <cell r="J28" t="str">
            <v>OUT</v>
          </cell>
          <cell r="K28" t="str">
            <v>Termoresisitivo</v>
          </cell>
          <cell r="L28">
            <v>0</v>
          </cell>
          <cell r="M28">
            <v>60</v>
          </cell>
          <cell r="N28">
            <v>0.01</v>
          </cell>
          <cell r="O28">
            <v>0.14000000000000057</v>
          </cell>
          <cell r="P28">
            <v>7.0000000000000007E-2</v>
          </cell>
          <cell r="Q28">
            <v>0.13000000000000256</v>
          </cell>
          <cell r="R28">
            <v>2.3950946781561733E-2</v>
          </cell>
          <cell r="S28">
            <v>3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2.0025342031193617E-6</v>
          </cell>
          <cell r="Z28">
            <v>-1.8640288693390946E-4</v>
          </cell>
          <cell r="AA28">
            <v>1.0073310017842585</v>
          </cell>
          <cell r="AB28">
            <v>-6.3309983391755198E-2</v>
          </cell>
          <cell r="AC28">
            <v>0</v>
          </cell>
          <cell r="AD28">
            <v>7.0000000000000007E-2</v>
          </cell>
          <cell r="AE28">
            <v>2</v>
          </cell>
          <cell r="AF28">
            <v>1000000</v>
          </cell>
          <cell r="AG28">
            <v>15</v>
          </cell>
          <cell r="AH28">
            <v>7.0000000000000007E-2</v>
          </cell>
          <cell r="AI28">
            <v>2</v>
          </cell>
          <cell r="AJ28">
            <v>1000000</v>
          </cell>
          <cell r="AK28">
            <v>30</v>
          </cell>
          <cell r="AL28">
            <v>7.0000000000000007E-2</v>
          </cell>
          <cell r="AM28">
            <v>2</v>
          </cell>
          <cell r="AN28">
            <v>1000000</v>
          </cell>
          <cell r="AO28">
            <v>45</v>
          </cell>
          <cell r="AP28">
            <v>7.0000000000000007E-2</v>
          </cell>
          <cell r="AQ28">
            <v>2</v>
          </cell>
          <cell r="AR28">
            <v>1000000</v>
          </cell>
          <cell r="AS28">
            <v>60</v>
          </cell>
          <cell r="AT28">
            <v>7.0000000000000007E-2</v>
          </cell>
          <cell r="AU28">
            <v>2</v>
          </cell>
          <cell r="AV28">
            <v>1000000</v>
          </cell>
          <cell r="AW28" t="str">
            <v>-</v>
          </cell>
          <cell r="AX28" t="str">
            <v>-</v>
          </cell>
          <cell r="AY28" t="str">
            <v>-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 t="str">
            <v>-</v>
          </cell>
          <cell r="BP28" t="str">
            <v>-</v>
          </cell>
        </row>
        <row r="29">
          <cell r="A29">
            <v>24</v>
          </cell>
          <cell r="B29" t="str">
            <v>E.TH.LT-006</v>
          </cell>
          <cell r="C29" t="str">
            <v>Termohigrômetro Digital</v>
          </cell>
          <cell r="D29" t="str">
            <v>Elus</v>
          </cell>
          <cell r="E29" t="str">
            <v>RBC - CAL 0439</v>
          </cell>
          <cell r="F29" t="str">
            <v>E0324/25</v>
          </cell>
          <cell r="G29">
            <v>45807</v>
          </cell>
          <cell r="H29">
            <v>45991</v>
          </cell>
          <cell r="I29" t="str">
            <v>°C</v>
          </cell>
          <cell r="J29" t="str">
            <v>OUT</v>
          </cell>
          <cell r="K29" t="str">
            <v>Termoresisitivo</v>
          </cell>
          <cell r="L29">
            <v>0</v>
          </cell>
          <cell r="M29">
            <v>60</v>
          </cell>
          <cell r="N29">
            <v>0.01</v>
          </cell>
          <cell r="O29">
            <v>0.14000000000000057</v>
          </cell>
          <cell r="P29">
            <v>7.0000000000000007E-2</v>
          </cell>
          <cell r="Q29">
            <v>0.17000000000000171</v>
          </cell>
          <cell r="R29">
            <v>1.6689836767207034E-2</v>
          </cell>
          <cell r="S29">
            <v>3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-1.992704898742624E-6</v>
          </cell>
          <cell r="Z29">
            <v>2.692673977192119E-4</v>
          </cell>
          <cell r="AA29">
            <v>0.99502246724180199</v>
          </cell>
          <cell r="AB29">
            <v>-0.10147665683022825</v>
          </cell>
          <cell r="AC29">
            <v>0</v>
          </cell>
          <cell r="AD29">
            <v>7.0000000000000007E-2</v>
          </cell>
          <cell r="AE29">
            <v>2</v>
          </cell>
          <cell r="AF29">
            <v>1000000</v>
          </cell>
          <cell r="AG29">
            <v>15</v>
          </cell>
          <cell r="AH29">
            <v>7.0000000000000007E-2</v>
          </cell>
          <cell r="AI29">
            <v>2</v>
          </cell>
          <cell r="AJ29">
            <v>1000000</v>
          </cell>
          <cell r="AK29">
            <v>30</v>
          </cell>
          <cell r="AL29">
            <v>7.0000000000000007E-2</v>
          </cell>
          <cell r="AM29">
            <v>2</v>
          </cell>
          <cell r="AN29">
            <v>1000000</v>
          </cell>
          <cell r="AO29">
            <v>45</v>
          </cell>
          <cell r="AP29">
            <v>7.0000000000000007E-2</v>
          </cell>
          <cell r="AQ29">
            <v>2</v>
          </cell>
          <cell r="AR29">
            <v>1000000</v>
          </cell>
          <cell r="AS29">
            <v>60</v>
          </cell>
          <cell r="AT29">
            <v>7.0000000000000007E-2</v>
          </cell>
          <cell r="AU29">
            <v>2</v>
          </cell>
          <cell r="AV29">
            <v>1000000</v>
          </cell>
          <cell r="AW29" t="str">
            <v>-</v>
          </cell>
          <cell r="AX29" t="str">
            <v>-</v>
          </cell>
          <cell r="AY29" t="str">
            <v>-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 t="str">
            <v>-</v>
          </cell>
          <cell r="BP29" t="str">
            <v>-</v>
          </cell>
        </row>
        <row r="30">
          <cell r="A30">
            <v>25</v>
          </cell>
          <cell r="B30" t="str">
            <v>E.TH.LT-002</v>
          </cell>
          <cell r="C30" t="str">
            <v>Termohigrômetro Digital</v>
          </cell>
          <cell r="D30" t="str">
            <v>Elus</v>
          </cell>
          <cell r="E30" t="str">
            <v>RBC - CAL 0439</v>
          </cell>
          <cell r="F30" t="str">
            <v>E0322/25</v>
          </cell>
          <cell r="G30">
            <v>45807</v>
          </cell>
          <cell r="H30">
            <v>45991</v>
          </cell>
          <cell r="I30" t="str">
            <v>°C</v>
          </cell>
          <cell r="J30" t="str">
            <v>OUT</v>
          </cell>
          <cell r="K30" t="str">
            <v>Termoresisitivo</v>
          </cell>
          <cell r="L30">
            <v>0</v>
          </cell>
          <cell r="M30">
            <v>60</v>
          </cell>
          <cell r="N30">
            <v>0.01</v>
          </cell>
          <cell r="O30">
            <v>0.14999999999999858</v>
          </cell>
          <cell r="P30">
            <v>7.0000000000000007E-2</v>
          </cell>
          <cell r="Q30">
            <v>0.19999999999999574</v>
          </cell>
          <cell r="R30">
            <v>6.722304641416077E-2</v>
          </cell>
          <cell r="S30">
            <v>3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5.1435344811656688E-7</v>
          </cell>
          <cell r="Z30">
            <v>-1.2483810716290997E-6</v>
          </cell>
          <cell r="AA30">
            <v>1.0025795450173662</v>
          </cell>
          <cell r="AB30">
            <v>-0.11827437383506795</v>
          </cell>
          <cell r="AC30">
            <v>0</v>
          </cell>
          <cell r="AD30">
            <v>7.0000000000000007E-2</v>
          </cell>
          <cell r="AE30">
            <v>2</v>
          </cell>
          <cell r="AF30">
            <v>1000000</v>
          </cell>
          <cell r="AG30">
            <v>15</v>
          </cell>
          <cell r="AH30">
            <v>7.0000000000000007E-2</v>
          </cell>
          <cell r="AI30">
            <v>2</v>
          </cell>
          <cell r="AJ30">
            <v>1000000</v>
          </cell>
          <cell r="AK30">
            <v>30</v>
          </cell>
          <cell r="AL30">
            <v>7.0000000000000007E-2</v>
          </cell>
          <cell r="AM30">
            <v>2</v>
          </cell>
          <cell r="AN30">
            <v>1000000</v>
          </cell>
          <cell r="AO30">
            <v>45</v>
          </cell>
          <cell r="AP30">
            <v>7.0000000000000007E-2</v>
          </cell>
          <cell r="AQ30">
            <v>2</v>
          </cell>
          <cell r="AR30">
            <v>1000000</v>
          </cell>
          <cell r="AS30">
            <v>60</v>
          </cell>
          <cell r="AT30">
            <v>7.0000000000000007E-2</v>
          </cell>
          <cell r="AU30">
            <v>2</v>
          </cell>
          <cell r="AV30">
            <v>1000000</v>
          </cell>
          <cell r="AW30" t="str">
            <v>-</v>
          </cell>
          <cell r="AX30" t="str">
            <v>-</v>
          </cell>
          <cell r="AY30" t="str">
            <v>-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 t="str">
            <v>-</v>
          </cell>
          <cell r="BP30" t="str">
            <v>-</v>
          </cell>
        </row>
        <row r="31">
          <cell r="A31">
            <v>26</v>
          </cell>
          <cell r="B31" t="str">
            <v>E.TH.LT-005</v>
          </cell>
          <cell r="C31" t="str">
            <v>Termômetro Digital</v>
          </cell>
          <cell r="D31" t="str">
            <v>Elus</v>
          </cell>
          <cell r="E31" t="str">
            <v>RBC - CAL 0439</v>
          </cell>
          <cell r="F31" t="str">
            <v>E0342/25</v>
          </cell>
          <cell r="G31">
            <v>45807</v>
          </cell>
          <cell r="H31">
            <v>46172</v>
          </cell>
          <cell r="I31" t="str">
            <v>°C</v>
          </cell>
          <cell r="J31" t="str">
            <v>Contato</v>
          </cell>
          <cell r="K31" t="str">
            <v>Termoresisitivo</v>
          </cell>
          <cell r="L31">
            <v>-20</v>
          </cell>
          <cell r="M31">
            <v>70</v>
          </cell>
          <cell r="N31">
            <v>0.1</v>
          </cell>
          <cell r="O31">
            <v>0</v>
          </cell>
          <cell r="P31">
            <v>0.1</v>
          </cell>
          <cell r="Q31">
            <v>0</v>
          </cell>
          <cell r="R31">
            <v>0</v>
          </cell>
          <cell r="S31">
            <v>3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1</v>
          </cell>
          <cell r="AB31">
            <v>0</v>
          </cell>
          <cell r="AC31">
            <v>-20</v>
          </cell>
          <cell r="AD31">
            <v>0.1</v>
          </cell>
          <cell r="AE31">
            <v>2</v>
          </cell>
          <cell r="AF31">
            <v>1000000</v>
          </cell>
          <cell r="AG31">
            <v>0</v>
          </cell>
          <cell r="AH31">
            <v>0.1</v>
          </cell>
          <cell r="AI31">
            <v>2</v>
          </cell>
          <cell r="AJ31">
            <v>1000000</v>
          </cell>
          <cell r="AK31">
            <v>20</v>
          </cell>
          <cell r="AL31">
            <v>0.1</v>
          </cell>
          <cell r="AM31">
            <v>2</v>
          </cell>
          <cell r="AN31">
            <v>1000000</v>
          </cell>
          <cell r="AO31">
            <v>40</v>
          </cell>
          <cell r="AP31">
            <v>0.1</v>
          </cell>
          <cell r="AQ31">
            <v>2</v>
          </cell>
          <cell r="AR31">
            <v>1000000</v>
          </cell>
          <cell r="AS31">
            <v>70</v>
          </cell>
          <cell r="AT31">
            <v>0.1</v>
          </cell>
          <cell r="AU31">
            <v>2</v>
          </cell>
          <cell r="AV31">
            <v>1000000</v>
          </cell>
          <cell r="AW31" t="str">
            <v>-</v>
          </cell>
          <cell r="AX31" t="str">
            <v>-</v>
          </cell>
          <cell r="AY31" t="str">
            <v>-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 t="str">
            <v>-</v>
          </cell>
          <cell r="BP31" t="str">
            <v>-</v>
          </cell>
        </row>
        <row r="32">
          <cell r="A32">
            <v>27</v>
          </cell>
          <cell r="B32" t="str">
            <v>E.TH.LT-003</v>
          </cell>
          <cell r="C32" t="str">
            <v>Termohigrômetro Digital</v>
          </cell>
          <cell r="D32" t="str">
            <v>Elus</v>
          </cell>
          <cell r="E32" t="str">
            <v>RBC - CAL 0439</v>
          </cell>
          <cell r="F32" t="str">
            <v>E0323/25</v>
          </cell>
          <cell r="G32">
            <v>45807</v>
          </cell>
          <cell r="H32">
            <v>45991</v>
          </cell>
          <cell r="I32" t="str">
            <v>°C</v>
          </cell>
          <cell r="J32" t="str">
            <v>OUT</v>
          </cell>
          <cell r="K32" t="str">
            <v>Termoresisitivo</v>
          </cell>
          <cell r="L32">
            <v>0</v>
          </cell>
          <cell r="M32">
            <v>60</v>
          </cell>
          <cell r="N32">
            <v>0.01</v>
          </cell>
          <cell r="O32">
            <v>0.1</v>
          </cell>
          <cell r="P32">
            <v>7.0000000000000007E-2</v>
          </cell>
          <cell r="Q32">
            <v>0.25</v>
          </cell>
          <cell r="R32">
            <v>4.3294010629351121E-2</v>
          </cell>
          <cell r="S32">
            <v>3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-4.4912068780513489E-6</v>
          </cell>
          <cell r="Z32">
            <v>4.2047848322525154E-4</v>
          </cell>
          <cell r="AA32">
            <v>0.9935912585634481</v>
          </cell>
          <cell r="AB32">
            <v>-9.4224288148441249E-2</v>
          </cell>
          <cell r="AC32">
            <v>0</v>
          </cell>
          <cell r="AD32">
            <v>7.0000000000000007E-2</v>
          </cell>
          <cell r="AE32">
            <v>2</v>
          </cell>
          <cell r="AF32">
            <v>1000000</v>
          </cell>
          <cell r="AG32">
            <v>15</v>
          </cell>
          <cell r="AH32">
            <v>7.0000000000000007E-2</v>
          </cell>
          <cell r="AI32">
            <v>2</v>
          </cell>
          <cell r="AJ32">
            <v>1000000</v>
          </cell>
          <cell r="AK32">
            <v>30</v>
          </cell>
          <cell r="AL32">
            <v>7.0000000000000007E-2</v>
          </cell>
          <cell r="AM32">
            <v>2</v>
          </cell>
          <cell r="AN32">
            <v>1000000</v>
          </cell>
          <cell r="AO32">
            <v>45</v>
          </cell>
          <cell r="AP32">
            <v>7.0000000000000007E-2</v>
          </cell>
          <cell r="AQ32">
            <v>2</v>
          </cell>
          <cell r="AR32">
            <v>1000000</v>
          </cell>
          <cell r="AS32">
            <v>60</v>
          </cell>
          <cell r="AT32">
            <v>7.0000000000000007E-2</v>
          </cell>
          <cell r="AU32">
            <v>2</v>
          </cell>
          <cell r="AV32">
            <v>1000000</v>
          </cell>
          <cell r="AW32" t="str">
            <v>-</v>
          </cell>
          <cell r="AX32" t="str">
            <v>-</v>
          </cell>
          <cell r="AY32" t="str">
            <v>-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 t="str">
            <v>-</v>
          </cell>
          <cell r="BP32" t="str">
            <v>-</v>
          </cell>
        </row>
        <row r="33">
          <cell r="A33">
            <v>28</v>
          </cell>
          <cell r="B33" t="str">
            <v>E.TH.LT-004</v>
          </cell>
          <cell r="C33" t="str">
            <v>Termohigrômetro Digital</v>
          </cell>
          <cell r="D33" t="str">
            <v>Elus</v>
          </cell>
          <cell r="E33" t="str">
            <v>RBC - CAL 0439</v>
          </cell>
          <cell r="F33" t="str">
            <v>E0546/24</v>
          </cell>
          <cell r="G33">
            <v>45979</v>
          </cell>
          <cell r="H33">
            <v>45807</v>
          </cell>
          <cell r="I33" t="str">
            <v>°C</v>
          </cell>
          <cell r="J33" t="str">
            <v>OUT</v>
          </cell>
          <cell r="K33" t="str">
            <v>Termoresisitivo</v>
          </cell>
          <cell r="L33">
            <v>0</v>
          </cell>
          <cell r="M33">
            <v>60</v>
          </cell>
          <cell r="N33">
            <v>0.01</v>
          </cell>
          <cell r="O33">
            <v>0.09</v>
          </cell>
          <cell r="P33">
            <v>7.0000000000000007E-2</v>
          </cell>
          <cell r="Q33">
            <v>0.05</v>
          </cell>
          <cell r="R33">
            <v>1.4308261207040651E-2</v>
          </cell>
          <cell r="S33">
            <v>3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-9.8054963232528439E-7</v>
          </cell>
          <cell r="Z33">
            <v>5.6467827202907253E-5</v>
          </cell>
          <cell r="AA33">
            <v>0.9988093460418529</v>
          </cell>
          <cell r="AB33">
            <v>9.1605638351652099E-2</v>
          </cell>
          <cell r="AC33">
            <v>0</v>
          </cell>
          <cell r="AD33">
            <v>7.0000000000000007E-2</v>
          </cell>
          <cell r="AE33">
            <v>2</v>
          </cell>
          <cell r="AF33">
            <v>1000000</v>
          </cell>
          <cell r="AG33">
            <v>15</v>
          </cell>
          <cell r="AH33">
            <v>7.0000000000000007E-2</v>
          </cell>
          <cell r="AI33">
            <v>2</v>
          </cell>
          <cell r="AJ33">
            <v>1000000</v>
          </cell>
          <cell r="AK33">
            <v>30</v>
          </cell>
          <cell r="AL33">
            <v>7.0000000000000007E-2</v>
          </cell>
          <cell r="AM33">
            <v>2</v>
          </cell>
          <cell r="AN33">
            <v>1000000</v>
          </cell>
          <cell r="AO33">
            <v>45</v>
          </cell>
          <cell r="AP33">
            <v>7.0000000000000007E-2</v>
          </cell>
          <cell r="AQ33">
            <v>2</v>
          </cell>
          <cell r="AR33">
            <v>1000000</v>
          </cell>
          <cell r="AS33">
            <v>60</v>
          </cell>
          <cell r="AT33">
            <v>7.0000000000000007E-2</v>
          </cell>
          <cell r="AU33">
            <v>2</v>
          </cell>
          <cell r="AV33">
            <v>1000000</v>
          </cell>
          <cell r="AW33" t="str">
            <v>-</v>
          </cell>
          <cell r="AX33" t="str">
            <v>-</v>
          </cell>
          <cell r="AY33" t="str">
            <v>-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 t="str">
            <v>-</v>
          </cell>
          <cell r="BP33" t="str">
            <v>-</v>
          </cell>
        </row>
        <row r="34">
          <cell r="A34">
            <v>29</v>
          </cell>
          <cell r="B34" t="str">
            <v>E.TH.LT-001</v>
          </cell>
          <cell r="C34" t="str">
            <v>Termohigrômetro Digital</v>
          </cell>
          <cell r="D34" t="str">
            <v>Elus</v>
          </cell>
          <cell r="E34" t="str">
            <v>RBC - CAL 0439</v>
          </cell>
          <cell r="F34" t="str">
            <v>E0321/25</v>
          </cell>
          <cell r="G34">
            <v>45807</v>
          </cell>
          <cell r="H34">
            <v>45991</v>
          </cell>
          <cell r="I34" t="str">
            <v>°C</v>
          </cell>
          <cell r="J34" t="str">
            <v>OUT</v>
          </cell>
          <cell r="K34" t="str">
            <v>Termoresisitivo</v>
          </cell>
          <cell r="L34">
            <v>-0.01</v>
          </cell>
          <cell r="M34">
            <v>60</v>
          </cell>
          <cell r="N34">
            <v>0.01</v>
          </cell>
          <cell r="O34">
            <v>0.14999999999999858</v>
          </cell>
          <cell r="P34">
            <v>7.0000000000000007E-2</v>
          </cell>
          <cell r="Q34">
            <v>0.28000000000000114</v>
          </cell>
          <cell r="R34">
            <v>5.9445719474631176E-3</v>
          </cell>
          <cell r="S34">
            <v>3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7.3106376036970068E-7</v>
          </cell>
          <cell r="Z34">
            <v>-7.846549421683113E-5</v>
          </cell>
          <cell r="AA34">
            <v>0.99858507061298074</v>
          </cell>
          <cell r="AB34">
            <v>5.9190052123119952E-2</v>
          </cell>
          <cell r="AC34">
            <v>-0.01</v>
          </cell>
          <cell r="AD34">
            <v>7.0000000000000007E-2</v>
          </cell>
          <cell r="AE34">
            <v>2</v>
          </cell>
          <cell r="AF34">
            <v>1000000</v>
          </cell>
          <cell r="AG34">
            <v>15</v>
          </cell>
          <cell r="AH34">
            <v>7.0000000000000007E-2</v>
          </cell>
          <cell r="AI34">
            <v>2</v>
          </cell>
          <cell r="AJ34">
            <v>1000000</v>
          </cell>
          <cell r="AK34">
            <v>30</v>
          </cell>
          <cell r="AL34">
            <v>7.0000000000000007E-2</v>
          </cell>
          <cell r="AM34">
            <v>2</v>
          </cell>
          <cell r="AN34">
            <v>1000000</v>
          </cell>
          <cell r="AO34">
            <v>45</v>
          </cell>
          <cell r="AP34">
            <v>7.0000000000000007E-2</v>
          </cell>
          <cell r="AQ34">
            <v>2</v>
          </cell>
          <cell r="AR34">
            <v>1000000</v>
          </cell>
          <cell r="AS34">
            <v>60</v>
          </cell>
          <cell r="AT34">
            <v>7.0000000000000007E-2</v>
          </cell>
          <cell r="AU34">
            <v>2</v>
          </cell>
          <cell r="AV34">
            <v>1000000</v>
          </cell>
          <cell r="AW34" t="str">
            <v>-</v>
          </cell>
          <cell r="AX34" t="str">
            <v>-</v>
          </cell>
          <cell r="AY34" t="str">
            <v>-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 t="str">
            <v>-</v>
          </cell>
          <cell r="BP34" t="str">
            <v>-</v>
          </cell>
        </row>
        <row r="35">
          <cell r="A35">
            <v>30</v>
          </cell>
          <cell r="B35" t="str">
            <v>EL-1070</v>
          </cell>
          <cell r="C35" t="str">
            <v>Termômetro Digital</v>
          </cell>
          <cell r="D35" t="str">
            <v>Elus</v>
          </cell>
          <cell r="E35" t="str">
            <v>RBC - CAL 0439</v>
          </cell>
          <cell r="F35" t="str">
            <v>E92748/23</v>
          </cell>
          <cell r="G35">
            <v>45131</v>
          </cell>
          <cell r="H35">
            <v>45503</v>
          </cell>
          <cell r="I35" t="str">
            <v>°C</v>
          </cell>
          <cell r="J35" t="str">
            <v>Contato</v>
          </cell>
          <cell r="K35" t="str">
            <v>Termoresisitivo</v>
          </cell>
          <cell r="L35">
            <v>0</v>
          </cell>
          <cell r="M35">
            <v>60</v>
          </cell>
          <cell r="N35">
            <v>0.01</v>
          </cell>
          <cell r="O35">
            <v>3.9999999999999147E-2</v>
          </cell>
          <cell r="P35">
            <v>0.04</v>
          </cell>
          <cell r="Q35">
            <v>0.03</v>
          </cell>
          <cell r="R35">
            <v>4.8944775942807439E-3</v>
          </cell>
          <cell r="S35">
            <v>2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1.3285029290054827E-5</v>
          </cell>
          <cell r="AA35">
            <v>0.99801748835039927</v>
          </cell>
          <cell r="AB35">
            <v>3.0739841145492726E-2</v>
          </cell>
          <cell r="AC35">
            <v>0</v>
          </cell>
          <cell r="AD35">
            <v>0.04</v>
          </cell>
          <cell r="AE35">
            <v>2</v>
          </cell>
          <cell r="AF35">
            <v>1000000</v>
          </cell>
          <cell r="AG35">
            <v>20</v>
          </cell>
          <cell r="AH35">
            <v>0.04</v>
          </cell>
          <cell r="AI35">
            <v>2</v>
          </cell>
          <cell r="AJ35">
            <v>1000000</v>
          </cell>
          <cell r="AK35">
            <v>30</v>
          </cell>
          <cell r="AL35">
            <v>0.04</v>
          </cell>
          <cell r="AM35">
            <v>2</v>
          </cell>
          <cell r="AN35">
            <v>1000000</v>
          </cell>
          <cell r="AO35">
            <v>60</v>
          </cell>
          <cell r="AP35">
            <v>0.04</v>
          </cell>
          <cell r="AQ35">
            <v>2</v>
          </cell>
          <cell r="AR35">
            <v>1000000</v>
          </cell>
          <cell r="AS35" t="str">
            <v>-</v>
          </cell>
          <cell r="AT35" t="str">
            <v>-</v>
          </cell>
          <cell r="AU35" t="str">
            <v>-</v>
          </cell>
          <cell r="AV35" t="str">
            <v>-</v>
          </cell>
          <cell r="AW35" t="str">
            <v>-</v>
          </cell>
          <cell r="AX35" t="str">
            <v>-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 t="str">
            <v>-</v>
          </cell>
          <cell r="BP35" t="str">
            <v>-</v>
          </cell>
        </row>
        <row r="36">
          <cell r="A36">
            <v>31</v>
          </cell>
          <cell r="B36" t="str">
            <v>E.TH.LT-012</v>
          </cell>
          <cell r="C36" t="str">
            <v>Termômetro Digital</v>
          </cell>
          <cell r="D36" t="str">
            <v>Elus</v>
          </cell>
          <cell r="E36" t="str">
            <v>RBC - CAL 0439</v>
          </cell>
          <cell r="F36" t="str">
            <v>E0142/24</v>
          </cell>
          <cell r="G36">
            <v>45492</v>
          </cell>
          <cell r="H36">
            <v>47300</v>
          </cell>
          <cell r="I36" t="str">
            <v>°C</v>
          </cell>
          <cell r="J36" t="str">
            <v>Contato</v>
          </cell>
          <cell r="K36" t="str">
            <v>Termoresisitivo</v>
          </cell>
          <cell r="L36">
            <v>-195.96100000000001</v>
          </cell>
          <cell r="M36">
            <v>659.97</v>
          </cell>
          <cell r="N36">
            <v>1E-3</v>
          </cell>
          <cell r="O36">
            <v>2.9999999999972715E-2</v>
          </cell>
          <cell r="P36">
            <v>0.3</v>
          </cell>
          <cell r="Q36">
            <v>2.9999999999972715E-2</v>
          </cell>
          <cell r="R36">
            <v>5.2892909742752181E-4</v>
          </cell>
          <cell r="S36">
            <v>7</v>
          </cell>
          <cell r="T36">
            <v>0</v>
          </cell>
          <cell r="U36">
            <v>-7.655468249128719E-19</v>
          </cell>
          <cell r="V36">
            <v>9.2641522260675127E-16</v>
          </cell>
          <cell r="W36">
            <v>-2.777981146961869E-13</v>
          </cell>
          <cell r="X36">
            <v>-2.2497661913982924E-11</v>
          </cell>
          <cell r="Y36">
            <v>1.588282426317641E-8</v>
          </cell>
          <cell r="Z36">
            <v>-5.5213214360780691E-7</v>
          </cell>
          <cell r="AA36">
            <v>0.99983989222422309</v>
          </cell>
          <cell r="AB36">
            <v>-1.7016189036462848E-3</v>
          </cell>
          <cell r="AC36">
            <v>-195.96100000000001</v>
          </cell>
          <cell r="AD36">
            <v>0.02</v>
          </cell>
          <cell r="AE36">
            <v>2</v>
          </cell>
          <cell r="AF36">
            <v>1000000</v>
          </cell>
          <cell r="AG36">
            <v>-44.941000000000003</v>
          </cell>
          <cell r="AH36">
            <v>0.03</v>
          </cell>
          <cell r="AI36">
            <v>2</v>
          </cell>
          <cell r="AJ36">
            <v>1000000</v>
          </cell>
          <cell r="AK36">
            <v>0.01</v>
          </cell>
          <cell r="AL36">
            <v>3.0000000000000001E-3</v>
          </cell>
          <cell r="AM36">
            <v>2</v>
          </cell>
          <cell r="AN36">
            <v>1000000</v>
          </cell>
          <cell r="AO36">
            <v>49.994</v>
          </cell>
          <cell r="AP36">
            <v>0.03</v>
          </cell>
          <cell r="AQ36">
            <v>2</v>
          </cell>
          <cell r="AR36">
            <v>1000000</v>
          </cell>
          <cell r="AS36">
            <v>149.99799999999999</v>
          </cell>
          <cell r="AT36">
            <v>0.03</v>
          </cell>
          <cell r="AU36">
            <v>2</v>
          </cell>
          <cell r="AV36">
            <v>1000000</v>
          </cell>
          <cell r="AW36">
            <v>229.99600000000001</v>
          </cell>
          <cell r="AX36">
            <v>0.05</v>
          </cell>
          <cell r="AY36">
            <v>2</v>
          </cell>
          <cell r="AZ36">
            <v>1000000</v>
          </cell>
          <cell r="BA36">
            <v>299.97000000000003</v>
          </cell>
          <cell r="BB36">
            <v>0.1</v>
          </cell>
          <cell r="BC36">
            <v>2</v>
          </cell>
          <cell r="BD36">
            <v>1000000</v>
          </cell>
          <cell r="BE36">
            <v>420.01</v>
          </cell>
          <cell r="BF36">
            <v>0.3</v>
          </cell>
          <cell r="BG36">
            <v>2</v>
          </cell>
          <cell r="BH36">
            <v>1000000</v>
          </cell>
          <cell r="BI36">
            <v>659.97</v>
          </cell>
          <cell r="BJ36">
            <v>0.3</v>
          </cell>
          <cell r="BK36">
            <v>2</v>
          </cell>
          <cell r="BL36">
            <v>1000000</v>
          </cell>
          <cell r="BM36" t="str">
            <v>-</v>
          </cell>
          <cell r="BN36" t="str">
            <v>-</v>
          </cell>
          <cell r="BO36" t="str">
            <v>-</v>
          </cell>
          <cell r="BP36" t="str">
            <v>-</v>
          </cell>
        </row>
        <row r="37">
          <cell r="A37">
            <v>32</v>
          </cell>
          <cell r="B37" t="str">
            <v>E.TH.FS-054</v>
          </cell>
          <cell r="C37" t="str">
            <v>Termohigrômetro Digital</v>
          </cell>
          <cell r="D37" t="str">
            <v>Elus</v>
          </cell>
          <cell r="E37" t="str">
            <v>RBC - CAL 0439</v>
          </cell>
          <cell r="F37" t="str">
            <v>E0136/25</v>
          </cell>
          <cell r="G37">
            <v>45733</v>
          </cell>
          <cell r="H37">
            <v>46112</v>
          </cell>
          <cell r="I37" t="str">
            <v>°C</v>
          </cell>
          <cell r="J37" t="str">
            <v>IN</v>
          </cell>
          <cell r="K37" t="str">
            <v>NA</v>
          </cell>
          <cell r="L37">
            <v>15</v>
          </cell>
          <cell r="M37">
            <v>35</v>
          </cell>
          <cell r="N37">
            <v>0.1</v>
          </cell>
          <cell r="O37">
            <v>0.19999999999999929</v>
          </cell>
          <cell r="P37">
            <v>0.2</v>
          </cell>
          <cell r="Q37">
            <v>0.19999999999999929</v>
          </cell>
          <cell r="R37">
            <v>8.0839924862880608E-2</v>
          </cell>
          <cell r="S37">
            <v>1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0.99006665795320847</v>
          </cell>
          <cell r="AB37">
            <v>0.38034243889688568</v>
          </cell>
          <cell r="AC37">
            <v>15</v>
          </cell>
          <cell r="AD37">
            <v>0.2</v>
          </cell>
          <cell r="AE37">
            <v>2</v>
          </cell>
          <cell r="AF37">
            <v>1000000</v>
          </cell>
          <cell r="AG37">
            <v>25</v>
          </cell>
          <cell r="AH37">
            <v>0.2</v>
          </cell>
          <cell r="AI37">
            <v>2</v>
          </cell>
          <cell r="AJ37">
            <v>1000000</v>
          </cell>
          <cell r="AK37">
            <v>35</v>
          </cell>
          <cell r="AL37">
            <v>0.2</v>
          </cell>
          <cell r="AM37">
            <v>2</v>
          </cell>
          <cell r="AN37">
            <v>1000000</v>
          </cell>
          <cell r="AO37" t="str">
            <v>-</v>
          </cell>
          <cell r="AP37" t="str">
            <v>-</v>
          </cell>
          <cell r="AQ37" t="str">
            <v>-</v>
          </cell>
          <cell r="AR37" t="str">
            <v>-</v>
          </cell>
          <cell r="AS37" t="str">
            <v>-</v>
          </cell>
          <cell r="AT37" t="str">
            <v>-</v>
          </cell>
          <cell r="AU37" t="str">
            <v>-</v>
          </cell>
          <cell r="AV37" t="str">
            <v>-</v>
          </cell>
          <cell r="AW37" t="str">
            <v>-</v>
          </cell>
          <cell r="AX37" t="str">
            <v>-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 t="str">
            <v>-</v>
          </cell>
          <cell r="BP37" t="str">
            <v>-</v>
          </cell>
        </row>
        <row r="38">
          <cell r="A38">
            <v>33</v>
          </cell>
          <cell r="B38" t="str">
            <v>E.TH.FS-054</v>
          </cell>
          <cell r="C38" t="str">
            <v>Termohigrômetro Digital</v>
          </cell>
          <cell r="D38" t="str">
            <v>Elus</v>
          </cell>
          <cell r="E38" t="str">
            <v>RBC - CAL 0439</v>
          </cell>
          <cell r="F38" t="str">
            <v>E0136/25</v>
          </cell>
          <cell r="G38">
            <v>45733</v>
          </cell>
          <cell r="H38">
            <v>46112</v>
          </cell>
          <cell r="I38" t="str">
            <v>°C</v>
          </cell>
          <cell r="J38" t="str">
            <v>OUT</v>
          </cell>
          <cell r="K38" t="str">
            <v>NA</v>
          </cell>
          <cell r="L38">
            <v>15</v>
          </cell>
          <cell r="M38">
            <v>35</v>
          </cell>
          <cell r="N38">
            <v>0.1</v>
          </cell>
          <cell r="O38">
            <v>0.39999999999999858</v>
          </cell>
          <cell r="P38">
            <v>0.1</v>
          </cell>
          <cell r="Q38">
            <v>0.39999999999999858</v>
          </cell>
          <cell r="R38">
            <v>0.24248808301391556</v>
          </cell>
          <cell r="S38">
            <v>1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0.98980791846334792</v>
          </cell>
          <cell r="AB38">
            <v>0.45276362210897148</v>
          </cell>
          <cell r="AC38">
            <v>15</v>
          </cell>
          <cell r="AD38">
            <v>0.1</v>
          </cell>
          <cell r="AE38">
            <v>2</v>
          </cell>
          <cell r="AF38">
            <v>1000000</v>
          </cell>
          <cell r="AG38">
            <v>25</v>
          </cell>
          <cell r="AH38">
            <v>0.1</v>
          </cell>
          <cell r="AI38">
            <v>2</v>
          </cell>
          <cell r="AJ38">
            <v>1000000</v>
          </cell>
          <cell r="AK38">
            <v>35</v>
          </cell>
          <cell r="AL38">
            <v>0.1</v>
          </cell>
          <cell r="AM38">
            <v>2</v>
          </cell>
          <cell r="AN38">
            <v>1000000</v>
          </cell>
          <cell r="AO38" t="str">
            <v>-</v>
          </cell>
          <cell r="AP38" t="str">
            <v>-</v>
          </cell>
          <cell r="AQ38" t="str">
            <v>-</v>
          </cell>
          <cell r="AR38" t="str">
            <v>-</v>
          </cell>
          <cell r="AS38" t="str">
            <v>-</v>
          </cell>
          <cell r="AT38" t="str">
            <v>-</v>
          </cell>
          <cell r="AU38" t="str">
            <v>-</v>
          </cell>
          <cell r="AV38" t="str">
            <v>-</v>
          </cell>
          <cell r="AW38" t="str">
            <v>-</v>
          </cell>
          <cell r="AX38" t="str">
            <v>-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 t="str">
            <v>-</v>
          </cell>
          <cell r="BP38" t="str">
            <v>-</v>
          </cell>
        </row>
        <row r="39">
          <cell r="A39">
            <v>34</v>
          </cell>
          <cell r="B39" t="str">
            <v>E.TH.FS-059</v>
          </cell>
          <cell r="C39" t="str">
            <v>Termohigrômetro Digital</v>
          </cell>
          <cell r="D39" t="str">
            <v>Elus</v>
          </cell>
          <cell r="E39" t="str">
            <v>RBC - CAL 0439</v>
          </cell>
          <cell r="F39" t="str">
            <v>E0137/25</v>
          </cell>
          <cell r="G39">
            <v>45733</v>
          </cell>
          <cell r="H39">
            <v>46112</v>
          </cell>
          <cell r="I39" t="str">
            <v>°C</v>
          </cell>
          <cell r="J39" t="str">
            <v>IN</v>
          </cell>
          <cell r="K39" t="str">
            <v>NA</v>
          </cell>
          <cell r="L39">
            <v>15</v>
          </cell>
          <cell r="M39">
            <v>35</v>
          </cell>
          <cell r="N39">
            <v>0.1</v>
          </cell>
          <cell r="O39">
            <v>0.39999999999999858</v>
          </cell>
          <cell r="P39">
            <v>0.2</v>
          </cell>
          <cell r="Q39">
            <v>0.39999999999999858</v>
          </cell>
          <cell r="R39">
            <v>0.24990890398177257</v>
          </cell>
          <cell r="S39">
            <v>1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1.0200895180597482</v>
          </cell>
          <cell r="AB39">
            <v>-0.70625585510565614</v>
          </cell>
          <cell r="AC39">
            <v>15</v>
          </cell>
          <cell r="AD39">
            <v>0.2</v>
          </cell>
          <cell r="AE39">
            <v>2</v>
          </cell>
          <cell r="AF39">
            <v>1000000</v>
          </cell>
          <cell r="AG39">
            <v>25</v>
          </cell>
          <cell r="AH39">
            <v>0.2</v>
          </cell>
          <cell r="AI39">
            <v>2</v>
          </cell>
          <cell r="AJ39">
            <v>1000000</v>
          </cell>
          <cell r="AK39">
            <v>35</v>
          </cell>
          <cell r="AL39">
            <v>0.2</v>
          </cell>
          <cell r="AM39">
            <v>2</v>
          </cell>
          <cell r="AN39">
            <v>1000000</v>
          </cell>
          <cell r="AO39" t="str">
            <v>-</v>
          </cell>
          <cell r="AP39" t="str">
            <v>-</v>
          </cell>
          <cell r="AQ39" t="str">
            <v>-</v>
          </cell>
          <cell r="AR39" t="str">
            <v>-</v>
          </cell>
          <cell r="AS39" t="str">
            <v>-</v>
          </cell>
          <cell r="AT39" t="str">
            <v>-</v>
          </cell>
          <cell r="AU39" t="str">
            <v>-</v>
          </cell>
          <cell r="AV39" t="str">
            <v>-</v>
          </cell>
          <cell r="AW39" t="str">
            <v>-</v>
          </cell>
          <cell r="AX39" t="str">
            <v>-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 t="str">
            <v>-</v>
          </cell>
          <cell r="BP39" t="str">
            <v>-</v>
          </cell>
        </row>
        <row r="40">
          <cell r="A40">
            <v>35</v>
          </cell>
          <cell r="B40" t="str">
            <v>E.TH.FS-059</v>
          </cell>
          <cell r="C40" t="str">
            <v>Termohigrômetro Digital</v>
          </cell>
          <cell r="D40" t="str">
            <v>Elus</v>
          </cell>
          <cell r="E40" t="str">
            <v>RBC - CAL 0439</v>
          </cell>
          <cell r="F40" t="str">
            <v>E0137/25</v>
          </cell>
          <cell r="G40">
            <v>45733</v>
          </cell>
          <cell r="H40">
            <v>46112</v>
          </cell>
          <cell r="I40" t="str">
            <v>°C</v>
          </cell>
          <cell r="J40" t="str">
            <v>OUT</v>
          </cell>
          <cell r="K40" t="str">
            <v>NA</v>
          </cell>
          <cell r="L40">
            <v>15</v>
          </cell>
          <cell r="M40">
            <v>35</v>
          </cell>
          <cell r="N40">
            <v>0.1</v>
          </cell>
          <cell r="O40">
            <v>0.89999999999999858</v>
          </cell>
          <cell r="P40">
            <v>0.2</v>
          </cell>
          <cell r="Q40">
            <v>0.89999999999999858</v>
          </cell>
          <cell r="R40">
            <v>0.26053978968967506</v>
          </cell>
          <cell r="S40">
            <v>1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1.0634687181807896</v>
          </cell>
          <cell r="AB40">
            <v>-1.374024210883583</v>
          </cell>
          <cell r="AC40">
            <v>15</v>
          </cell>
          <cell r="AD40">
            <v>0.2</v>
          </cell>
          <cell r="AE40">
            <v>2</v>
          </cell>
          <cell r="AF40">
            <v>1000000</v>
          </cell>
          <cell r="AG40">
            <v>25</v>
          </cell>
          <cell r="AH40">
            <v>0.2</v>
          </cell>
          <cell r="AI40">
            <v>2</v>
          </cell>
          <cell r="AJ40">
            <v>1000000</v>
          </cell>
          <cell r="AK40">
            <v>35</v>
          </cell>
          <cell r="AL40">
            <v>0.2</v>
          </cell>
          <cell r="AM40">
            <v>2</v>
          </cell>
          <cell r="AN40">
            <v>1000000</v>
          </cell>
          <cell r="AO40" t="str">
            <v>-</v>
          </cell>
          <cell r="AP40" t="str">
            <v>-</v>
          </cell>
          <cell r="AQ40" t="str">
            <v>-</v>
          </cell>
          <cell r="AR40" t="str">
            <v>-</v>
          </cell>
          <cell r="AS40" t="str">
            <v>-</v>
          </cell>
          <cell r="AT40" t="str">
            <v>-</v>
          </cell>
          <cell r="AU40" t="str">
            <v>-</v>
          </cell>
          <cell r="AV40" t="str">
            <v>-</v>
          </cell>
          <cell r="AW40" t="str">
            <v>-</v>
          </cell>
          <cell r="AX40" t="str">
            <v>-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 t="str">
            <v>-</v>
          </cell>
          <cell r="BP40" t="str">
            <v>-</v>
          </cell>
        </row>
        <row r="41">
          <cell r="A41">
            <v>36</v>
          </cell>
          <cell r="B41" t="str">
            <v>E.TH.FS-040</v>
          </cell>
          <cell r="C41" t="str">
            <v>Termohigrômetro Digital</v>
          </cell>
          <cell r="D41" t="str">
            <v>Elus</v>
          </cell>
          <cell r="E41" t="str">
            <v>RBC - CAL 0439</v>
          </cell>
          <cell r="F41" t="str">
            <v>E0004/26</v>
          </cell>
          <cell r="G41">
            <v>46029</v>
          </cell>
          <cell r="H41">
            <v>46417</v>
          </cell>
          <cell r="I41" t="str">
            <v>°C</v>
          </cell>
          <cell r="J41" t="str">
            <v>IN</v>
          </cell>
          <cell r="K41" t="str">
            <v>NA</v>
          </cell>
          <cell r="L41">
            <v>15</v>
          </cell>
          <cell r="M41">
            <v>30</v>
          </cell>
          <cell r="N41">
            <v>0.1</v>
          </cell>
          <cell r="O41">
            <v>0.19999999999999929</v>
          </cell>
          <cell r="P41">
            <v>0.1</v>
          </cell>
          <cell r="Q41">
            <v>0.59999999999999964</v>
          </cell>
          <cell r="R41">
            <v>6.8246443892328312E-2</v>
          </cell>
          <cell r="S41">
            <v>2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-1.0687643460598111E-3</v>
          </cell>
          <cell r="AA41">
            <v>1.0706475698042772</v>
          </cell>
          <cell r="AB41">
            <v>-1.0421241615446535</v>
          </cell>
          <cell r="AC41">
            <v>15</v>
          </cell>
          <cell r="AD41">
            <v>0.1</v>
          </cell>
          <cell r="AE41">
            <v>2</v>
          </cell>
          <cell r="AF41">
            <v>1000000</v>
          </cell>
          <cell r="AG41">
            <v>20</v>
          </cell>
          <cell r="AH41">
            <v>0.1</v>
          </cell>
          <cell r="AI41">
            <v>2</v>
          </cell>
          <cell r="AJ41">
            <v>1000000</v>
          </cell>
          <cell r="AK41">
            <v>25</v>
          </cell>
          <cell r="AL41">
            <v>0.1</v>
          </cell>
          <cell r="AM41">
            <v>2</v>
          </cell>
          <cell r="AN41">
            <v>1000000</v>
          </cell>
          <cell r="AO41">
            <v>30</v>
          </cell>
          <cell r="AP41">
            <v>0.1</v>
          </cell>
          <cell r="AQ41">
            <v>2</v>
          </cell>
          <cell r="AR41">
            <v>1000000</v>
          </cell>
          <cell r="AS41" t="str">
            <v>-</v>
          </cell>
          <cell r="AT41" t="str">
            <v>-</v>
          </cell>
          <cell r="AU41" t="str">
            <v>-</v>
          </cell>
          <cell r="AV41" t="str">
            <v>-</v>
          </cell>
          <cell r="AW41" t="str">
            <v>-</v>
          </cell>
          <cell r="AX41" t="str">
            <v>-</v>
          </cell>
          <cell r="AY41" t="str">
            <v>-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 t="str">
            <v>-</v>
          </cell>
          <cell r="BP41" t="str">
            <v>-</v>
          </cell>
        </row>
        <row r="42">
          <cell r="A42">
            <v>37</v>
          </cell>
          <cell r="B42" t="str">
            <v>E.TH.FS-040</v>
          </cell>
          <cell r="C42" t="str">
            <v>Termohigrômetro Digital</v>
          </cell>
          <cell r="D42" t="str">
            <v>Elus</v>
          </cell>
          <cell r="E42" t="str">
            <v>RBC - CAL 0439</v>
          </cell>
          <cell r="F42" t="str">
            <v>E0004/26</v>
          </cell>
          <cell r="G42">
            <v>46029</v>
          </cell>
          <cell r="H42">
            <v>46417</v>
          </cell>
          <cell r="I42" t="str">
            <v>°C</v>
          </cell>
          <cell r="J42" t="str">
            <v>OUT</v>
          </cell>
          <cell r="K42" t="str">
            <v>NA</v>
          </cell>
          <cell r="L42">
            <v>15</v>
          </cell>
          <cell r="M42">
            <v>30</v>
          </cell>
          <cell r="N42">
            <v>0.1</v>
          </cell>
          <cell r="O42">
            <v>0</v>
          </cell>
          <cell r="P42">
            <v>0.1</v>
          </cell>
          <cell r="Q42">
            <v>0.80000000000000071</v>
          </cell>
          <cell r="R42">
            <v>5.5511151231257827E-17</v>
          </cell>
          <cell r="S42">
            <v>2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1.0540223124894839E-17</v>
          </cell>
          <cell r="AA42">
            <v>0.99999999999999956</v>
          </cell>
          <cell r="AB42">
            <v>4.9927711067705272E-15</v>
          </cell>
          <cell r="AC42">
            <v>15</v>
          </cell>
          <cell r="AD42">
            <v>0.1</v>
          </cell>
          <cell r="AE42">
            <v>2</v>
          </cell>
          <cell r="AF42">
            <v>1000000</v>
          </cell>
          <cell r="AG42">
            <v>20</v>
          </cell>
          <cell r="AH42">
            <v>0.1</v>
          </cell>
          <cell r="AI42">
            <v>2</v>
          </cell>
          <cell r="AJ42">
            <v>1000000</v>
          </cell>
          <cell r="AK42">
            <v>25</v>
          </cell>
          <cell r="AL42">
            <v>0.1</v>
          </cell>
          <cell r="AM42">
            <v>2</v>
          </cell>
          <cell r="AN42">
            <v>1000000</v>
          </cell>
          <cell r="AO42">
            <v>30</v>
          </cell>
          <cell r="AP42">
            <v>0.1</v>
          </cell>
          <cell r="AQ42">
            <v>2</v>
          </cell>
          <cell r="AR42">
            <v>1000000</v>
          </cell>
          <cell r="AS42" t="str">
            <v>-</v>
          </cell>
          <cell r="AT42" t="str">
            <v>-</v>
          </cell>
          <cell r="AU42" t="str">
            <v>-</v>
          </cell>
          <cell r="AV42" t="str">
            <v>-</v>
          </cell>
          <cell r="AW42" t="str">
            <v>-</v>
          </cell>
          <cell r="AX42" t="str">
            <v>-</v>
          </cell>
          <cell r="AY42" t="str">
            <v>-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 t="str">
            <v>-</v>
          </cell>
          <cell r="BP42" t="str">
            <v>-</v>
          </cell>
        </row>
        <row r="43">
          <cell r="A43">
            <v>38</v>
          </cell>
          <cell r="B43" t="str">
            <v>E.TH.FS-060</v>
          </cell>
          <cell r="C43" t="str">
            <v>Termohigrômetro Digital</v>
          </cell>
          <cell r="D43" t="str">
            <v>Elus</v>
          </cell>
          <cell r="E43" t="str">
            <v>RBC - CAL 0439</v>
          </cell>
          <cell r="F43" t="str">
            <v>E0138/25</v>
          </cell>
          <cell r="G43">
            <v>45733</v>
          </cell>
          <cell r="H43">
            <v>46112</v>
          </cell>
          <cell r="I43" t="str">
            <v>°C</v>
          </cell>
          <cell r="J43" t="str">
            <v>IN</v>
          </cell>
          <cell r="K43" t="str">
            <v>NA</v>
          </cell>
          <cell r="L43">
            <v>15</v>
          </cell>
          <cell r="M43">
            <v>35</v>
          </cell>
          <cell r="N43">
            <v>0.1</v>
          </cell>
          <cell r="O43">
            <v>0.5</v>
          </cell>
          <cell r="P43">
            <v>0.2</v>
          </cell>
          <cell r="Q43">
            <v>0.5</v>
          </cell>
          <cell r="R43">
            <v>0.33660423529263461</v>
          </cell>
          <cell r="S43">
            <v>1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1.0303438020040365</v>
          </cell>
          <cell r="AB43">
            <v>-0.99900860390185287</v>
          </cell>
          <cell r="AC43">
            <v>15</v>
          </cell>
          <cell r="AD43">
            <v>0.2</v>
          </cell>
          <cell r="AE43">
            <v>2</v>
          </cell>
          <cell r="AF43">
            <v>1000000</v>
          </cell>
          <cell r="AG43">
            <v>25</v>
          </cell>
          <cell r="AH43">
            <v>0.2</v>
          </cell>
          <cell r="AI43">
            <v>2</v>
          </cell>
          <cell r="AJ43">
            <v>1000000</v>
          </cell>
          <cell r="AK43">
            <v>35</v>
          </cell>
          <cell r="AL43">
            <v>0.2</v>
          </cell>
          <cell r="AM43">
            <v>2</v>
          </cell>
          <cell r="AN43">
            <v>1000000</v>
          </cell>
          <cell r="AO43" t="str">
            <v>-</v>
          </cell>
          <cell r="AP43" t="str">
            <v>-</v>
          </cell>
          <cell r="AQ43" t="str">
            <v>-</v>
          </cell>
          <cell r="AR43" t="str">
            <v>-</v>
          </cell>
          <cell r="AS43" t="str">
            <v>-</v>
          </cell>
          <cell r="AT43" t="str">
            <v>-</v>
          </cell>
          <cell r="AU43" t="str">
            <v>-</v>
          </cell>
          <cell r="AV43" t="str">
            <v>-</v>
          </cell>
          <cell r="AW43" t="str">
            <v>-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 t="str">
            <v>-</v>
          </cell>
          <cell r="BP43" t="str">
            <v>-</v>
          </cell>
        </row>
        <row r="44">
          <cell r="A44">
            <v>39</v>
          </cell>
          <cell r="B44" t="str">
            <v>E.TH.FS-060</v>
          </cell>
          <cell r="C44" t="str">
            <v>Termohigrômetro Digital</v>
          </cell>
          <cell r="D44" t="str">
            <v>Elus</v>
          </cell>
          <cell r="E44" t="str">
            <v>RBC - CAL 0439</v>
          </cell>
          <cell r="F44" t="str">
            <v>E0138/25</v>
          </cell>
          <cell r="G44">
            <v>45733</v>
          </cell>
          <cell r="H44">
            <v>46112</v>
          </cell>
          <cell r="I44" t="str">
            <v>°C</v>
          </cell>
          <cell r="J44" t="str">
            <v>OUT</v>
          </cell>
          <cell r="K44" t="str">
            <v>NA</v>
          </cell>
          <cell r="L44">
            <v>15</v>
          </cell>
          <cell r="M44">
            <v>35</v>
          </cell>
          <cell r="N44">
            <v>0.1</v>
          </cell>
          <cell r="O44">
            <v>1</v>
          </cell>
          <cell r="P44">
            <v>0.2</v>
          </cell>
          <cell r="Q44">
            <v>1</v>
          </cell>
          <cell r="R44">
            <v>0.64733394292080249</v>
          </cell>
          <cell r="S44">
            <v>1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1.0559839088166274</v>
          </cell>
          <cell r="AB44">
            <v>-1.1884009386523608</v>
          </cell>
          <cell r="AC44">
            <v>15</v>
          </cell>
          <cell r="AD44">
            <v>0.2</v>
          </cell>
          <cell r="AE44">
            <v>2</v>
          </cell>
          <cell r="AF44">
            <v>1000000</v>
          </cell>
          <cell r="AG44">
            <v>25</v>
          </cell>
          <cell r="AH44">
            <v>0.2</v>
          </cell>
          <cell r="AI44">
            <v>2</v>
          </cell>
          <cell r="AJ44">
            <v>1000000</v>
          </cell>
          <cell r="AK44">
            <v>35</v>
          </cell>
          <cell r="AL44">
            <v>0.2</v>
          </cell>
          <cell r="AM44">
            <v>2</v>
          </cell>
          <cell r="AN44">
            <v>1000000</v>
          </cell>
          <cell r="AO44" t="str">
            <v>-</v>
          </cell>
          <cell r="AP44" t="str">
            <v>-</v>
          </cell>
          <cell r="AQ44" t="str">
            <v>-</v>
          </cell>
          <cell r="AR44" t="str">
            <v>-</v>
          </cell>
          <cell r="AS44" t="str">
            <v>-</v>
          </cell>
          <cell r="AT44" t="str">
            <v>-</v>
          </cell>
          <cell r="AU44" t="str">
            <v>-</v>
          </cell>
          <cell r="AV44" t="str">
            <v>-</v>
          </cell>
          <cell r="AW44" t="str">
            <v>-</v>
          </cell>
          <cell r="AX44" t="str">
            <v>-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 t="str">
            <v>-</v>
          </cell>
          <cell r="BP44" t="str">
            <v>-</v>
          </cell>
        </row>
        <row r="45">
          <cell r="A45">
            <v>40</v>
          </cell>
          <cell r="B45" t="str">
            <v>E.TH.FS-053</v>
          </cell>
          <cell r="C45" t="str">
            <v>Termohigrômetro Digital</v>
          </cell>
          <cell r="D45" t="str">
            <v>Elus</v>
          </cell>
          <cell r="E45" t="str">
            <v>RBC - CAL 0439</v>
          </cell>
          <cell r="F45" t="str">
            <v>E0132/25</v>
          </cell>
          <cell r="G45">
            <v>45733</v>
          </cell>
          <cell r="H45">
            <v>46111</v>
          </cell>
          <cell r="I45" t="str">
            <v>°C</v>
          </cell>
          <cell r="J45" t="str">
            <v>IN</v>
          </cell>
          <cell r="K45" t="str">
            <v>NA</v>
          </cell>
          <cell r="L45">
            <v>15</v>
          </cell>
          <cell r="M45">
            <v>35</v>
          </cell>
          <cell r="N45">
            <v>0.1</v>
          </cell>
          <cell r="O45">
            <v>0.5</v>
          </cell>
          <cell r="P45">
            <v>0.2</v>
          </cell>
          <cell r="Q45">
            <v>0.30000000000000071</v>
          </cell>
          <cell r="R45">
            <v>0.11948303988921083</v>
          </cell>
          <cell r="S45">
            <v>1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0.97554011611306746</v>
          </cell>
          <cell r="AB45">
            <v>0.80660512039592547</v>
          </cell>
          <cell r="AC45">
            <v>15</v>
          </cell>
          <cell r="AD45">
            <v>0.2</v>
          </cell>
          <cell r="AE45">
            <v>2</v>
          </cell>
          <cell r="AF45">
            <v>1000000</v>
          </cell>
          <cell r="AG45">
            <v>25</v>
          </cell>
          <cell r="AH45">
            <v>0.2</v>
          </cell>
          <cell r="AI45">
            <v>2</v>
          </cell>
          <cell r="AJ45">
            <v>1000000</v>
          </cell>
          <cell r="AK45">
            <v>35</v>
          </cell>
          <cell r="AL45">
            <v>0.2</v>
          </cell>
          <cell r="AM45">
            <v>2</v>
          </cell>
          <cell r="AN45">
            <v>1000000</v>
          </cell>
          <cell r="AO45" t="str">
            <v>-</v>
          </cell>
          <cell r="AP45" t="str">
            <v>-</v>
          </cell>
          <cell r="AQ45" t="str">
            <v>-</v>
          </cell>
          <cell r="AR45" t="str">
            <v>-</v>
          </cell>
          <cell r="AS45" t="str">
            <v>-</v>
          </cell>
          <cell r="AT45" t="str">
            <v>-</v>
          </cell>
          <cell r="AU45" t="str">
            <v>-</v>
          </cell>
          <cell r="AV45" t="str">
            <v>-</v>
          </cell>
          <cell r="AW45" t="str">
            <v>-</v>
          </cell>
          <cell r="AX45" t="str">
            <v>-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 t="str">
            <v>-</v>
          </cell>
          <cell r="BP45" t="str">
            <v>-</v>
          </cell>
        </row>
        <row r="46">
          <cell r="A46">
            <v>41</v>
          </cell>
          <cell r="B46" t="str">
            <v>E.TH.FS-053</v>
          </cell>
          <cell r="C46" t="str">
            <v>Termohigrômetro Digital</v>
          </cell>
          <cell r="D46" t="str">
            <v>Elus</v>
          </cell>
          <cell r="E46" t="str">
            <v>RBC - CAL 0439</v>
          </cell>
          <cell r="F46" t="str">
            <v>E0132/25</v>
          </cell>
          <cell r="G46">
            <v>45733</v>
          </cell>
          <cell r="H46">
            <v>46111</v>
          </cell>
          <cell r="I46" t="str">
            <v>°C</v>
          </cell>
          <cell r="J46" t="str">
            <v>OUT</v>
          </cell>
          <cell r="K46" t="str">
            <v>NA</v>
          </cell>
          <cell r="L46">
            <v>15</v>
          </cell>
          <cell r="M46">
            <v>35</v>
          </cell>
          <cell r="N46">
            <v>0.1</v>
          </cell>
          <cell r="O46">
            <v>0.5</v>
          </cell>
          <cell r="P46">
            <v>0.1</v>
          </cell>
          <cell r="Q46">
            <v>0.19999999999999574</v>
          </cell>
          <cell r="R46">
            <v>4.0221343777805174E-2</v>
          </cell>
          <cell r="S46">
            <v>1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0.98521370563302813</v>
          </cell>
          <cell r="AB46">
            <v>0.69806192771863707</v>
          </cell>
          <cell r="AC46">
            <v>15</v>
          </cell>
          <cell r="AD46">
            <v>0.1</v>
          </cell>
          <cell r="AE46">
            <v>2</v>
          </cell>
          <cell r="AF46">
            <v>1000000</v>
          </cell>
          <cell r="AG46">
            <v>25</v>
          </cell>
          <cell r="AH46">
            <v>0.1</v>
          </cell>
          <cell r="AI46">
            <v>2</v>
          </cell>
          <cell r="AJ46">
            <v>1000000</v>
          </cell>
          <cell r="AK46">
            <v>35</v>
          </cell>
          <cell r="AL46">
            <v>0.1</v>
          </cell>
          <cell r="AM46">
            <v>2</v>
          </cell>
          <cell r="AN46">
            <v>1000000</v>
          </cell>
          <cell r="AO46" t="str">
            <v>-</v>
          </cell>
          <cell r="AP46" t="str">
            <v>-</v>
          </cell>
          <cell r="AQ46" t="str">
            <v>-</v>
          </cell>
          <cell r="AR46" t="str">
            <v>-</v>
          </cell>
          <cell r="AS46" t="str">
            <v>-</v>
          </cell>
          <cell r="AT46" t="str">
            <v>-</v>
          </cell>
          <cell r="AU46" t="str">
            <v>-</v>
          </cell>
          <cell r="AV46" t="str">
            <v>-</v>
          </cell>
          <cell r="AW46" t="str">
            <v>-</v>
          </cell>
          <cell r="AX46" t="str">
            <v>-</v>
          </cell>
          <cell r="AY46" t="str">
            <v>-</v>
          </cell>
          <cell r="AZ46" t="str">
            <v>-</v>
          </cell>
          <cell r="BA46" t="str">
            <v>-</v>
          </cell>
          <cell r="BB46" t="str">
            <v>-</v>
          </cell>
          <cell r="BC46" t="str">
            <v>-</v>
          </cell>
          <cell r="BD46" t="str">
            <v>-</v>
          </cell>
          <cell r="BE46" t="str">
            <v>-</v>
          </cell>
          <cell r="BF46" t="str">
            <v>-</v>
          </cell>
          <cell r="BG46" t="str">
            <v>-</v>
          </cell>
          <cell r="BH46" t="str">
            <v>-</v>
          </cell>
          <cell r="BI46" t="str">
            <v>-</v>
          </cell>
          <cell r="BJ46" t="str">
            <v>-</v>
          </cell>
          <cell r="BK46" t="str">
            <v>-</v>
          </cell>
          <cell r="BL46" t="str">
            <v>-</v>
          </cell>
          <cell r="BM46" t="str">
            <v>-</v>
          </cell>
          <cell r="BN46" t="str">
            <v>-</v>
          </cell>
          <cell r="BO46" t="str">
            <v>-</v>
          </cell>
          <cell r="BP46" t="str">
            <v>-</v>
          </cell>
        </row>
        <row r="47">
          <cell r="A47">
            <v>42</v>
          </cell>
          <cell r="B47" t="str">
            <v>E.TH.FS-061</v>
          </cell>
          <cell r="C47" t="str">
            <v>Termohigrômetro Digital</v>
          </cell>
          <cell r="D47" t="str">
            <v>Elus</v>
          </cell>
          <cell r="E47" t="str">
            <v>RBC - CAL 0439</v>
          </cell>
          <cell r="F47" t="str">
            <v>E0139/25</v>
          </cell>
          <cell r="G47">
            <v>45733</v>
          </cell>
          <cell r="H47">
            <v>46112</v>
          </cell>
          <cell r="I47" t="str">
            <v>°C</v>
          </cell>
          <cell r="J47" t="str">
            <v>IN</v>
          </cell>
          <cell r="K47" t="str">
            <v>NA</v>
          </cell>
          <cell r="L47">
            <v>15</v>
          </cell>
          <cell r="M47">
            <v>35</v>
          </cell>
          <cell r="N47">
            <v>0.1</v>
          </cell>
          <cell r="O47">
            <v>0.5</v>
          </cell>
          <cell r="P47">
            <v>0.2</v>
          </cell>
          <cell r="Q47">
            <v>0.5</v>
          </cell>
          <cell r="R47">
            <v>0.33660423529263461</v>
          </cell>
          <cell r="S47">
            <v>1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1.0303438020040365</v>
          </cell>
          <cell r="AB47">
            <v>-0.99900860390185287</v>
          </cell>
          <cell r="AC47">
            <v>15</v>
          </cell>
          <cell r="AD47">
            <v>0.2</v>
          </cell>
          <cell r="AE47">
            <v>2</v>
          </cell>
          <cell r="AF47">
            <v>1000000</v>
          </cell>
          <cell r="AG47">
            <v>25</v>
          </cell>
          <cell r="AH47">
            <v>0.2</v>
          </cell>
          <cell r="AI47">
            <v>2</v>
          </cell>
          <cell r="AJ47">
            <v>1000000</v>
          </cell>
          <cell r="AK47">
            <v>35</v>
          </cell>
          <cell r="AL47">
            <v>0.2</v>
          </cell>
          <cell r="AM47">
            <v>2</v>
          </cell>
          <cell r="AN47">
            <v>1000000</v>
          </cell>
          <cell r="AO47" t="str">
            <v>-</v>
          </cell>
          <cell r="AP47" t="str">
            <v>-</v>
          </cell>
          <cell r="AQ47" t="str">
            <v>-</v>
          </cell>
          <cell r="AR47" t="str">
            <v>-</v>
          </cell>
          <cell r="AS47" t="str">
            <v>-</v>
          </cell>
          <cell r="AT47" t="str">
            <v>-</v>
          </cell>
          <cell r="AU47" t="str">
            <v>-</v>
          </cell>
          <cell r="AV47" t="str">
            <v>-</v>
          </cell>
          <cell r="AW47" t="str">
            <v>-</v>
          </cell>
          <cell r="AX47" t="str">
            <v>-</v>
          </cell>
          <cell r="AY47" t="str">
            <v>-</v>
          </cell>
          <cell r="AZ47" t="str">
            <v>-</v>
          </cell>
          <cell r="BA47" t="str">
            <v>-</v>
          </cell>
          <cell r="BB47" t="str">
            <v>-</v>
          </cell>
          <cell r="BC47" t="str">
            <v>-</v>
          </cell>
          <cell r="BD47" t="str">
            <v>-</v>
          </cell>
          <cell r="BE47" t="str">
            <v>-</v>
          </cell>
          <cell r="BF47" t="str">
            <v>-</v>
          </cell>
          <cell r="BG47" t="str">
            <v>-</v>
          </cell>
          <cell r="BH47" t="str">
            <v>-</v>
          </cell>
          <cell r="BI47" t="str">
            <v>-</v>
          </cell>
          <cell r="BJ47" t="str">
            <v>-</v>
          </cell>
          <cell r="BK47" t="str">
            <v>-</v>
          </cell>
          <cell r="BL47" t="str">
            <v>-</v>
          </cell>
          <cell r="BM47" t="str">
            <v>-</v>
          </cell>
          <cell r="BN47" t="str">
            <v>-</v>
          </cell>
          <cell r="BO47" t="str">
            <v>-</v>
          </cell>
          <cell r="BP47" t="str">
            <v>-</v>
          </cell>
        </row>
        <row r="48">
          <cell r="A48">
            <v>43</v>
          </cell>
          <cell r="B48" t="str">
            <v>E.TH.FS-061</v>
          </cell>
          <cell r="C48" t="str">
            <v>Termohigrômetro Digital</v>
          </cell>
          <cell r="D48" t="str">
            <v>Elus</v>
          </cell>
          <cell r="E48" t="str">
            <v>RBC - CAL 0439</v>
          </cell>
          <cell r="F48" t="str">
            <v>E0139/25</v>
          </cell>
          <cell r="G48">
            <v>45733</v>
          </cell>
          <cell r="H48">
            <v>46112</v>
          </cell>
          <cell r="I48" t="str">
            <v>°C</v>
          </cell>
          <cell r="J48" t="str">
            <v>OUT</v>
          </cell>
          <cell r="K48" t="str">
            <v>NA</v>
          </cell>
          <cell r="L48">
            <v>15</v>
          </cell>
          <cell r="M48">
            <v>35</v>
          </cell>
          <cell r="N48">
            <v>0.1</v>
          </cell>
          <cell r="O48">
            <v>0.89999999999999858</v>
          </cell>
          <cell r="P48">
            <v>0.2</v>
          </cell>
          <cell r="Q48">
            <v>0.89999999999999858</v>
          </cell>
          <cell r="R48">
            <v>0.60108538705462067</v>
          </cell>
          <cell r="S48">
            <v>1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1.050729980828786</v>
          </cell>
          <cell r="AB48">
            <v>-1.0931278572481844</v>
          </cell>
          <cell r="AC48">
            <v>15</v>
          </cell>
          <cell r="AD48">
            <v>0.2</v>
          </cell>
          <cell r="AE48">
            <v>2</v>
          </cell>
          <cell r="AF48">
            <v>1000000</v>
          </cell>
          <cell r="AG48">
            <v>25</v>
          </cell>
          <cell r="AH48">
            <v>0.2</v>
          </cell>
          <cell r="AI48">
            <v>2</v>
          </cell>
          <cell r="AJ48">
            <v>1000000</v>
          </cell>
          <cell r="AK48">
            <v>35</v>
          </cell>
          <cell r="AL48">
            <v>0.2</v>
          </cell>
          <cell r="AM48">
            <v>2</v>
          </cell>
          <cell r="AN48">
            <v>1000000</v>
          </cell>
          <cell r="AO48" t="str">
            <v>-</v>
          </cell>
          <cell r="AP48" t="str">
            <v>-</v>
          </cell>
          <cell r="AQ48" t="str">
            <v>-</v>
          </cell>
          <cell r="AR48" t="str">
            <v>-</v>
          </cell>
          <cell r="AS48" t="str">
            <v>-</v>
          </cell>
          <cell r="AT48" t="str">
            <v>-</v>
          </cell>
          <cell r="AU48" t="str">
            <v>-</v>
          </cell>
          <cell r="AV48" t="str">
            <v>-</v>
          </cell>
          <cell r="AW48" t="str">
            <v>-</v>
          </cell>
          <cell r="AX48" t="str">
            <v>-</v>
          </cell>
          <cell r="AY48" t="str">
            <v>-</v>
          </cell>
          <cell r="AZ48" t="str">
            <v>-</v>
          </cell>
          <cell r="BA48" t="str">
            <v>-</v>
          </cell>
          <cell r="BB48" t="str">
            <v>-</v>
          </cell>
          <cell r="BC48" t="str">
            <v>-</v>
          </cell>
          <cell r="BD48" t="str">
            <v>-</v>
          </cell>
          <cell r="BE48" t="str">
            <v>-</v>
          </cell>
          <cell r="BF48" t="str">
            <v>-</v>
          </cell>
          <cell r="BG48" t="str">
            <v>-</v>
          </cell>
          <cell r="BH48" t="str">
            <v>-</v>
          </cell>
          <cell r="BI48" t="str">
            <v>-</v>
          </cell>
          <cell r="BJ48" t="str">
            <v>-</v>
          </cell>
          <cell r="BK48" t="str">
            <v>-</v>
          </cell>
          <cell r="BL48" t="str">
            <v>-</v>
          </cell>
          <cell r="BM48" t="str">
            <v>-</v>
          </cell>
          <cell r="BN48" t="str">
            <v>-</v>
          </cell>
          <cell r="BO48" t="str">
            <v>-</v>
          </cell>
          <cell r="BP48" t="str">
            <v>-</v>
          </cell>
        </row>
        <row r="49">
          <cell r="A49">
            <v>44</v>
          </cell>
          <cell r="B49" t="str">
            <v>EL-955</v>
          </cell>
          <cell r="C49" t="str">
            <v>Termohigrômetro Digital</v>
          </cell>
          <cell r="D49" t="str">
            <v>Elus</v>
          </cell>
          <cell r="E49" t="str">
            <v>RBC - CAL 0439</v>
          </cell>
          <cell r="F49" t="str">
            <v>R0013/24</v>
          </cell>
          <cell r="G49">
            <v>45373</v>
          </cell>
          <cell r="H49">
            <v>45747</v>
          </cell>
          <cell r="I49" t="str">
            <v>°C</v>
          </cell>
          <cell r="J49" t="str">
            <v>IN</v>
          </cell>
          <cell r="K49" t="str">
            <v>NA</v>
          </cell>
          <cell r="L49">
            <v>15</v>
          </cell>
          <cell r="M49">
            <v>35</v>
          </cell>
          <cell r="N49">
            <v>0.1</v>
          </cell>
          <cell r="O49">
            <v>0.19999999999999929</v>
          </cell>
          <cell r="P49">
            <v>0.2</v>
          </cell>
          <cell r="Q49">
            <v>0.10000000000000142</v>
          </cell>
          <cell r="R49">
            <v>1.7763568394002505E-15</v>
          </cell>
          <cell r="S49">
            <v>1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0.99009900990099009</v>
          </cell>
          <cell r="AB49">
            <v>0.34653465346534418</v>
          </cell>
          <cell r="AC49">
            <v>15</v>
          </cell>
          <cell r="AD49">
            <v>0.2</v>
          </cell>
          <cell r="AE49">
            <v>2</v>
          </cell>
          <cell r="AF49">
            <v>1000000</v>
          </cell>
          <cell r="AG49">
            <v>25</v>
          </cell>
          <cell r="AH49">
            <v>0.2</v>
          </cell>
          <cell r="AI49">
            <v>2</v>
          </cell>
          <cell r="AJ49">
            <v>1000000</v>
          </cell>
          <cell r="AK49">
            <v>35</v>
          </cell>
          <cell r="AL49">
            <v>0.2</v>
          </cell>
          <cell r="AM49">
            <v>2</v>
          </cell>
          <cell r="AN49">
            <v>1000000</v>
          </cell>
          <cell r="AO49" t="str">
            <v>-</v>
          </cell>
          <cell r="AP49" t="str">
            <v>-</v>
          </cell>
          <cell r="AQ49" t="str">
            <v>-</v>
          </cell>
          <cell r="AR49" t="str">
            <v>-</v>
          </cell>
          <cell r="AS49" t="str">
            <v>-</v>
          </cell>
          <cell r="AT49" t="str">
            <v>-</v>
          </cell>
          <cell r="AU49" t="str">
            <v>-</v>
          </cell>
          <cell r="AV49" t="str">
            <v>-</v>
          </cell>
          <cell r="AW49" t="str">
            <v>-</v>
          </cell>
          <cell r="AX49" t="str">
            <v>-</v>
          </cell>
          <cell r="AY49" t="str">
            <v>-</v>
          </cell>
          <cell r="AZ49" t="str">
            <v>-</v>
          </cell>
          <cell r="BA49" t="str">
            <v>-</v>
          </cell>
          <cell r="BB49" t="str">
            <v>-</v>
          </cell>
          <cell r="BC49" t="str">
            <v>-</v>
          </cell>
          <cell r="BD49" t="str">
            <v>-</v>
          </cell>
          <cell r="BE49" t="str">
            <v>-</v>
          </cell>
          <cell r="BF49" t="str">
            <v>-</v>
          </cell>
          <cell r="BG49" t="str">
            <v>-</v>
          </cell>
          <cell r="BH49" t="str">
            <v>-</v>
          </cell>
          <cell r="BI49" t="str">
            <v>-</v>
          </cell>
          <cell r="BJ49" t="str">
            <v>-</v>
          </cell>
          <cell r="BK49" t="str">
            <v>-</v>
          </cell>
          <cell r="BL49" t="str">
            <v>-</v>
          </cell>
          <cell r="BM49" t="str">
            <v>-</v>
          </cell>
          <cell r="BN49" t="str">
            <v>-</v>
          </cell>
          <cell r="BO49" t="str">
            <v>-</v>
          </cell>
          <cell r="BP49" t="str">
            <v>-</v>
          </cell>
        </row>
        <row r="50">
          <cell r="A50">
            <v>45</v>
          </cell>
          <cell r="B50" t="str">
            <v>EL-955</v>
          </cell>
          <cell r="C50" t="str">
            <v>Termohigrômetro Digital</v>
          </cell>
          <cell r="D50" t="str">
            <v>Elus</v>
          </cell>
          <cell r="E50" t="str">
            <v>RBC - CAL 0439</v>
          </cell>
          <cell r="F50" t="str">
            <v>R0013/24</v>
          </cell>
          <cell r="G50">
            <v>45373</v>
          </cell>
          <cell r="H50">
            <v>45747</v>
          </cell>
          <cell r="I50" t="str">
            <v>°C</v>
          </cell>
          <cell r="J50" t="str">
            <v>OUT</v>
          </cell>
          <cell r="K50" t="str">
            <v>NA</v>
          </cell>
          <cell r="L50">
            <v>15</v>
          </cell>
          <cell r="M50">
            <v>35</v>
          </cell>
          <cell r="N50">
            <v>0.1</v>
          </cell>
          <cell r="O50">
            <v>0.10000000000000142</v>
          </cell>
          <cell r="P50">
            <v>0.1</v>
          </cell>
          <cell r="Q50">
            <v>0.20000000000000284</v>
          </cell>
          <cell r="R50">
            <v>8.083992486288416E-2</v>
          </cell>
          <cell r="S50">
            <v>1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0.9900666579532087</v>
          </cell>
          <cell r="AB50">
            <v>0.28133577310155289</v>
          </cell>
          <cell r="AC50">
            <v>15</v>
          </cell>
          <cell r="AD50">
            <v>0.1</v>
          </cell>
          <cell r="AE50">
            <v>2</v>
          </cell>
          <cell r="AF50">
            <v>1000000</v>
          </cell>
          <cell r="AG50">
            <v>25</v>
          </cell>
          <cell r="AH50">
            <v>0.1</v>
          </cell>
          <cell r="AI50">
            <v>2</v>
          </cell>
          <cell r="AJ50">
            <v>1000000</v>
          </cell>
          <cell r="AK50">
            <v>35</v>
          </cell>
          <cell r="AL50">
            <v>0.1</v>
          </cell>
          <cell r="AM50">
            <v>2</v>
          </cell>
          <cell r="AN50">
            <v>1000000</v>
          </cell>
          <cell r="AO50" t="str">
            <v>-</v>
          </cell>
          <cell r="AP50" t="str">
            <v>-</v>
          </cell>
          <cell r="AQ50" t="str">
            <v>-</v>
          </cell>
          <cell r="AR50" t="str">
            <v>-</v>
          </cell>
          <cell r="AS50" t="str">
            <v>-</v>
          </cell>
          <cell r="AT50" t="str">
            <v>-</v>
          </cell>
          <cell r="AU50" t="str">
            <v>-</v>
          </cell>
          <cell r="AV50" t="str">
            <v>-</v>
          </cell>
          <cell r="AW50" t="str">
            <v>-</v>
          </cell>
          <cell r="AX50" t="str">
            <v>-</v>
          </cell>
          <cell r="AY50" t="str">
            <v>-</v>
          </cell>
          <cell r="AZ50" t="str">
            <v>-</v>
          </cell>
          <cell r="BA50" t="str">
            <v>-</v>
          </cell>
          <cell r="BB50" t="str">
            <v>-</v>
          </cell>
          <cell r="BC50" t="str">
            <v>-</v>
          </cell>
          <cell r="BD50" t="str">
            <v>-</v>
          </cell>
          <cell r="BE50" t="str">
            <v>-</v>
          </cell>
          <cell r="BF50" t="str">
            <v>-</v>
          </cell>
          <cell r="BG50" t="str">
            <v>-</v>
          </cell>
          <cell r="BH50" t="str">
            <v>-</v>
          </cell>
          <cell r="BI50" t="str">
            <v>-</v>
          </cell>
          <cell r="BJ50" t="str">
            <v>-</v>
          </cell>
          <cell r="BK50" t="str">
            <v>-</v>
          </cell>
          <cell r="BL50" t="str">
            <v>-</v>
          </cell>
          <cell r="BM50" t="str">
            <v>-</v>
          </cell>
          <cell r="BN50" t="str">
            <v>-</v>
          </cell>
          <cell r="BO50" t="str">
            <v>-</v>
          </cell>
          <cell r="BP50" t="str">
            <v>-</v>
          </cell>
        </row>
        <row r="51">
          <cell r="A51">
            <v>46</v>
          </cell>
          <cell r="B51" t="str">
            <v>E.TH.FS-001</v>
          </cell>
          <cell r="C51" t="str">
            <v>Termohigrômetro Digital</v>
          </cell>
          <cell r="D51" t="str">
            <v>Elus</v>
          </cell>
          <cell r="E51" t="str">
            <v>RBC - CAL 0439</v>
          </cell>
          <cell r="F51" t="str">
            <v>E0832/25</v>
          </cell>
          <cell r="G51">
            <v>45807</v>
          </cell>
          <cell r="H51">
            <v>46172</v>
          </cell>
          <cell r="I51" t="str">
            <v>°C</v>
          </cell>
          <cell r="J51" t="str">
            <v>IN</v>
          </cell>
          <cell r="K51" t="str">
            <v>NA</v>
          </cell>
          <cell r="L51">
            <v>15</v>
          </cell>
          <cell r="M51">
            <v>35</v>
          </cell>
          <cell r="N51">
            <v>0.1</v>
          </cell>
          <cell r="O51">
            <v>0.29999999999999716</v>
          </cell>
          <cell r="P51">
            <v>0.2</v>
          </cell>
          <cell r="Q51">
            <v>0.29999999999999716</v>
          </cell>
          <cell r="R51">
            <v>3.5527136788005009E-15</v>
          </cell>
          <cell r="S51">
            <v>1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1.0101010101010102</v>
          </cell>
          <cell r="AB51">
            <v>-5.050505050505194E-2</v>
          </cell>
          <cell r="AC51">
            <v>15</v>
          </cell>
          <cell r="AD51">
            <v>0.2</v>
          </cell>
          <cell r="AE51">
            <v>2</v>
          </cell>
          <cell r="AF51">
            <v>1000000</v>
          </cell>
          <cell r="AG51">
            <v>25</v>
          </cell>
          <cell r="AH51">
            <v>0.2</v>
          </cell>
          <cell r="AI51">
            <v>2</v>
          </cell>
          <cell r="AJ51">
            <v>1000000</v>
          </cell>
          <cell r="AK51">
            <v>35</v>
          </cell>
          <cell r="AL51">
            <v>0.2</v>
          </cell>
          <cell r="AM51">
            <v>2</v>
          </cell>
          <cell r="AN51">
            <v>1000000</v>
          </cell>
          <cell r="AO51" t="str">
            <v>-</v>
          </cell>
          <cell r="AP51" t="str">
            <v>-</v>
          </cell>
          <cell r="AQ51" t="str">
            <v>-</v>
          </cell>
          <cell r="AR51" t="str">
            <v>-</v>
          </cell>
          <cell r="AS51" t="str">
            <v>-</v>
          </cell>
          <cell r="AT51" t="str">
            <v>-</v>
          </cell>
          <cell r="AU51" t="str">
            <v>-</v>
          </cell>
          <cell r="AV51" t="str">
            <v>-</v>
          </cell>
          <cell r="AW51" t="str">
            <v>-</v>
          </cell>
          <cell r="AX51" t="str">
            <v>-</v>
          </cell>
          <cell r="AY51" t="str">
            <v>-</v>
          </cell>
          <cell r="AZ51" t="str">
            <v>-</v>
          </cell>
          <cell r="BA51" t="str">
            <v>-</v>
          </cell>
          <cell r="BB51" t="str">
            <v>-</v>
          </cell>
          <cell r="BC51" t="str">
            <v>-</v>
          </cell>
          <cell r="BD51" t="str">
            <v>-</v>
          </cell>
          <cell r="BE51" t="str">
            <v>-</v>
          </cell>
          <cell r="BF51" t="str">
            <v>-</v>
          </cell>
          <cell r="BG51" t="str">
            <v>-</v>
          </cell>
          <cell r="BH51" t="str">
            <v>-</v>
          </cell>
          <cell r="BI51" t="str">
            <v>-</v>
          </cell>
          <cell r="BJ51" t="str">
            <v>-</v>
          </cell>
          <cell r="BK51" t="str">
            <v>-</v>
          </cell>
          <cell r="BL51" t="str">
            <v>-</v>
          </cell>
          <cell r="BM51" t="str">
            <v>-</v>
          </cell>
          <cell r="BN51" t="str">
            <v>-</v>
          </cell>
          <cell r="BO51" t="str">
            <v>-</v>
          </cell>
          <cell r="BP51" t="str">
            <v>-</v>
          </cell>
        </row>
        <row r="52">
          <cell r="A52">
            <v>47</v>
          </cell>
          <cell r="B52" t="str">
            <v>E.TH.FS-001</v>
          </cell>
          <cell r="C52" t="str">
            <v>Termohigrômetro Digital</v>
          </cell>
          <cell r="D52" t="str">
            <v>Elus</v>
          </cell>
          <cell r="E52" t="str">
            <v>RBC - CAL 0439</v>
          </cell>
          <cell r="F52" t="str">
            <v>E0832/25</v>
          </cell>
          <cell r="G52">
            <v>45807</v>
          </cell>
          <cell r="H52">
            <v>46172</v>
          </cell>
          <cell r="I52" t="str">
            <v>°C</v>
          </cell>
          <cell r="J52" t="str">
            <v>OUT</v>
          </cell>
          <cell r="K52" t="str">
            <v>NA</v>
          </cell>
          <cell r="L52">
            <v>15</v>
          </cell>
          <cell r="M52">
            <v>35</v>
          </cell>
          <cell r="N52">
            <v>0.1</v>
          </cell>
          <cell r="O52">
            <v>0.20000000000000284</v>
          </cell>
          <cell r="P52">
            <v>0.1</v>
          </cell>
          <cell r="Q52">
            <v>0.10000000000000142</v>
          </cell>
          <cell r="R52">
            <v>3.5527136788005009E-15</v>
          </cell>
          <cell r="S52">
            <v>1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0.99999999999999989</v>
          </cell>
          <cell r="AB52">
            <v>0.20000000000000284</v>
          </cell>
          <cell r="AC52">
            <v>15</v>
          </cell>
          <cell r="AD52">
            <v>0.1</v>
          </cell>
          <cell r="AE52">
            <v>2</v>
          </cell>
          <cell r="AF52">
            <v>1000000</v>
          </cell>
          <cell r="AG52">
            <v>25</v>
          </cell>
          <cell r="AH52">
            <v>0.1</v>
          </cell>
          <cell r="AI52">
            <v>2</v>
          </cell>
          <cell r="AJ52">
            <v>1000000</v>
          </cell>
          <cell r="AK52">
            <v>35</v>
          </cell>
          <cell r="AL52">
            <v>0.1</v>
          </cell>
          <cell r="AM52">
            <v>2</v>
          </cell>
          <cell r="AN52">
            <v>1000000</v>
          </cell>
          <cell r="AO52" t="str">
            <v>-</v>
          </cell>
          <cell r="AP52" t="str">
            <v>-</v>
          </cell>
          <cell r="AQ52" t="str">
            <v>-</v>
          </cell>
          <cell r="AR52" t="str">
            <v>-</v>
          </cell>
          <cell r="AS52" t="str">
            <v>-</v>
          </cell>
          <cell r="AT52" t="str">
            <v>-</v>
          </cell>
          <cell r="AU52" t="str">
            <v>-</v>
          </cell>
          <cell r="AV52" t="str">
            <v>-</v>
          </cell>
          <cell r="AW52" t="str">
            <v>-</v>
          </cell>
          <cell r="AX52" t="str">
            <v>-</v>
          </cell>
          <cell r="AY52" t="str">
            <v>-</v>
          </cell>
          <cell r="AZ52" t="str">
            <v>-</v>
          </cell>
          <cell r="BA52" t="str">
            <v>-</v>
          </cell>
          <cell r="BB52" t="str">
            <v>-</v>
          </cell>
          <cell r="BC52" t="str">
            <v>-</v>
          </cell>
          <cell r="BD52" t="str">
            <v>-</v>
          </cell>
          <cell r="BE52" t="str">
            <v>-</v>
          </cell>
          <cell r="BF52" t="str">
            <v>-</v>
          </cell>
          <cell r="BG52" t="str">
            <v>-</v>
          </cell>
          <cell r="BH52" t="str">
            <v>-</v>
          </cell>
          <cell r="BI52" t="str">
            <v>-</v>
          </cell>
          <cell r="BJ52" t="str">
            <v>-</v>
          </cell>
          <cell r="BK52" t="str">
            <v>-</v>
          </cell>
          <cell r="BL52" t="str">
            <v>-</v>
          </cell>
          <cell r="BM52" t="str">
            <v>-</v>
          </cell>
          <cell r="BN52" t="str">
            <v>-</v>
          </cell>
          <cell r="BO52" t="str">
            <v>-</v>
          </cell>
          <cell r="BP52" t="str">
            <v>-</v>
          </cell>
        </row>
        <row r="53">
          <cell r="A53">
            <v>48</v>
          </cell>
          <cell r="B53" t="str">
            <v>E.TH.FS-062</v>
          </cell>
          <cell r="C53" t="str">
            <v>Termohigrômetro Digital</v>
          </cell>
          <cell r="D53" t="str">
            <v>Elus</v>
          </cell>
          <cell r="E53" t="str">
            <v>RBC - CAL 0439</v>
          </cell>
          <cell r="F53" t="str">
            <v>E0135/25</v>
          </cell>
          <cell r="G53">
            <v>45733</v>
          </cell>
          <cell r="H53">
            <v>46112</v>
          </cell>
          <cell r="I53" t="str">
            <v>°C</v>
          </cell>
          <cell r="J53" t="str">
            <v>IN</v>
          </cell>
          <cell r="K53" t="str">
            <v>NA</v>
          </cell>
          <cell r="L53">
            <v>15</v>
          </cell>
          <cell r="M53">
            <v>35</v>
          </cell>
          <cell r="N53">
            <v>0.1</v>
          </cell>
          <cell r="O53">
            <v>0.40000000000000036</v>
          </cell>
          <cell r="P53">
            <v>0.2</v>
          </cell>
          <cell r="Q53">
            <v>0.40000000000000036</v>
          </cell>
          <cell r="R53">
            <v>4.0621552867994737E-2</v>
          </cell>
          <cell r="S53">
            <v>1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0.99501666611662953</v>
          </cell>
          <cell r="AB53">
            <v>0.45625556912313669</v>
          </cell>
          <cell r="AC53">
            <v>15</v>
          </cell>
          <cell r="AD53">
            <v>0.2</v>
          </cell>
          <cell r="AE53">
            <v>2</v>
          </cell>
          <cell r="AF53">
            <v>1000000</v>
          </cell>
          <cell r="AG53">
            <v>25</v>
          </cell>
          <cell r="AH53">
            <v>0.2</v>
          </cell>
          <cell r="AI53">
            <v>2</v>
          </cell>
          <cell r="AJ53">
            <v>1000000</v>
          </cell>
          <cell r="AK53">
            <v>35</v>
          </cell>
          <cell r="AL53">
            <v>0.2</v>
          </cell>
          <cell r="AM53">
            <v>2</v>
          </cell>
          <cell r="AN53">
            <v>1000000</v>
          </cell>
          <cell r="AO53" t="str">
            <v>-</v>
          </cell>
          <cell r="AP53" t="str">
            <v>-</v>
          </cell>
          <cell r="AQ53" t="str">
            <v>-</v>
          </cell>
          <cell r="AR53" t="str">
            <v>-</v>
          </cell>
          <cell r="AS53" t="str">
            <v>-</v>
          </cell>
          <cell r="AT53" t="str">
            <v>-</v>
          </cell>
          <cell r="AU53" t="str">
            <v>-</v>
          </cell>
          <cell r="AV53" t="str">
            <v>-</v>
          </cell>
          <cell r="AW53" t="str">
            <v>-</v>
          </cell>
          <cell r="AX53" t="str">
            <v>-</v>
          </cell>
          <cell r="AY53" t="str">
            <v>-</v>
          </cell>
          <cell r="AZ53" t="str">
            <v>-</v>
          </cell>
          <cell r="BA53" t="str">
            <v>-</v>
          </cell>
          <cell r="BB53" t="str">
            <v>-</v>
          </cell>
          <cell r="BC53" t="str">
            <v>-</v>
          </cell>
          <cell r="BD53" t="str">
            <v>-</v>
          </cell>
          <cell r="BE53" t="str">
            <v>-</v>
          </cell>
          <cell r="BF53" t="str">
            <v>-</v>
          </cell>
          <cell r="BG53" t="str">
            <v>-</v>
          </cell>
          <cell r="BH53" t="str">
            <v>-</v>
          </cell>
          <cell r="BI53" t="str">
            <v>-</v>
          </cell>
          <cell r="BJ53" t="str">
            <v>-</v>
          </cell>
          <cell r="BK53" t="str">
            <v>-</v>
          </cell>
          <cell r="BL53" t="str">
            <v>-</v>
          </cell>
          <cell r="BM53" t="str">
            <v>-</v>
          </cell>
          <cell r="BN53" t="str">
            <v>-</v>
          </cell>
          <cell r="BO53" t="str">
            <v>-</v>
          </cell>
          <cell r="BP53" t="str">
            <v>-</v>
          </cell>
        </row>
        <row r="54">
          <cell r="A54">
            <v>49</v>
          </cell>
          <cell r="B54" t="str">
            <v>E.TH.FS-062</v>
          </cell>
          <cell r="C54" t="str">
            <v>Termohigrômetro Digital</v>
          </cell>
          <cell r="D54" t="str">
            <v>Elus</v>
          </cell>
          <cell r="E54" t="str">
            <v>RBC - CAL 0439</v>
          </cell>
          <cell r="F54" t="str">
            <v>E0135/25</v>
          </cell>
          <cell r="G54">
            <v>45733</v>
          </cell>
          <cell r="H54">
            <v>46112</v>
          </cell>
          <cell r="I54" t="str">
            <v>°C</v>
          </cell>
          <cell r="J54" t="str">
            <v>OUT</v>
          </cell>
          <cell r="K54" t="str">
            <v>NA</v>
          </cell>
          <cell r="L54">
            <v>15</v>
          </cell>
          <cell r="M54">
            <v>35</v>
          </cell>
          <cell r="N54">
            <v>0.1</v>
          </cell>
          <cell r="O54">
            <v>0.89999999999999858</v>
          </cell>
          <cell r="P54">
            <v>0.2</v>
          </cell>
          <cell r="Q54">
            <v>0.89999999999999858</v>
          </cell>
          <cell r="R54">
            <v>8.3314531827818783E-2</v>
          </cell>
          <cell r="S54">
            <v>1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1.0203727484121747</v>
          </cell>
          <cell r="AB54">
            <v>0.17092978863708197</v>
          </cell>
          <cell r="AC54">
            <v>15</v>
          </cell>
          <cell r="AD54">
            <v>0.2</v>
          </cell>
          <cell r="AE54">
            <v>2</v>
          </cell>
          <cell r="AF54">
            <v>1000000</v>
          </cell>
          <cell r="AG54">
            <v>25</v>
          </cell>
          <cell r="AH54">
            <v>0.2</v>
          </cell>
          <cell r="AI54">
            <v>2</v>
          </cell>
          <cell r="AJ54">
            <v>1000000</v>
          </cell>
          <cell r="AK54">
            <v>35</v>
          </cell>
          <cell r="AL54">
            <v>0.2</v>
          </cell>
          <cell r="AM54">
            <v>2</v>
          </cell>
          <cell r="AN54">
            <v>1000000</v>
          </cell>
          <cell r="AO54" t="str">
            <v>-</v>
          </cell>
          <cell r="AP54" t="str">
            <v>-</v>
          </cell>
          <cell r="AQ54" t="str">
            <v>-</v>
          </cell>
          <cell r="AR54" t="str">
            <v>-</v>
          </cell>
          <cell r="AS54" t="str">
            <v>-</v>
          </cell>
          <cell r="AT54" t="str">
            <v>-</v>
          </cell>
          <cell r="AU54" t="str">
            <v>-</v>
          </cell>
          <cell r="AV54" t="str">
            <v>-</v>
          </cell>
          <cell r="AW54" t="str">
            <v>-</v>
          </cell>
          <cell r="AX54" t="str">
            <v>-</v>
          </cell>
          <cell r="AY54" t="str">
            <v>-</v>
          </cell>
          <cell r="AZ54" t="str">
            <v>-</v>
          </cell>
          <cell r="BA54" t="str">
            <v>-</v>
          </cell>
          <cell r="BB54" t="str">
            <v>-</v>
          </cell>
          <cell r="BC54" t="str">
            <v>-</v>
          </cell>
          <cell r="BD54" t="str">
            <v>-</v>
          </cell>
          <cell r="BE54" t="str">
            <v>-</v>
          </cell>
          <cell r="BF54" t="str">
            <v>-</v>
          </cell>
          <cell r="BG54" t="str">
            <v>-</v>
          </cell>
          <cell r="BH54" t="str">
            <v>-</v>
          </cell>
          <cell r="BI54" t="str">
            <v>-</v>
          </cell>
          <cell r="BJ54" t="str">
            <v>-</v>
          </cell>
          <cell r="BK54" t="str">
            <v>-</v>
          </cell>
          <cell r="BL54" t="str">
            <v>-</v>
          </cell>
          <cell r="BM54" t="str">
            <v>-</v>
          </cell>
          <cell r="BN54" t="str">
            <v>-</v>
          </cell>
          <cell r="BO54" t="str">
            <v>-</v>
          </cell>
          <cell r="BP54" t="str">
            <v>-</v>
          </cell>
        </row>
        <row r="55">
          <cell r="A55">
            <v>50</v>
          </cell>
          <cell r="B55" t="str">
            <v>E.TH.LQ-014</v>
          </cell>
          <cell r="C55" t="str">
            <v>Termômetro digital</v>
          </cell>
          <cell r="D55" t="str">
            <v>Elus</v>
          </cell>
          <cell r="E55" t="str">
            <v>RBC - CAL 0439</v>
          </cell>
          <cell r="F55" t="str">
            <v>E0690/25</v>
          </cell>
          <cell r="G55">
            <v>45936</v>
          </cell>
          <cell r="H55">
            <v>46325</v>
          </cell>
          <cell r="I55" t="str">
            <v>°C</v>
          </cell>
          <cell r="J55" t="str">
            <v>Contato</v>
          </cell>
          <cell r="K55" t="str">
            <v>Termoresisitivo</v>
          </cell>
          <cell r="L55">
            <v>-50</v>
          </cell>
          <cell r="M55">
            <v>157</v>
          </cell>
          <cell r="N55">
            <v>1E-3</v>
          </cell>
          <cell r="O55">
            <v>9.9999999999909051E-3</v>
          </cell>
          <cell r="P55">
            <v>7.0000000000000007E-2</v>
          </cell>
          <cell r="Q55">
            <v>5.000000000002558E-3</v>
          </cell>
          <cell r="R55">
            <v>6.3278394842214425E-4</v>
          </cell>
          <cell r="S55">
            <v>5</v>
          </cell>
          <cell r="T55">
            <v>0</v>
          </cell>
          <cell r="U55">
            <v>0</v>
          </cell>
          <cell r="V55">
            <v>0</v>
          </cell>
          <cell r="W55">
            <v>1.9539421437394654E-12</v>
          </cell>
          <cell r="X55">
            <v>-6.603597612334712E-10</v>
          </cell>
          <cell r="Y55">
            <v>4.5493816987768065E-8</v>
          </cell>
          <cell r="Z55">
            <v>3.0116821298574957E-6</v>
          </cell>
          <cell r="AA55">
            <v>0.99985343512341907</v>
          </cell>
          <cell r="AB55">
            <v>-4.4497444626772735E-3</v>
          </cell>
          <cell r="AC55">
            <v>-50</v>
          </cell>
          <cell r="AD55">
            <v>7.0000000000000007E-2</v>
          </cell>
          <cell r="AE55">
            <v>2</v>
          </cell>
          <cell r="AF55">
            <v>1000000</v>
          </cell>
          <cell r="AG55">
            <v>-25.003</v>
          </cell>
          <cell r="AH55">
            <v>0.03</v>
          </cell>
          <cell r="AI55">
            <v>2</v>
          </cell>
          <cell r="AJ55">
            <v>1000000</v>
          </cell>
          <cell r="AK55">
            <v>1E-3</v>
          </cell>
          <cell r="AL55">
            <v>0.03</v>
          </cell>
          <cell r="AM55">
            <v>2</v>
          </cell>
          <cell r="AN55">
            <v>1000000</v>
          </cell>
          <cell r="AO55">
            <v>10.000999999999999</v>
          </cell>
          <cell r="AP55">
            <v>0.03</v>
          </cell>
          <cell r="AQ55">
            <v>2</v>
          </cell>
          <cell r="AR55">
            <v>1000000</v>
          </cell>
          <cell r="AS55">
            <v>40</v>
          </cell>
          <cell r="AT55">
            <v>0.03</v>
          </cell>
          <cell r="AU55">
            <v>2</v>
          </cell>
          <cell r="AV55">
            <v>1000000</v>
          </cell>
          <cell r="AW55">
            <v>99.998999999999995</v>
          </cell>
          <cell r="AX55">
            <v>0.03</v>
          </cell>
          <cell r="AY55">
            <v>2</v>
          </cell>
          <cell r="AZ55">
            <v>1000000</v>
          </cell>
          <cell r="BA55">
            <v>157</v>
          </cell>
          <cell r="BB55">
            <v>0.05</v>
          </cell>
          <cell r="BC55">
            <v>2</v>
          </cell>
          <cell r="BD55">
            <v>1000000</v>
          </cell>
          <cell r="BE55" t="str">
            <v>-</v>
          </cell>
          <cell r="BF55" t="str">
            <v>-</v>
          </cell>
          <cell r="BG55" t="str">
            <v>-</v>
          </cell>
          <cell r="BH55" t="str">
            <v>-</v>
          </cell>
          <cell r="BI55" t="str">
            <v>-</v>
          </cell>
          <cell r="BJ55" t="str">
            <v>-</v>
          </cell>
          <cell r="BK55" t="str">
            <v>-</v>
          </cell>
          <cell r="BL55" t="str">
            <v>-</v>
          </cell>
          <cell r="BM55" t="str">
            <v>-</v>
          </cell>
          <cell r="BN55" t="str">
            <v>-</v>
          </cell>
          <cell r="BO55" t="str">
            <v>-</v>
          </cell>
          <cell r="BP55" t="str">
            <v>-</v>
          </cell>
        </row>
        <row r="56">
          <cell r="A56">
            <v>51</v>
          </cell>
          <cell r="B56" t="str">
            <v>-</v>
          </cell>
          <cell r="C56" t="str">
            <v>-</v>
          </cell>
          <cell r="D56" t="str">
            <v>-</v>
          </cell>
          <cell r="E56" t="str">
            <v>-</v>
          </cell>
          <cell r="F56" t="str">
            <v>-</v>
          </cell>
          <cell r="G56" t="str">
            <v>-</v>
          </cell>
          <cell r="H56" t="str">
            <v>-</v>
          </cell>
          <cell r="I56" t="str">
            <v>-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-</v>
          </cell>
          <cell r="O56" t="str">
            <v>-</v>
          </cell>
          <cell r="P56" t="str">
            <v>-</v>
          </cell>
          <cell r="Q56" t="str">
            <v>-</v>
          </cell>
          <cell r="R56" t="str">
            <v>-</v>
          </cell>
          <cell r="S56" t="str">
            <v>-</v>
          </cell>
          <cell r="T56" t="str">
            <v>-</v>
          </cell>
          <cell r="U56" t="str">
            <v>-</v>
          </cell>
          <cell r="V56" t="str">
            <v>-</v>
          </cell>
          <cell r="W56" t="str">
            <v>-</v>
          </cell>
          <cell r="X56" t="str">
            <v>-</v>
          </cell>
          <cell r="Y56" t="str">
            <v>-</v>
          </cell>
          <cell r="Z56" t="str">
            <v>-</v>
          </cell>
          <cell r="AA56" t="str">
            <v>-</v>
          </cell>
          <cell r="AB56" t="str">
            <v>-</v>
          </cell>
          <cell r="AC56" t="str">
            <v>-</v>
          </cell>
          <cell r="AD56" t="str">
            <v>-</v>
          </cell>
          <cell r="AE56" t="str">
            <v>-</v>
          </cell>
          <cell r="AF56" t="str">
            <v>-</v>
          </cell>
          <cell r="AG56" t="str">
            <v>-</v>
          </cell>
          <cell r="AH56" t="str">
            <v>-</v>
          </cell>
          <cell r="AI56" t="str">
            <v>-</v>
          </cell>
          <cell r="AJ56" t="str">
            <v>-</v>
          </cell>
          <cell r="AK56" t="str">
            <v>-</v>
          </cell>
          <cell r="AL56" t="str">
            <v>-</v>
          </cell>
          <cell r="AM56" t="str">
            <v>-</v>
          </cell>
          <cell r="AN56" t="str">
            <v>-</v>
          </cell>
          <cell r="AO56" t="str">
            <v>-</v>
          </cell>
          <cell r="AP56" t="str">
            <v>-</v>
          </cell>
          <cell r="AQ56" t="str">
            <v>-</v>
          </cell>
          <cell r="AR56" t="str">
            <v>-</v>
          </cell>
          <cell r="AS56" t="str">
            <v>-</v>
          </cell>
          <cell r="AT56" t="str">
            <v>-</v>
          </cell>
          <cell r="AU56" t="str">
            <v>-</v>
          </cell>
          <cell r="AV56" t="str">
            <v>-</v>
          </cell>
          <cell r="AW56" t="str">
            <v>-</v>
          </cell>
          <cell r="AX56" t="str">
            <v>-</v>
          </cell>
          <cell r="AY56" t="str">
            <v>-</v>
          </cell>
          <cell r="AZ56" t="str">
            <v>-</v>
          </cell>
          <cell r="BA56" t="str">
            <v>-</v>
          </cell>
          <cell r="BB56" t="str">
            <v>-</v>
          </cell>
          <cell r="BC56" t="str">
            <v>-</v>
          </cell>
          <cell r="BD56" t="str">
            <v>-</v>
          </cell>
          <cell r="BE56" t="str">
            <v>-</v>
          </cell>
          <cell r="BF56" t="str">
            <v>-</v>
          </cell>
          <cell r="BG56" t="str">
            <v>-</v>
          </cell>
          <cell r="BH56" t="str">
            <v>-</v>
          </cell>
          <cell r="BI56" t="str">
            <v>-</v>
          </cell>
          <cell r="BJ56" t="str">
            <v>-</v>
          </cell>
          <cell r="BK56" t="str">
            <v>-</v>
          </cell>
          <cell r="BL56" t="str">
            <v>-</v>
          </cell>
          <cell r="BM56" t="str">
            <v>-</v>
          </cell>
          <cell r="BN56" t="str">
            <v>-</v>
          </cell>
          <cell r="BO56" t="str">
            <v>-</v>
          </cell>
          <cell r="BP56" t="str">
            <v>-</v>
          </cell>
        </row>
        <row r="57">
          <cell r="A57">
            <v>52</v>
          </cell>
          <cell r="B57" t="str">
            <v>E.TH.LV-001</v>
          </cell>
          <cell r="C57" t="str">
            <v>Termômetro digital</v>
          </cell>
          <cell r="D57" t="str">
            <v>Elus</v>
          </cell>
          <cell r="E57" t="str">
            <v>RBC - CAL 0439</v>
          </cell>
          <cell r="F57" t="str">
            <v>E0399/25</v>
          </cell>
          <cell r="G57">
            <v>45836</v>
          </cell>
          <cell r="H57">
            <v>46203</v>
          </cell>
          <cell r="I57" t="str">
            <v>°C</v>
          </cell>
          <cell r="J57" t="str">
            <v>Contato</v>
          </cell>
          <cell r="K57" t="str">
            <v>Termoresisitivo</v>
          </cell>
          <cell r="L57">
            <v>15</v>
          </cell>
          <cell r="M57">
            <v>40.002000000000002</v>
          </cell>
          <cell r="N57">
            <v>1E-3</v>
          </cell>
          <cell r="O57">
            <v>0.23900000000000077</v>
          </cell>
          <cell r="P57">
            <v>4.8000000000000001E-2</v>
          </cell>
          <cell r="Q57">
            <v>2.7000000000001023E-2</v>
          </cell>
          <cell r="R57">
            <v>5.1886549696009143E-3</v>
          </cell>
          <cell r="S57">
            <v>3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1.6911223619590508E-5</v>
          </cell>
          <cell r="Z57">
            <v>-1.5263360444481445E-3</v>
          </cell>
          <cell r="AA57">
            <v>1.0449836023001366</v>
          </cell>
          <cell r="AB57">
            <v>-0.62912706961162201</v>
          </cell>
          <cell r="AC57">
            <v>15</v>
          </cell>
          <cell r="AD57">
            <v>4.8000000000000001E-2</v>
          </cell>
          <cell r="AE57">
            <v>2</v>
          </cell>
          <cell r="AF57">
            <v>1000000</v>
          </cell>
          <cell r="AG57">
            <v>20.001999999999999</v>
          </cell>
          <cell r="AH57">
            <v>4.8000000000000001E-2</v>
          </cell>
          <cell r="AI57">
            <v>2</v>
          </cell>
          <cell r="AJ57">
            <v>1000000</v>
          </cell>
          <cell r="AK57">
            <v>25.001999999999999</v>
          </cell>
          <cell r="AL57">
            <v>4.8000000000000001E-2</v>
          </cell>
          <cell r="AM57">
            <v>2</v>
          </cell>
          <cell r="AN57">
            <v>1000000</v>
          </cell>
          <cell r="AO57">
            <v>30</v>
          </cell>
          <cell r="AP57">
            <v>4.8000000000000001E-2</v>
          </cell>
          <cell r="AQ57">
            <v>2</v>
          </cell>
          <cell r="AR57">
            <v>1000000</v>
          </cell>
          <cell r="AS57">
            <v>40.002000000000002</v>
          </cell>
          <cell r="AT57">
            <v>4.8000000000000001E-2</v>
          </cell>
          <cell r="AU57">
            <v>2</v>
          </cell>
          <cell r="AV57">
            <v>1000000</v>
          </cell>
          <cell r="AW57" t="str">
            <v>-</v>
          </cell>
          <cell r="AX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 t="str">
            <v>-</v>
          </cell>
          <cell r="BD57" t="str">
            <v>-</v>
          </cell>
          <cell r="BE57" t="str">
            <v>-</v>
          </cell>
          <cell r="BF57" t="str">
            <v>-</v>
          </cell>
          <cell r="BG57" t="str">
            <v>-</v>
          </cell>
          <cell r="BH57" t="str">
            <v>-</v>
          </cell>
          <cell r="BI57" t="str">
            <v>-</v>
          </cell>
          <cell r="BJ57" t="str">
            <v>-</v>
          </cell>
          <cell r="BK57" t="str">
            <v>-</v>
          </cell>
          <cell r="BL57" t="str">
            <v>-</v>
          </cell>
          <cell r="BM57" t="str">
            <v>-</v>
          </cell>
          <cell r="BN57" t="str">
            <v>-</v>
          </cell>
          <cell r="BO57" t="str">
            <v>-</v>
          </cell>
          <cell r="BP57" t="str">
            <v>-</v>
          </cell>
        </row>
        <row r="58">
          <cell r="A58">
            <v>53</v>
          </cell>
          <cell r="B58" t="str">
            <v>E.TH.LT-025</v>
          </cell>
          <cell r="C58" t="str">
            <v>Termohigrômetro Digital</v>
          </cell>
          <cell r="D58" t="str">
            <v>Elus</v>
          </cell>
          <cell r="E58" t="str">
            <v>RBC - CAL 0439</v>
          </cell>
          <cell r="F58" t="str">
            <v>E0201/25</v>
          </cell>
          <cell r="G58">
            <v>45761</v>
          </cell>
          <cell r="H58">
            <v>46142</v>
          </cell>
          <cell r="I58" t="str">
            <v>°C</v>
          </cell>
          <cell r="J58" t="str">
            <v>IN</v>
          </cell>
          <cell r="K58" t="str">
            <v>NA</v>
          </cell>
          <cell r="L58">
            <v>15</v>
          </cell>
          <cell r="M58">
            <v>35</v>
          </cell>
          <cell r="N58">
            <v>0.1</v>
          </cell>
          <cell r="O58">
            <v>0.20000000000000284</v>
          </cell>
          <cell r="P58">
            <v>0.1</v>
          </cell>
          <cell r="Q58">
            <v>0.20000000000000284</v>
          </cell>
          <cell r="R58">
            <v>8.2472999666906688E-2</v>
          </cell>
          <cell r="S58">
            <v>1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1.0100666575976056</v>
          </cell>
          <cell r="AB58">
            <v>-0.11699088559378978</v>
          </cell>
          <cell r="AC58">
            <v>15</v>
          </cell>
          <cell r="AD58">
            <v>0.1</v>
          </cell>
          <cell r="AE58">
            <v>2</v>
          </cell>
          <cell r="AF58">
            <v>1000000</v>
          </cell>
          <cell r="AG58">
            <v>25</v>
          </cell>
          <cell r="AH58">
            <v>0.1</v>
          </cell>
          <cell r="AI58">
            <v>2</v>
          </cell>
          <cell r="AJ58">
            <v>1000000</v>
          </cell>
          <cell r="AK58">
            <v>35</v>
          </cell>
          <cell r="AL58">
            <v>0.1</v>
          </cell>
          <cell r="AM58">
            <v>2</v>
          </cell>
          <cell r="AN58">
            <v>1000000</v>
          </cell>
          <cell r="AO58" t="str">
            <v>-</v>
          </cell>
          <cell r="AP58" t="str">
            <v>-</v>
          </cell>
          <cell r="AQ58" t="str">
            <v>-</v>
          </cell>
          <cell r="AR58" t="str">
            <v>-</v>
          </cell>
          <cell r="AS58" t="str">
            <v>-</v>
          </cell>
          <cell r="AT58" t="str">
            <v>-</v>
          </cell>
          <cell r="AU58" t="str">
            <v>-</v>
          </cell>
          <cell r="AV58" t="str">
            <v>-</v>
          </cell>
          <cell r="AW58" t="str">
            <v>-</v>
          </cell>
          <cell r="AX58" t="str">
            <v>-</v>
          </cell>
          <cell r="AY58" t="str">
            <v>-</v>
          </cell>
          <cell r="AZ58" t="str">
            <v>-</v>
          </cell>
          <cell r="BA58" t="str">
            <v>-</v>
          </cell>
          <cell r="BB58" t="str">
            <v>-</v>
          </cell>
          <cell r="BC58" t="str">
            <v>-</v>
          </cell>
          <cell r="BD58" t="str">
            <v>-</v>
          </cell>
          <cell r="BE58" t="str">
            <v>-</v>
          </cell>
          <cell r="BF58" t="str">
            <v>-</v>
          </cell>
          <cell r="BG58" t="str">
            <v>-</v>
          </cell>
          <cell r="BH58" t="str">
            <v>-</v>
          </cell>
          <cell r="BI58" t="str">
            <v>-</v>
          </cell>
          <cell r="BJ58" t="str">
            <v>-</v>
          </cell>
          <cell r="BK58" t="str">
            <v>-</v>
          </cell>
          <cell r="BL58" t="str">
            <v>-</v>
          </cell>
          <cell r="BM58" t="str">
            <v>-</v>
          </cell>
          <cell r="BN58" t="str">
            <v>-</v>
          </cell>
          <cell r="BO58" t="str">
            <v>-</v>
          </cell>
          <cell r="BP58" t="str">
            <v>-</v>
          </cell>
        </row>
        <row r="59">
          <cell r="A59">
            <v>54</v>
          </cell>
          <cell r="B59" t="str">
            <v>E.TH.LP-001</v>
          </cell>
          <cell r="C59" t="str">
            <v>Termohigrômetro Digital</v>
          </cell>
          <cell r="D59" t="str">
            <v>Elus</v>
          </cell>
          <cell r="E59" t="str">
            <v>RBC - CAL 0439</v>
          </cell>
          <cell r="F59" t="str">
            <v>E0396A/25</v>
          </cell>
          <cell r="G59">
            <v>45836</v>
          </cell>
          <cell r="H59">
            <v>46203</v>
          </cell>
          <cell r="I59" t="str">
            <v>°C</v>
          </cell>
          <cell r="J59" t="str">
            <v>OUT</v>
          </cell>
          <cell r="K59" t="str">
            <v>NA</v>
          </cell>
          <cell r="L59">
            <v>15</v>
          </cell>
          <cell r="M59">
            <v>35</v>
          </cell>
          <cell r="N59">
            <v>0.1</v>
          </cell>
          <cell r="O59">
            <v>0.10000000000000142</v>
          </cell>
          <cell r="P59">
            <v>0.1</v>
          </cell>
          <cell r="Q59">
            <v>0</v>
          </cell>
          <cell r="R59">
            <v>3.5527136788005009E-15</v>
          </cell>
          <cell r="S59">
            <v>1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1.0000000000000002</v>
          </cell>
          <cell r="AB59">
            <v>9.9999999999997868E-2</v>
          </cell>
          <cell r="AC59">
            <v>15</v>
          </cell>
          <cell r="AD59">
            <v>0.1</v>
          </cell>
          <cell r="AE59">
            <v>2</v>
          </cell>
          <cell r="AF59">
            <v>1000000</v>
          </cell>
          <cell r="AG59">
            <v>25</v>
          </cell>
          <cell r="AH59">
            <v>0.1</v>
          </cell>
          <cell r="AI59">
            <v>2</v>
          </cell>
          <cell r="AJ59">
            <v>1000000</v>
          </cell>
          <cell r="AK59">
            <v>35</v>
          </cell>
          <cell r="AL59">
            <v>0.1</v>
          </cell>
          <cell r="AM59">
            <v>2</v>
          </cell>
          <cell r="AN59">
            <v>1000000</v>
          </cell>
          <cell r="AO59" t="str">
            <v>-</v>
          </cell>
          <cell r="AP59" t="str">
            <v>-</v>
          </cell>
          <cell r="AQ59" t="str">
            <v>-</v>
          </cell>
          <cell r="AR59" t="str">
            <v>-</v>
          </cell>
          <cell r="AS59" t="str">
            <v>-</v>
          </cell>
          <cell r="AT59" t="str">
            <v>-</v>
          </cell>
          <cell r="AU59" t="str">
            <v>-</v>
          </cell>
          <cell r="AV59" t="str">
            <v>-</v>
          </cell>
          <cell r="AW59" t="str">
            <v>-</v>
          </cell>
          <cell r="AX59" t="str">
            <v>-</v>
          </cell>
          <cell r="AY59" t="str">
            <v>-</v>
          </cell>
          <cell r="AZ59" t="str">
            <v>-</v>
          </cell>
          <cell r="BA59" t="str">
            <v>-</v>
          </cell>
          <cell r="BB59" t="str">
            <v>-</v>
          </cell>
          <cell r="BC59" t="str">
            <v>-</v>
          </cell>
          <cell r="BD59" t="str">
            <v>-</v>
          </cell>
          <cell r="BE59" t="str">
            <v>-</v>
          </cell>
          <cell r="BF59" t="str">
            <v>-</v>
          </cell>
          <cell r="BG59" t="str">
            <v>-</v>
          </cell>
          <cell r="BH59" t="str">
            <v>-</v>
          </cell>
          <cell r="BI59" t="str">
            <v>-</v>
          </cell>
          <cell r="BJ59" t="str">
            <v>-</v>
          </cell>
          <cell r="BK59" t="str">
            <v>-</v>
          </cell>
          <cell r="BL59" t="str">
            <v>-</v>
          </cell>
          <cell r="BM59" t="str">
            <v>-</v>
          </cell>
          <cell r="BN59" t="str">
            <v>-</v>
          </cell>
          <cell r="BO59" t="str">
            <v>-</v>
          </cell>
          <cell r="BP59" t="str">
            <v>-</v>
          </cell>
        </row>
        <row r="60">
          <cell r="A60">
            <v>55</v>
          </cell>
          <cell r="B60" t="str">
            <v>E.TH.LE-002</v>
          </cell>
          <cell r="C60" t="str">
            <v>Termohigrômetro Digital</v>
          </cell>
          <cell r="D60" t="str">
            <v>Elus</v>
          </cell>
          <cell r="E60" t="str">
            <v>RBC - CAL 0439</v>
          </cell>
          <cell r="F60" t="str">
            <v>E0203/25</v>
          </cell>
          <cell r="G60">
            <v>45761</v>
          </cell>
          <cell r="H60">
            <v>46142</v>
          </cell>
          <cell r="I60" t="str">
            <v>°C</v>
          </cell>
          <cell r="J60" t="str">
            <v>IN</v>
          </cell>
          <cell r="K60" t="str">
            <v>NA</v>
          </cell>
          <cell r="L60">
            <v>15</v>
          </cell>
          <cell r="M60">
            <v>35</v>
          </cell>
          <cell r="N60">
            <v>0.1</v>
          </cell>
          <cell r="O60">
            <v>0.20000000000000284</v>
          </cell>
          <cell r="P60">
            <v>0.1</v>
          </cell>
          <cell r="Q60">
            <v>0.20000000000000284</v>
          </cell>
          <cell r="R60">
            <v>3.5527136788005009E-15</v>
          </cell>
          <cell r="S60">
            <v>1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0.99999999999999989</v>
          </cell>
          <cell r="AB60">
            <v>0.20000000000000284</v>
          </cell>
          <cell r="AC60">
            <v>15</v>
          </cell>
          <cell r="AD60">
            <v>0.1</v>
          </cell>
          <cell r="AE60">
            <v>2</v>
          </cell>
          <cell r="AF60">
            <v>1000000</v>
          </cell>
          <cell r="AG60">
            <v>25</v>
          </cell>
          <cell r="AH60">
            <v>0.1</v>
          </cell>
          <cell r="AI60">
            <v>2</v>
          </cell>
          <cell r="AJ60">
            <v>1000000</v>
          </cell>
          <cell r="AK60">
            <v>35</v>
          </cell>
          <cell r="AL60">
            <v>0.1</v>
          </cell>
          <cell r="AM60">
            <v>2</v>
          </cell>
          <cell r="AN60">
            <v>1000000</v>
          </cell>
          <cell r="AO60" t="str">
            <v>-</v>
          </cell>
          <cell r="AP60" t="str">
            <v>-</v>
          </cell>
          <cell r="AQ60" t="str">
            <v>-</v>
          </cell>
          <cell r="AR60" t="str">
            <v>-</v>
          </cell>
          <cell r="AS60" t="str">
            <v>-</v>
          </cell>
          <cell r="AT60" t="str">
            <v>-</v>
          </cell>
          <cell r="AU60" t="str">
            <v>-</v>
          </cell>
          <cell r="AV60" t="str">
            <v>-</v>
          </cell>
          <cell r="AW60" t="str">
            <v>-</v>
          </cell>
          <cell r="AX60" t="str">
            <v>-</v>
          </cell>
          <cell r="AY60" t="str">
            <v>-</v>
          </cell>
          <cell r="AZ60" t="str">
            <v>-</v>
          </cell>
          <cell r="BA60" t="str">
            <v>-</v>
          </cell>
          <cell r="BB60" t="str">
            <v>-</v>
          </cell>
          <cell r="BC60" t="str">
            <v>-</v>
          </cell>
          <cell r="BD60" t="str">
            <v>-</v>
          </cell>
          <cell r="BE60" t="str">
            <v>-</v>
          </cell>
          <cell r="BF60" t="str">
            <v>-</v>
          </cell>
          <cell r="BG60" t="str">
            <v>-</v>
          </cell>
          <cell r="BH60" t="str">
            <v>-</v>
          </cell>
          <cell r="BI60" t="str">
            <v>-</v>
          </cell>
          <cell r="BJ60" t="str">
            <v>-</v>
          </cell>
          <cell r="BK60" t="str">
            <v>-</v>
          </cell>
          <cell r="BL60" t="str">
            <v>-</v>
          </cell>
          <cell r="BM60" t="str">
            <v>-</v>
          </cell>
          <cell r="BN60" t="str">
            <v>-</v>
          </cell>
          <cell r="BO60" t="str">
            <v>-</v>
          </cell>
          <cell r="BP60" t="str">
            <v>-</v>
          </cell>
        </row>
        <row r="61">
          <cell r="A61">
            <v>56</v>
          </cell>
          <cell r="B61" t="str">
            <v>E.TH.LQ-001</v>
          </cell>
          <cell r="C61" t="str">
            <v>Termohigrômetro Digital</v>
          </cell>
          <cell r="D61" t="str">
            <v>Elus</v>
          </cell>
          <cell r="E61" t="str">
            <v>RBC - CAL 0439</v>
          </cell>
          <cell r="F61" t="str">
            <v>E0397A/25</v>
          </cell>
          <cell r="G61">
            <v>45836</v>
          </cell>
          <cell r="H61">
            <v>46203</v>
          </cell>
          <cell r="I61" t="str">
            <v>°C</v>
          </cell>
          <cell r="J61" t="str">
            <v>OUT</v>
          </cell>
          <cell r="K61" t="str">
            <v>NA</v>
          </cell>
          <cell r="L61">
            <v>15</v>
          </cell>
          <cell r="M61">
            <v>35</v>
          </cell>
          <cell r="N61">
            <v>0.1</v>
          </cell>
          <cell r="O61">
            <v>0</v>
          </cell>
          <cell r="P61">
            <v>0.1</v>
          </cell>
          <cell r="Q61">
            <v>0.10000000000000142</v>
          </cell>
          <cell r="R61">
            <v>0</v>
          </cell>
          <cell r="S61">
            <v>1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1.0000000000000002</v>
          </cell>
          <cell r="AB61">
            <v>-7.1054273576010019E-15</v>
          </cell>
          <cell r="AC61">
            <v>15</v>
          </cell>
          <cell r="AD61">
            <v>0.1</v>
          </cell>
          <cell r="AE61">
            <v>2</v>
          </cell>
          <cell r="AF61">
            <v>1000000</v>
          </cell>
          <cell r="AG61">
            <v>25</v>
          </cell>
          <cell r="AH61">
            <v>0.1</v>
          </cell>
          <cell r="AI61">
            <v>2</v>
          </cell>
          <cell r="AJ61">
            <v>1000000</v>
          </cell>
          <cell r="AK61">
            <v>35</v>
          </cell>
          <cell r="AL61">
            <v>0.1</v>
          </cell>
          <cell r="AM61">
            <v>2</v>
          </cell>
          <cell r="AN61">
            <v>1000000</v>
          </cell>
          <cell r="AO61" t="str">
            <v>-</v>
          </cell>
          <cell r="AP61" t="str">
            <v>-</v>
          </cell>
          <cell r="AQ61" t="str">
            <v>-</v>
          </cell>
          <cell r="AR61" t="str">
            <v>-</v>
          </cell>
          <cell r="AS61" t="str">
            <v>-</v>
          </cell>
          <cell r="AT61" t="str">
            <v>-</v>
          </cell>
          <cell r="AU61" t="str">
            <v>-</v>
          </cell>
          <cell r="AV61" t="str">
            <v>-</v>
          </cell>
          <cell r="AW61" t="str">
            <v>-</v>
          </cell>
          <cell r="AX61" t="str">
            <v>-</v>
          </cell>
          <cell r="AY61" t="str">
            <v>-</v>
          </cell>
          <cell r="AZ61" t="str">
            <v>-</v>
          </cell>
          <cell r="BA61" t="str">
            <v>-</v>
          </cell>
          <cell r="BB61" t="str">
            <v>-</v>
          </cell>
          <cell r="BC61" t="str">
            <v>-</v>
          </cell>
          <cell r="BD61" t="str">
            <v>-</v>
          </cell>
          <cell r="BE61" t="str">
            <v>-</v>
          </cell>
          <cell r="BF61" t="str">
            <v>-</v>
          </cell>
          <cell r="BG61" t="str">
            <v>-</v>
          </cell>
          <cell r="BH61" t="str">
            <v>-</v>
          </cell>
          <cell r="BI61" t="str">
            <v>-</v>
          </cell>
          <cell r="BJ61" t="str">
            <v>-</v>
          </cell>
          <cell r="BK61" t="str">
            <v>-</v>
          </cell>
          <cell r="BL61" t="str">
            <v>-</v>
          </cell>
          <cell r="BM61" t="str">
            <v>-</v>
          </cell>
          <cell r="BN61" t="str">
            <v>-</v>
          </cell>
          <cell r="BO61" t="str">
            <v>-</v>
          </cell>
          <cell r="BP61" t="str">
            <v>-</v>
          </cell>
        </row>
        <row r="62">
          <cell r="A62">
            <v>57</v>
          </cell>
          <cell r="B62" t="str">
            <v>E.TH.LQ-019</v>
          </cell>
          <cell r="C62" t="str">
            <v>Termohigrômetro Digital</v>
          </cell>
          <cell r="D62" t="str">
            <v>Elus</v>
          </cell>
          <cell r="E62" t="str">
            <v>RBC - CAL 0439</v>
          </cell>
          <cell r="F62" t="str">
            <v>E0205/25</v>
          </cell>
          <cell r="G62">
            <v>45761</v>
          </cell>
          <cell r="H62">
            <v>46142</v>
          </cell>
          <cell r="I62" t="str">
            <v>°C</v>
          </cell>
          <cell r="J62" t="str">
            <v>IN</v>
          </cell>
          <cell r="K62" t="str">
            <v>NA</v>
          </cell>
          <cell r="L62">
            <v>15</v>
          </cell>
          <cell r="M62">
            <v>35</v>
          </cell>
          <cell r="N62">
            <v>0.1</v>
          </cell>
          <cell r="O62">
            <v>0</v>
          </cell>
          <cell r="P62">
            <v>0.1</v>
          </cell>
          <cell r="Q62">
            <v>0</v>
          </cell>
          <cell r="R62">
            <v>0</v>
          </cell>
          <cell r="S62">
            <v>1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1.0000000000000002</v>
          </cell>
          <cell r="AB62">
            <v>-7.1054273576010019E-15</v>
          </cell>
          <cell r="AC62">
            <v>15</v>
          </cell>
          <cell r="AD62">
            <v>0.1</v>
          </cell>
          <cell r="AE62">
            <v>2</v>
          </cell>
          <cell r="AF62">
            <v>1000000</v>
          </cell>
          <cell r="AG62">
            <v>25</v>
          </cell>
          <cell r="AH62">
            <v>0.1</v>
          </cell>
          <cell r="AI62">
            <v>2</v>
          </cell>
          <cell r="AJ62">
            <v>1000000</v>
          </cell>
          <cell r="AK62">
            <v>35</v>
          </cell>
          <cell r="AL62">
            <v>0.1</v>
          </cell>
          <cell r="AM62">
            <v>2</v>
          </cell>
          <cell r="AN62">
            <v>1000000</v>
          </cell>
          <cell r="AO62" t="str">
            <v>-</v>
          </cell>
          <cell r="AP62" t="str">
            <v>-</v>
          </cell>
          <cell r="AQ62" t="str">
            <v>-</v>
          </cell>
          <cell r="AR62" t="str">
            <v>-</v>
          </cell>
          <cell r="AS62" t="str">
            <v>-</v>
          </cell>
          <cell r="AT62" t="str">
            <v>-</v>
          </cell>
          <cell r="AU62" t="str">
            <v>-</v>
          </cell>
          <cell r="AV62" t="str">
            <v>-</v>
          </cell>
          <cell r="AW62" t="str">
            <v>-</v>
          </cell>
          <cell r="AX62" t="str">
            <v>-</v>
          </cell>
          <cell r="AY62" t="str">
            <v>-</v>
          </cell>
          <cell r="AZ62" t="str">
            <v>-</v>
          </cell>
          <cell r="BA62" t="str">
            <v>-</v>
          </cell>
          <cell r="BB62" t="str">
            <v>-</v>
          </cell>
          <cell r="BC62" t="str">
            <v>-</v>
          </cell>
          <cell r="BD62" t="str">
            <v>-</v>
          </cell>
          <cell r="BE62" t="str">
            <v>-</v>
          </cell>
          <cell r="BF62" t="str">
            <v>-</v>
          </cell>
          <cell r="BG62" t="str">
            <v>-</v>
          </cell>
          <cell r="BH62" t="str">
            <v>-</v>
          </cell>
          <cell r="BI62" t="str">
            <v>-</v>
          </cell>
          <cell r="BJ62" t="str">
            <v>-</v>
          </cell>
          <cell r="BK62" t="str">
            <v>-</v>
          </cell>
          <cell r="BL62" t="str">
            <v>-</v>
          </cell>
          <cell r="BM62" t="str">
            <v>-</v>
          </cell>
          <cell r="BN62" t="str">
            <v>-</v>
          </cell>
          <cell r="BO62" t="str">
            <v>-</v>
          </cell>
          <cell r="BP62" t="str">
            <v>-</v>
          </cell>
        </row>
        <row r="63">
          <cell r="A63">
            <v>58</v>
          </cell>
          <cell r="B63" t="str">
            <v>E.TH.LQ-018</v>
          </cell>
          <cell r="C63" t="str">
            <v>Termohigrômetro Digital</v>
          </cell>
          <cell r="D63" t="str">
            <v>Elus</v>
          </cell>
          <cell r="E63" t="str">
            <v>RBC - CAL 0439</v>
          </cell>
          <cell r="F63" t="str">
            <v>E0204/25</v>
          </cell>
          <cell r="G63">
            <v>45761</v>
          </cell>
          <cell r="H63">
            <v>46142</v>
          </cell>
          <cell r="I63" t="str">
            <v>°C</v>
          </cell>
          <cell r="J63" t="str">
            <v>IN</v>
          </cell>
          <cell r="K63" t="str">
            <v>NA</v>
          </cell>
          <cell r="L63">
            <v>15</v>
          </cell>
          <cell r="M63">
            <v>35</v>
          </cell>
          <cell r="N63">
            <v>0.1</v>
          </cell>
          <cell r="O63">
            <v>0.19999999999999929</v>
          </cell>
          <cell r="P63">
            <v>0.1</v>
          </cell>
          <cell r="Q63">
            <v>0.19999999999999929</v>
          </cell>
          <cell r="R63">
            <v>4.0621552867996513E-2</v>
          </cell>
          <cell r="S63">
            <v>1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0.99501666611662976</v>
          </cell>
          <cell r="AB63">
            <v>0.25725223589980928</v>
          </cell>
          <cell r="AC63">
            <v>15</v>
          </cell>
          <cell r="AD63">
            <v>0.1</v>
          </cell>
          <cell r="AE63">
            <v>2</v>
          </cell>
          <cell r="AF63">
            <v>1000000</v>
          </cell>
          <cell r="AG63">
            <v>25</v>
          </cell>
          <cell r="AH63">
            <v>0.1</v>
          </cell>
          <cell r="AI63">
            <v>2</v>
          </cell>
          <cell r="AJ63">
            <v>1000000</v>
          </cell>
          <cell r="AK63">
            <v>35</v>
          </cell>
          <cell r="AL63">
            <v>0.1</v>
          </cell>
          <cell r="AM63">
            <v>2</v>
          </cell>
          <cell r="AN63">
            <v>1000000</v>
          </cell>
          <cell r="AO63" t="str">
            <v>-</v>
          </cell>
          <cell r="AP63" t="str">
            <v>-</v>
          </cell>
          <cell r="AQ63" t="str">
            <v>-</v>
          </cell>
          <cell r="AR63" t="str">
            <v>-</v>
          </cell>
          <cell r="AS63" t="str">
            <v>-</v>
          </cell>
          <cell r="AT63" t="str">
            <v>-</v>
          </cell>
          <cell r="AU63" t="str">
            <v>-</v>
          </cell>
          <cell r="AV63" t="str">
            <v>-</v>
          </cell>
          <cell r="AW63" t="str">
            <v>-</v>
          </cell>
          <cell r="AX63" t="str">
            <v>-</v>
          </cell>
          <cell r="AY63" t="str">
            <v>-</v>
          </cell>
          <cell r="AZ63" t="str">
            <v>-</v>
          </cell>
          <cell r="BA63" t="str">
            <v>-</v>
          </cell>
          <cell r="BB63" t="str">
            <v>-</v>
          </cell>
          <cell r="BC63" t="str">
            <v>-</v>
          </cell>
          <cell r="BD63" t="str">
            <v>-</v>
          </cell>
          <cell r="BE63" t="str">
            <v>-</v>
          </cell>
          <cell r="BF63" t="str">
            <v>-</v>
          </cell>
          <cell r="BG63" t="str">
            <v>-</v>
          </cell>
          <cell r="BH63" t="str">
            <v>-</v>
          </cell>
          <cell r="BI63" t="str">
            <v>-</v>
          </cell>
          <cell r="BJ63" t="str">
            <v>-</v>
          </cell>
          <cell r="BK63" t="str">
            <v>-</v>
          </cell>
          <cell r="BL63" t="str">
            <v>-</v>
          </cell>
          <cell r="BM63" t="str">
            <v>-</v>
          </cell>
          <cell r="BN63" t="str">
            <v>-</v>
          </cell>
          <cell r="BO63" t="str">
            <v>-</v>
          </cell>
          <cell r="BP63" t="str">
            <v>-</v>
          </cell>
        </row>
        <row r="64">
          <cell r="A64">
            <v>59</v>
          </cell>
          <cell r="B64" t="str">
            <v>E.TH.LQ-002</v>
          </cell>
          <cell r="C64" t="str">
            <v>Termohigrômetro Digital</v>
          </cell>
          <cell r="D64" t="str">
            <v>Elus</v>
          </cell>
          <cell r="E64" t="str">
            <v>RBC - CAL 0439</v>
          </cell>
          <cell r="F64" t="str">
            <v>E0398A/25</v>
          </cell>
          <cell r="G64">
            <v>45836</v>
          </cell>
          <cell r="H64">
            <v>46203</v>
          </cell>
          <cell r="I64" t="str">
            <v>°C</v>
          </cell>
          <cell r="J64" t="str">
            <v>OUT</v>
          </cell>
          <cell r="K64" t="str">
            <v>NA</v>
          </cell>
          <cell r="L64">
            <v>15</v>
          </cell>
          <cell r="M64">
            <v>35</v>
          </cell>
          <cell r="N64">
            <v>0.1</v>
          </cell>
          <cell r="O64">
            <v>0.10000000000000142</v>
          </cell>
          <cell r="P64">
            <v>0.1</v>
          </cell>
          <cell r="Q64">
            <v>0</v>
          </cell>
          <cell r="R64">
            <v>3.5527136788005009E-15</v>
          </cell>
          <cell r="S64">
            <v>1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1.0000000000000002</v>
          </cell>
          <cell r="AB64">
            <v>9.9999999999997868E-2</v>
          </cell>
          <cell r="AC64">
            <v>15</v>
          </cell>
          <cell r="AD64">
            <v>0.1</v>
          </cell>
          <cell r="AE64">
            <v>2</v>
          </cell>
          <cell r="AF64">
            <v>1000000</v>
          </cell>
          <cell r="AG64">
            <v>25</v>
          </cell>
          <cell r="AH64">
            <v>0.1</v>
          </cell>
          <cell r="AI64">
            <v>2</v>
          </cell>
          <cell r="AJ64">
            <v>1000000</v>
          </cell>
          <cell r="AK64">
            <v>35</v>
          </cell>
          <cell r="AL64">
            <v>0.1</v>
          </cell>
          <cell r="AM64">
            <v>2</v>
          </cell>
          <cell r="AN64">
            <v>1000000</v>
          </cell>
          <cell r="AO64" t="str">
            <v>-</v>
          </cell>
          <cell r="AP64" t="str">
            <v>-</v>
          </cell>
          <cell r="AQ64" t="str">
            <v>-</v>
          </cell>
          <cell r="AR64" t="str">
            <v>-</v>
          </cell>
          <cell r="AS64" t="str">
            <v>-</v>
          </cell>
          <cell r="AT64" t="str">
            <v>-</v>
          </cell>
          <cell r="AU64" t="str">
            <v>-</v>
          </cell>
          <cell r="AV64" t="str">
            <v>-</v>
          </cell>
          <cell r="AW64" t="str">
            <v>-</v>
          </cell>
          <cell r="AX64" t="str">
            <v>-</v>
          </cell>
          <cell r="AY64" t="str">
            <v>-</v>
          </cell>
          <cell r="AZ64" t="str">
            <v>-</v>
          </cell>
          <cell r="BA64" t="str">
            <v>-</v>
          </cell>
          <cell r="BB64" t="str">
            <v>-</v>
          </cell>
          <cell r="BC64" t="str">
            <v>-</v>
          </cell>
          <cell r="BD64" t="str">
            <v>-</v>
          </cell>
          <cell r="BE64" t="str">
            <v>-</v>
          </cell>
          <cell r="BF64" t="str">
            <v>-</v>
          </cell>
          <cell r="BG64" t="str">
            <v>-</v>
          </cell>
          <cell r="BH64" t="str">
            <v>-</v>
          </cell>
          <cell r="BI64" t="str">
            <v>-</v>
          </cell>
          <cell r="BJ64" t="str">
            <v>-</v>
          </cell>
          <cell r="BK64" t="str">
            <v>-</v>
          </cell>
          <cell r="BL64" t="str">
            <v>-</v>
          </cell>
          <cell r="BM64" t="str">
            <v>-</v>
          </cell>
          <cell r="BN64" t="str">
            <v>-</v>
          </cell>
          <cell r="BO64" t="str">
            <v>-</v>
          </cell>
          <cell r="BP64" t="str">
            <v>-</v>
          </cell>
        </row>
        <row r="65">
          <cell r="A65">
            <v>60</v>
          </cell>
          <cell r="B65" t="str">
            <v>E.TH.LQ-020</v>
          </cell>
          <cell r="C65" t="str">
            <v>Termohigrômetro Digital</v>
          </cell>
          <cell r="D65" t="str">
            <v>Elus</v>
          </cell>
          <cell r="E65" t="str">
            <v>RBC - CAL 0439</v>
          </cell>
          <cell r="F65" t="str">
            <v>E0206/25</v>
          </cell>
          <cell r="G65">
            <v>45761</v>
          </cell>
          <cell r="H65">
            <v>46142</v>
          </cell>
          <cell r="I65" t="str">
            <v>°C</v>
          </cell>
          <cell r="J65" t="str">
            <v>IN</v>
          </cell>
          <cell r="K65" t="str">
            <v>NA</v>
          </cell>
          <cell r="L65">
            <v>15</v>
          </cell>
          <cell r="M65">
            <v>35</v>
          </cell>
          <cell r="N65">
            <v>0.1</v>
          </cell>
          <cell r="O65">
            <v>0.10000000000000142</v>
          </cell>
          <cell r="P65">
            <v>0.1</v>
          </cell>
          <cell r="Q65">
            <v>0.10000000000000142</v>
          </cell>
          <cell r="R65">
            <v>3.5527136788005009E-15</v>
          </cell>
          <cell r="S65">
            <v>1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1.0000000000000002</v>
          </cell>
          <cell r="AB65">
            <v>9.9999999999997868E-2</v>
          </cell>
          <cell r="AC65">
            <v>15</v>
          </cell>
          <cell r="AD65">
            <v>0.1</v>
          </cell>
          <cell r="AE65">
            <v>2</v>
          </cell>
          <cell r="AF65">
            <v>1000000</v>
          </cell>
          <cell r="AG65">
            <v>25</v>
          </cell>
          <cell r="AH65">
            <v>0.1</v>
          </cell>
          <cell r="AI65">
            <v>2</v>
          </cell>
          <cell r="AJ65">
            <v>1000000</v>
          </cell>
          <cell r="AK65">
            <v>35</v>
          </cell>
          <cell r="AL65">
            <v>0.1</v>
          </cell>
          <cell r="AM65">
            <v>2</v>
          </cell>
          <cell r="AN65">
            <v>1000000</v>
          </cell>
          <cell r="AO65" t="str">
            <v>-</v>
          </cell>
          <cell r="AP65" t="str">
            <v>-</v>
          </cell>
          <cell r="AQ65" t="str">
            <v>-</v>
          </cell>
          <cell r="AR65" t="str">
            <v>-</v>
          </cell>
          <cell r="AS65" t="str">
            <v>-</v>
          </cell>
          <cell r="AT65" t="str">
            <v>-</v>
          </cell>
          <cell r="AU65" t="str">
            <v>-</v>
          </cell>
          <cell r="AV65" t="str">
            <v>-</v>
          </cell>
          <cell r="AW65" t="str">
            <v>-</v>
          </cell>
          <cell r="AX65" t="str">
            <v>-</v>
          </cell>
          <cell r="AY65" t="str">
            <v>-</v>
          </cell>
          <cell r="AZ65" t="str">
            <v>-</v>
          </cell>
          <cell r="BA65" t="str">
            <v>-</v>
          </cell>
          <cell r="BB65" t="str">
            <v>-</v>
          </cell>
          <cell r="BC65" t="str">
            <v>-</v>
          </cell>
          <cell r="BD65" t="str">
            <v>-</v>
          </cell>
          <cell r="BE65" t="str">
            <v>-</v>
          </cell>
          <cell r="BF65" t="str">
            <v>-</v>
          </cell>
          <cell r="BG65" t="str">
            <v>-</v>
          </cell>
          <cell r="BH65" t="str">
            <v>-</v>
          </cell>
          <cell r="BI65" t="str">
            <v>-</v>
          </cell>
          <cell r="BJ65" t="str">
            <v>-</v>
          </cell>
          <cell r="BK65" t="str">
            <v>-</v>
          </cell>
          <cell r="BL65" t="str">
            <v>-</v>
          </cell>
          <cell r="BM65" t="str">
            <v>-</v>
          </cell>
          <cell r="BN65" t="str">
            <v>-</v>
          </cell>
          <cell r="BO65" t="str">
            <v>-</v>
          </cell>
          <cell r="BP65" t="str">
            <v>-</v>
          </cell>
        </row>
        <row r="66">
          <cell r="A66">
            <v>61</v>
          </cell>
          <cell r="B66" t="str">
            <v>E.TH.LM-002</v>
          </cell>
          <cell r="C66" t="str">
            <v>Termohigrômetro Digital</v>
          </cell>
          <cell r="D66" t="str">
            <v>Elus</v>
          </cell>
          <cell r="E66" t="str">
            <v>RBC - CAL 0439</v>
          </cell>
          <cell r="F66" t="str">
            <v>E0211/25</v>
          </cell>
          <cell r="G66">
            <v>45761</v>
          </cell>
          <cell r="H66">
            <v>46142</v>
          </cell>
          <cell r="I66" t="str">
            <v>°C</v>
          </cell>
          <cell r="J66" t="str">
            <v>IN</v>
          </cell>
          <cell r="K66" t="str">
            <v>NA</v>
          </cell>
          <cell r="L66">
            <v>15</v>
          </cell>
          <cell r="M66">
            <v>35</v>
          </cell>
          <cell r="N66">
            <v>0.1</v>
          </cell>
          <cell r="O66">
            <v>0.20000000000000284</v>
          </cell>
          <cell r="P66">
            <v>0.1</v>
          </cell>
          <cell r="Q66">
            <v>0.20000000000000284</v>
          </cell>
          <cell r="R66">
            <v>4.1029806261445145E-2</v>
          </cell>
          <cell r="S66">
            <v>1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1.0050166661055182</v>
          </cell>
          <cell r="AB66">
            <v>8.5855695094494422E-3</v>
          </cell>
          <cell r="AC66">
            <v>15</v>
          </cell>
          <cell r="AD66">
            <v>0.1</v>
          </cell>
          <cell r="AE66">
            <v>2</v>
          </cell>
          <cell r="AF66">
            <v>1000000</v>
          </cell>
          <cell r="AG66">
            <v>25</v>
          </cell>
          <cell r="AH66">
            <v>0.1</v>
          </cell>
          <cell r="AI66">
            <v>2</v>
          </cell>
          <cell r="AJ66">
            <v>1000000</v>
          </cell>
          <cell r="AK66">
            <v>35</v>
          </cell>
          <cell r="AL66">
            <v>0.1</v>
          </cell>
          <cell r="AM66">
            <v>2</v>
          </cell>
          <cell r="AN66">
            <v>1000000</v>
          </cell>
          <cell r="AO66" t="str">
            <v>-</v>
          </cell>
          <cell r="AP66" t="str">
            <v>-</v>
          </cell>
          <cell r="AQ66" t="str">
            <v>-</v>
          </cell>
          <cell r="AR66" t="str">
            <v>-</v>
          </cell>
          <cell r="AS66" t="str">
            <v>-</v>
          </cell>
          <cell r="AT66" t="str">
            <v>-</v>
          </cell>
          <cell r="AU66" t="str">
            <v>-</v>
          </cell>
          <cell r="AV66" t="str">
            <v>-</v>
          </cell>
          <cell r="AW66" t="str">
            <v>-</v>
          </cell>
          <cell r="AX66" t="str">
            <v>-</v>
          </cell>
          <cell r="AY66" t="str">
            <v>-</v>
          </cell>
          <cell r="AZ66" t="str">
            <v>-</v>
          </cell>
          <cell r="BA66" t="str">
            <v>-</v>
          </cell>
          <cell r="BB66" t="str">
            <v>-</v>
          </cell>
          <cell r="BC66" t="str">
            <v>-</v>
          </cell>
          <cell r="BD66" t="str">
            <v>-</v>
          </cell>
          <cell r="BE66" t="str">
            <v>-</v>
          </cell>
          <cell r="BF66" t="str">
            <v>-</v>
          </cell>
          <cell r="BG66" t="str">
            <v>-</v>
          </cell>
          <cell r="BH66" t="str">
            <v>-</v>
          </cell>
          <cell r="BI66" t="str">
            <v>-</v>
          </cell>
          <cell r="BJ66" t="str">
            <v>-</v>
          </cell>
          <cell r="BK66" t="str">
            <v>-</v>
          </cell>
          <cell r="BL66" t="str">
            <v>-</v>
          </cell>
          <cell r="BM66" t="str">
            <v>-</v>
          </cell>
          <cell r="BN66" t="str">
            <v>-</v>
          </cell>
          <cell r="BO66" t="str">
            <v>-</v>
          </cell>
          <cell r="BP66" t="str">
            <v>-</v>
          </cell>
        </row>
        <row r="67">
          <cell r="A67">
            <v>62</v>
          </cell>
          <cell r="B67" t="str">
            <v>E.TH.LV-002</v>
          </cell>
          <cell r="C67" t="str">
            <v>Termohigrômetro Digital</v>
          </cell>
          <cell r="D67" t="str">
            <v>Elus</v>
          </cell>
          <cell r="E67" t="str">
            <v>RBC - CAL 0439</v>
          </cell>
          <cell r="F67" t="str">
            <v>E0400A/25</v>
          </cell>
          <cell r="G67">
            <v>45836</v>
          </cell>
          <cell r="H67">
            <v>46203</v>
          </cell>
          <cell r="I67" t="str">
            <v>°C</v>
          </cell>
          <cell r="J67" t="str">
            <v>OUT</v>
          </cell>
          <cell r="K67" t="str">
            <v>NA</v>
          </cell>
          <cell r="L67">
            <v>15</v>
          </cell>
          <cell r="M67">
            <v>35</v>
          </cell>
          <cell r="N67">
            <v>0.01</v>
          </cell>
          <cell r="O67">
            <v>5.0000000000000711E-2</v>
          </cell>
          <cell r="P67">
            <v>7.0000000000000007E-2</v>
          </cell>
          <cell r="Q67">
            <v>1.0000000000001563E-2</v>
          </cell>
          <cell r="R67">
            <v>1.2204727606484056E-2</v>
          </cell>
          <cell r="S67">
            <v>1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0.99651146509528654</v>
          </cell>
          <cell r="AB67">
            <v>9.7178487268791969E-2</v>
          </cell>
          <cell r="AC67">
            <v>15</v>
          </cell>
          <cell r="AD67">
            <v>7.0000000000000007E-2</v>
          </cell>
          <cell r="AE67">
            <v>2</v>
          </cell>
          <cell r="AF67">
            <v>1000000</v>
          </cell>
          <cell r="AG67">
            <v>25</v>
          </cell>
          <cell r="AH67">
            <v>7.0000000000000007E-2</v>
          </cell>
          <cell r="AI67">
            <v>2</v>
          </cell>
          <cell r="AJ67">
            <v>1000000</v>
          </cell>
          <cell r="AK67">
            <v>35</v>
          </cell>
          <cell r="AL67">
            <v>7.0000000000000007E-2</v>
          </cell>
          <cell r="AM67">
            <v>2</v>
          </cell>
          <cell r="AN67">
            <v>1000000</v>
          </cell>
          <cell r="AO67" t="str">
            <v>-</v>
          </cell>
          <cell r="AP67" t="str">
            <v>-</v>
          </cell>
          <cell r="AQ67" t="str">
            <v>-</v>
          </cell>
          <cell r="AR67" t="str">
            <v>-</v>
          </cell>
          <cell r="AS67" t="str">
            <v>-</v>
          </cell>
          <cell r="AT67" t="str">
            <v>-</v>
          </cell>
          <cell r="AU67" t="str">
            <v>-</v>
          </cell>
          <cell r="AV67" t="str">
            <v>-</v>
          </cell>
          <cell r="AW67" t="str">
            <v>-</v>
          </cell>
          <cell r="AX67" t="str">
            <v>-</v>
          </cell>
          <cell r="AY67" t="str">
            <v>-</v>
          </cell>
          <cell r="AZ67" t="str">
            <v>-</v>
          </cell>
          <cell r="BA67" t="str">
            <v>-</v>
          </cell>
          <cell r="BB67" t="str">
            <v>-</v>
          </cell>
          <cell r="BC67" t="str">
            <v>-</v>
          </cell>
          <cell r="BD67" t="str">
            <v>-</v>
          </cell>
          <cell r="BE67" t="str">
            <v>-</v>
          </cell>
          <cell r="BF67" t="str">
            <v>-</v>
          </cell>
          <cell r="BG67" t="str">
            <v>-</v>
          </cell>
          <cell r="BH67" t="str">
            <v>-</v>
          </cell>
          <cell r="BI67" t="str">
            <v>-</v>
          </cell>
          <cell r="BJ67" t="str">
            <v>-</v>
          </cell>
          <cell r="BK67" t="str">
            <v>-</v>
          </cell>
          <cell r="BL67" t="str">
            <v>-</v>
          </cell>
          <cell r="BM67" t="str">
            <v>-</v>
          </cell>
          <cell r="BN67" t="str">
            <v>-</v>
          </cell>
          <cell r="BO67" t="str">
            <v>-</v>
          </cell>
          <cell r="BP67" t="str">
            <v>-</v>
          </cell>
        </row>
        <row r="68">
          <cell r="A68">
            <v>63</v>
          </cell>
          <cell r="B68" t="str">
            <v>EL-1078</v>
          </cell>
          <cell r="C68" t="str">
            <v>Termohigrômetro Digital</v>
          </cell>
          <cell r="D68" t="str">
            <v>Elus</v>
          </cell>
          <cell r="E68" t="str">
            <v>RBC - CAL 0439</v>
          </cell>
          <cell r="F68" t="str">
            <v>E182312A/23</v>
          </cell>
          <cell r="G68">
            <v>45101</v>
          </cell>
          <cell r="H68">
            <v>45473</v>
          </cell>
          <cell r="I68" t="str">
            <v>°C</v>
          </cell>
          <cell r="J68" t="str">
            <v>Contato</v>
          </cell>
          <cell r="K68" t="str">
            <v>Termoresisitivo</v>
          </cell>
          <cell r="L68">
            <v>10</v>
          </cell>
          <cell r="M68">
            <v>50</v>
          </cell>
          <cell r="N68">
            <v>0.01</v>
          </cell>
          <cell r="O68">
            <v>8.0000000000000071E-2</v>
          </cell>
          <cell r="P68">
            <v>0.12</v>
          </cell>
          <cell r="Q68">
            <v>3.0000000000001137E-2</v>
          </cell>
          <cell r="R68">
            <v>1.6387284373049482E-2</v>
          </cell>
          <cell r="S68">
            <v>1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1.0035119561677259</v>
          </cell>
          <cell r="AB68">
            <v>-0.12208388430124018</v>
          </cell>
          <cell r="AC68">
            <v>10</v>
          </cell>
          <cell r="AD68">
            <v>0.12</v>
          </cell>
          <cell r="AE68">
            <v>2</v>
          </cell>
          <cell r="AF68">
            <v>1000000</v>
          </cell>
          <cell r="AG68">
            <v>30</v>
          </cell>
          <cell r="AH68">
            <v>0.12</v>
          </cell>
          <cell r="AI68">
            <v>2</v>
          </cell>
          <cell r="AJ68">
            <v>1000000</v>
          </cell>
          <cell r="AK68">
            <v>50</v>
          </cell>
          <cell r="AL68">
            <v>0.12</v>
          </cell>
          <cell r="AM68">
            <v>2</v>
          </cell>
          <cell r="AN68">
            <v>1000000</v>
          </cell>
          <cell r="AO68" t="str">
            <v>-</v>
          </cell>
          <cell r="AP68" t="str">
            <v>-</v>
          </cell>
          <cell r="AQ68" t="str">
            <v>-</v>
          </cell>
          <cell r="AR68" t="str">
            <v>-</v>
          </cell>
          <cell r="AS68" t="str">
            <v>-</v>
          </cell>
          <cell r="AT68" t="str">
            <v>-</v>
          </cell>
          <cell r="AU68" t="str">
            <v>-</v>
          </cell>
          <cell r="AV68" t="str">
            <v>-</v>
          </cell>
          <cell r="AW68" t="str">
            <v>-</v>
          </cell>
          <cell r="AX68" t="str">
            <v>-</v>
          </cell>
          <cell r="AY68" t="str">
            <v>-</v>
          </cell>
          <cell r="AZ68" t="str">
            <v>-</v>
          </cell>
          <cell r="BA68" t="str">
            <v>-</v>
          </cell>
          <cell r="BB68" t="str">
            <v>-</v>
          </cell>
          <cell r="BC68" t="str">
            <v>-</v>
          </cell>
          <cell r="BD68" t="str">
            <v>-</v>
          </cell>
          <cell r="BE68" t="str">
            <v>-</v>
          </cell>
          <cell r="BF68" t="str">
            <v>-</v>
          </cell>
          <cell r="BG68" t="str">
            <v>-</v>
          </cell>
          <cell r="BH68" t="str">
            <v>-</v>
          </cell>
          <cell r="BI68" t="str">
            <v>-</v>
          </cell>
          <cell r="BJ68" t="str">
            <v>-</v>
          </cell>
          <cell r="BK68" t="str">
            <v>-</v>
          </cell>
          <cell r="BL68" t="str">
            <v>-</v>
          </cell>
          <cell r="BM68" t="str">
            <v>-</v>
          </cell>
          <cell r="BN68" t="str">
            <v>-</v>
          </cell>
          <cell r="BO68" t="str">
            <v>-</v>
          </cell>
          <cell r="BP68" t="str">
            <v>-</v>
          </cell>
        </row>
        <row r="69">
          <cell r="A69">
            <v>64</v>
          </cell>
          <cell r="B69" t="str">
            <v>E.TH.LT-027</v>
          </cell>
          <cell r="C69" t="str">
            <v>Termômetro Digital</v>
          </cell>
          <cell r="D69" t="str">
            <v>Elus</v>
          </cell>
          <cell r="E69" t="str">
            <v>RBC - CAL 0439</v>
          </cell>
          <cell r="F69" t="str">
            <v>R0040/24</v>
          </cell>
          <cell r="G69">
            <v>45385</v>
          </cell>
          <cell r="H69">
            <v>45777</v>
          </cell>
          <cell r="I69" t="str">
            <v>°C</v>
          </cell>
          <cell r="J69" t="str">
            <v>Contato</v>
          </cell>
          <cell r="K69" t="str">
            <v>Termoresisitivo</v>
          </cell>
          <cell r="L69">
            <v>-45</v>
          </cell>
          <cell r="M69">
            <v>149.999</v>
          </cell>
          <cell r="N69">
            <v>1E-3</v>
          </cell>
          <cell r="O69">
            <v>8.2000000000000739E-2</v>
          </cell>
          <cell r="P69">
            <v>7.0000000000000007E-2</v>
          </cell>
          <cell r="Q69">
            <v>5.700000000000216E-2</v>
          </cell>
          <cell r="R69">
            <v>2.7435170292548605E-2</v>
          </cell>
          <cell r="S69">
            <v>3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6.4645967695308893E-8</v>
          </cell>
          <cell r="Z69">
            <v>-1.1171662039611751E-5</v>
          </cell>
          <cell r="AA69">
            <v>1.0003801697339163</v>
          </cell>
          <cell r="AB69">
            <v>-3.269795950176848E-2</v>
          </cell>
          <cell r="AC69">
            <v>-45</v>
          </cell>
          <cell r="AD69">
            <v>0.02</v>
          </cell>
          <cell r="AE69">
            <v>2</v>
          </cell>
          <cell r="AF69">
            <v>1000000</v>
          </cell>
          <cell r="AG69">
            <v>1.2E-2</v>
          </cell>
          <cell r="AH69">
            <v>7.0000000000000007E-2</v>
          </cell>
          <cell r="AI69">
            <v>2</v>
          </cell>
          <cell r="AJ69">
            <v>1000000</v>
          </cell>
          <cell r="AK69">
            <v>50.003999999999998</v>
          </cell>
          <cell r="AL69">
            <v>0.03</v>
          </cell>
          <cell r="AM69">
            <v>2</v>
          </cell>
          <cell r="AN69">
            <v>1000000</v>
          </cell>
          <cell r="AO69">
            <v>100.005</v>
          </cell>
          <cell r="AP69">
            <v>0.03</v>
          </cell>
          <cell r="AQ69">
            <v>2</v>
          </cell>
          <cell r="AR69">
            <v>1000000</v>
          </cell>
          <cell r="AS69">
            <v>149.999</v>
          </cell>
          <cell r="AT69">
            <v>0.03</v>
          </cell>
          <cell r="AU69">
            <v>2</v>
          </cell>
          <cell r="AV69">
            <v>1000000</v>
          </cell>
          <cell r="AW69" t="str">
            <v>-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-</v>
          </cell>
          <cell r="BD69" t="str">
            <v>-</v>
          </cell>
          <cell r="BE69" t="str">
            <v>-</v>
          </cell>
          <cell r="BF69" t="str">
            <v>-</v>
          </cell>
          <cell r="BG69" t="str">
            <v>-</v>
          </cell>
          <cell r="BH69" t="str">
            <v>-</v>
          </cell>
          <cell r="BI69" t="str">
            <v>-</v>
          </cell>
          <cell r="BJ69" t="str">
            <v>-</v>
          </cell>
          <cell r="BK69" t="str">
            <v>-</v>
          </cell>
          <cell r="BL69" t="str">
            <v>-</v>
          </cell>
          <cell r="BM69" t="str">
            <v>-</v>
          </cell>
          <cell r="BN69" t="str">
            <v>-</v>
          </cell>
          <cell r="BO69" t="str">
            <v>-</v>
          </cell>
          <cell r="BP69" t="str">
            <v>-</v>
          </cell>
        </row>
        <row r="70">
          <cell r="A70">
            <v>65</v>
          </cell>
          <cell r="B70" t="str">
            <v>E.TH.FS-055</v>
          </cell>
          <cell r="C70" t="str">
            <v>Termohigrômetro Digital</v>
          </cell>
          <cell r="D70" t="str">
            <v>Elus</v>
          </cell>
          <cell r="E70" t="str">
            <v>RBC - CAL 0439</v>
          </cell>
          <cell r="F70" t="str">
            <v>E0133/25</v>
          </cell>
          <cell r="G70">
            <v>45733</v>
          </cell>
          <cell r="H70">
            <v>46111</v>
          </cell>
          <cell r="I70" t="str">
            <v>°C</v>
          </cell>
          <cell r="J70" t="str">
            <v>IN</v>
          </cell>
          <cell r="K70" t="str">
            <v>NA</v>
          </cell>
          <cell r="L70">
            <v>15</v>
          </cell>
          <cell r="M70">
            <v>35</v>
          </cell>
          <cell r="N70">
            <v>0.1</v>
          </cell>
          <cell r="O70">
            <v>1</v>
          </cell>
          <cell r="P70">
            <v>0.2</v>
          </cell>
          <cell r="Q70">
            <v>0.40000000000000036</v>
          </cell>
          <cell r="R70">
            <v>0.2182885856067216</v>
          </cell>
          <cell r="S70">
            <v>1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1.0692639042427474</v>
          </cell>
          <cell r="AB70">
            <v>-2.0167346472000887</v>
          </cell>
          <cell r="AC70">
            <v>15</v>
          </cell>
          <cell r="AD70">
            <v>0.2</v>
          </cell>
          <cell r="AE70">
            <v>2</v>
          </cell>
          <cell r="AF70">
            <v>1000000</v>
          </cell>
          <cell r="AG70">
            <v>25</v>
          </cell>
          <cell r="AH70">
            <v>0.2</v>
          </cell>
          <cell r="AI70">
            <v>2</v>
          </cell>
          <cell r="AJ70">
            <v>1000000</v>
          </cell>
          <cell r="AK70">
            <v>35</v>
          </cell>
          <cell r="AL70">
            <v>0.2</v>
          </cell>
          <cell r="AM70">
            <v>2</v>
          </cell>
          <cell r="AN70">
            <v>1000000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-</v>
          </cell>
          <cell r="AS70" t="str">
            <v>-</v>
          </cell>
          <cell r="AT70" t="str">
            <v>-</v>
          </cell>
          <cell r="AU70" t="str">
            <v>-</v>
          </cell>
          <cell r="AV70" t="str">
            <v>-</v>
          </cell>
          <cell r="AW70" t="str">
            <v>-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-</v>
          </cell>
          <cell r="BD70" t="str">
            <v>-</v>
          </cell>
          <cell r="BE70" t="str">
            <v>-</v>
          </cell>
          <cell r="BF70" t="str">
            <v>-</v>
          </cell>
          <cell r="BG70" t="str">
            <v>-</v>
          </cell>
          <cell r="BH70" t="str">
            <v>-</v>
          </cell>
          <cell r="BI70" t="str">
            <v>-</v>
          </cell>
          <cell r="BJ70" t="str">
            <v>-</v>
          </cell>
          <cell r="BK70" t="str">
            <v>-</v>
          </cell>
          <cell r="BL70" t="str">
            <v>-</v>
          </cell>
          <cell r="BM70" t="str">
            <v>-</v>
          </cell>
          <cell r="BN70" t="str">
            <v>-</v>
          </cell>
          <cell r="BO70" t="str">
            <v>-</v>
          </cell>
          <cell r="BP70" t="str">
            <v>-</v>
          </cell>
        </row>
        <row r="71">
          <cell r="A71">
            <v>66</v>
          </cell>
          <cell r="B71" t="str">
            <v>E.TH.FS-055</v>
          </cell>
          <cell r="C71" t="str">
            <v>Termohigrômetro Digital</v>
          </cell>
          <cell r="D71" t="str">
            <v>Elus</v>
          </cell>
          <cell r="E71" t="str">
            <v>RBC - CAL 0439</v>
          </cell>
          <cell r="F71" t="str">
            <v>E0133/25</v>
          </cell>
          <cell r="G71">
            <v>45733</v>
          </cell>
          <cell r="H71">
            <v>46111</v>
          </cell>
          <cell r="I71" t="str">
            <v>°C</v>
          </cell>
          <cell r="J71" t="str">
            <v>OUT</v>
          </cell>
          <cell r="K71" t="str">
            <v>NA</v>
          </cell>
          <cell r="L71">
            <v>15</v>
          </cell>
          <cell r="M71">
            <v>35</v>
          </cell>
          <cell r="N71">
            <v>0.1</v>
          </cell>
          <cell r="O71">
            <v>0.89999999999999858</v>
          </cell>
          <cell r="P71">
            <v>0.2</v>
          </cell>
          <cell r="Q71">
            <v>0.30000000000000071</v>
          </cell>
          <cell r="R71">
            <v>0.17370957108779983</v>
          </cell>
          <cell r="S71">
            <v>1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1.0636692818346407</v>
          </cell>
          <cell r="AB71">
            <v>-1.2017199758599872</v>
          </cell>
          <cell r="AC71">
            <v>15</v>
          </cell>
          <cell r="AD71">
            <v>0.2</v>
          </cell>
          <cell r="AE71">
            <v>2</v>
          </cell>
          <cell r="AF71">
            <v>1000000</v>
          </cell>
          <cell r="AG71">
            <v>25</v>
          </cell>
          <cell r="AH71">
            <v>0.2</v>
          </cell>
          <cell r="AI71">
            <v>2</v>
          </cell>
          <cell r="AJ71">
            <v>1000000</v>
          </cell>
          <cell r="AK71">
            <v>35</v>
          </cell>
          <cell r="AL71">
            <v>0.2</v>
          </cell>
          <cell r="AM71">
            <v>2</v>
          </cell>
          <cell r="AN71">
            <v>1000000</v>
          </cell>
          <cell r="AO71" t="str">
            <v>-</v>
          </cell>
          <cell r="AP71" t="str">
            <v>-</v>
          </cell>
          <cell r="AQ71" t="str">
            <v>-</v>
          </cell>
          <cell r="AR71" t="str">
            <v>-</v>
          </cell>
          <cell r="AS71" t="str">
            <v>-</v>
          </cell>
          <cell r="AT71" t="str">
            <v>-</v>
          </cell>
          <cell r="AU71" t="str">
            <v>-</v>
          </cell>
          <cell r="AV71" t="str">
            <v>-</v>
          </cell>
          <cell r="AW71" t="str">
            <v>-</v>
          </cell>
          <cell r="AX71" t="str">
            <v>-</v>
          </cell>
          <cell r="AY71" t="str">
            <v>-</v>
          </cell>
          <cell r="AZ71" t="str">
            <v>-</v>
          </cell>
          <cell r="BA71" t="str">
            <v>-</v>
          </cell>
          <cell r="BB71" t="str">
            <v>-</v>
          </cell>
          <cell r="BC71" t="str">
            <v>-</v>
          </cell>
          <cell r="BD71" t="str">
            <v>-</v>
          </cell>
          <cell r="BE71" t="str">
            <v>-</v>
          </cell>
          <cell r="BF71" t="str">
            <v>-</v>
          </cell>
          <cell r="BG71" t="str">
            <v>-</v>
          </cell>
          <cell r="BH71" t="str">
            <v>-</v>
          </cell>
          <cell r="BI71" t="str">
            <v>-</v>
          </cell>
          <cell r="BJ71" t="str">
            <v>-</v>
          </cell>
          <cell r="BK71" t="str">
            <v>-</v>
          </cell>
          <cell r="BL71" t="str">
            <v>-</v>
          </cell>
          <cell r="BM71" t="str">
            <v>-</v>
          </cell>
          <cell r="BN71" t="str">
            <v>-</v>
          </cell>
          <cell r="BO71" t="str">
            <v>-</v>
          </cell>
          <cell r="BP71" t="str">
            <v>-</v>
          </cell>
        </row>
        <row r="72">
          <cell r="A72">
            <v>67</v>
          </cell>
          <cell r="B72" t="str">
            <v>EL-1217</v>
          </cell>
          <cell r="C72" t="str">
            <v>Termohigrômetro Digital</v>
          </cell>
          <cell r="D72" t="str">
            <v>Elus</v>
          </cell>
          <cell r="E72" t="str">
            <v>RBC - CAL 0439</v>
          </cell>
          <cell r="F72" t="str">
            <v>R0015/24</v>
          </cell>
          <cell r="G72">
            <v>45373</v>
          </cell>
          <cell r="H72">
            <v>45746</v>
          </cell>
          <cell r="I72" t="str">
            <v>°C</v>
          </cell>
          <cell r="J72" t="str">
            <v>IN</v>
          </cell>
          <cell r="K72" t="str">
            <v>NA</v>
          </cell>
          <cell r="L72">
            <v>15</v>
          </cell>
          <cell r="M72">
            <v>35</v>
          </cell>
          <cell r="N72">
            <v>0.1</v>
          </cell>
          <cell r="O72">
            <v>0.20000000000000284</v>
          </cell>
          <cell r="P72">
            <v>0.2</v>
          </cell>
          <cell r="Q72">
            <v>0.20000000000000284</v>
          </cell>
          <cell r="R72">
            <v>0.12066012742247345</v>
          </cell>
          <cell r="S72">
            <v>1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0.98514995632340085</v>
          </cell>
          <cell r="AB72">
            <v>0.37125109191497785</v>
          </cell>
          <cell r="AC72">
            <v>15</v>
          </cell>
          <cell r="AD72">
            <v>0.2</v>
          </cell>
          <cell r="AE72">
            <v>2</v>
          </cell>
          <cell r="AF72">
            <v>1000000</v>
          </cell>
          <cell r="AG72">
            <v>25</v>
          </cell>
          <cell r="AH72">
            <v>0.2</v>
          </cell>
          <cell r="AI72">
            <v>2</v>
          </cell>
          <cell r="AJ72">
            <v>1000000</v>
          </cell>
          <cell r="AK72">
            <v>35</v>
          </cell>
          <cell r="AL72">
            <v>0.2</v>
          </cell>
          <cell r="AM72">
            <v>2</v>
          </cell>
          <cell r="AN72">
            <v>1000000</v>
          </cell>
          <cell r="AO72" t="str">
            <v>-</v>
          </cell>
          <cell r="AP72" t="str">
            <v>-</v>
          </cell>
          <cell r="AQ72" t="str">
            <v>-</v>
          </cell>
          <cell r="AR72" t="str">
            <v>-</v>
          </cell>
          <cell r="AS72" t="str">
            <v>-</v>
          </cell>
          <cell r="AT72" t="str">
            <v>-</v>
          </cell>
          <cell r="AU72" t="str">
            <v>-</v>
          </cell>
          <cell r="AV72" t="str">
            <v>-</v>
          </cell>
          <cell r="AW72" t="str">
            <v>-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-</v>
          </cell>
          <cell r="BD72" t="str">
            <v>-</v>
          </cell>
          <cell r="BE72" t="str">
            <v>-</v>
          </cell>
          <cell r="BF72" t="str">
            <v>-</v>
          </cell>
          <cell r="BG72" t="str">
            <v>-</v>
          </cell>
          <cell r="BH72" t="str">
            <v>-</v>
          </cell>
          <cell r="BI72" t="str">
            <v>-</v>
          </cell>
          <cell r="BJ72" t="str">
            <v>-</v>
          </cell>
          <cell r="BK72" t="str">
            <v>-</v>
          </cell>
          <cell r="BL72" t="str">
            <v>-</v>
          </cell>
          <cell r="BM72" t="str">
            <v>-</v>
          </cell>
          <cell r="BN72" t="str">
            <v>-</v>
          </cell>
          <cell r="BO72" t="str">
            <v>-</v>
          </cell>
          <cell r="BP72" t="str">
            <v>-</v>
          </cell>
        </row>
        <row r="73">
          <cell r="A73">
            <v>68</v>
          </cell>
          <cell r="B73" t="str">
            <v>EL-1217</v>
          </cell>
          <cell r="C73" t="str">
            <v>Termohigrômetro Digital</v>
          </cell>
          <cell r="D73" t="str">
            <v>Elus</v>
          </cell>
          <cell r="E73" t="str">
            <v>RBC - CAL 0439</v>
          </cell>
          <cell r="F73" t="str">
            <v>R0015/24</v>
          </cell>
          <cell r="G73">
            <v>45373</v>
          </cell>
          <cell r="H73">
            <v>45746</v>
          </cell>
          <cell r="I73" t="str">
            <v>°C</v>
          </cell>
          <cell r="J73" t="str">
            <v>OUT</v>
          </cell>
          <cell r="K73" t="str">
            <v>NA</v>
          </cell>
          <cell r="L73">
            <v>15</v>
          </cell>
          <cell r="M73">
            <v>35</v>
          </cell>
          <cell r="N73">
            <v>0.1</v>
          </cell>
          <cell r="O73">
            <v>0.10000000000000142</v>
          </cell>
          <cell r="P73">
            <v>0.2</v>
          </cell>
          <cell r="Q73">
            <v>0.5</v>
          </cell>
          <cell r="R73">
            <v>0</v>
          </cell>
          <cell r="S73">
            <v>1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1</v>
          </cell>
          <cell r="AB73">
            <v>-0.10000000000000497</v>
          </cell>
          <cell r="AC73">
            <v>15</v>
          </cell>
          <cell r="AD73">
            <v>0.2</v>
          </cell>
          <cell r="AE73">
            <v>2</v>
          </cell>
          <cell r="AF73">
            <v>1000000</v>
          </cell>
          <cell r="AG73">
            <v>25</v>
          </cell>
          <cell r="AH73">
            <v>0.2</v>
          </cell>
          <cell r="AI73">
            <v>2</v>
          </cell>
          <cell r="AJ73">
            <v>1000000</v>
          </cell>
          <cell r="AK73">
            <v>35</v>
          </cell>
          <cell r="AL73">
            <v>0.2</v>
          </cell>
          <cell r="AM73">
            <v>2</v>
          </cell>
          <cell r="AN73">
            <v>1000000</v>
          </cell>
          <cell r="AO73" t="str">
            <v>-</v>
          </cell>
          <cell r="AP73" t="str">
            <v>-</v>
          </cell>
          <cell r="AQ73" t="str">
            <v>-</v>
          </cell>
          <cell r="AR73" t="str">
            <v>-</v>
          </cell>
          <cell r="AS73" t="str">
            <v>-</v>
          </cell>
          <cell r="AT73" t="str">
            <v>-</v>
          </cell>
          <cell r="AU73" t="str">
            <v>-</v>
          </cell>
          <cell r="AV73" t="str">
            <v>-</v>
          </cell>
          <cell r="AW73" t="str">
            <v>-</v>
          </cell>
          <cell r="AX73" t="str">
            <v>-</v>
          </cell>
          <cell r="AY73" t="str">
            <v>-</v>
          </cell>
          <cell r="AZ73" t="str">
            <v>-</v>
          </cell>
          <cell r="BA73" t="str">
            <v>-</v>
          </cell>
          <cell r="BB73" t="str">
            <v>-</v>
          </cell>
          <cell r="BC73" t="str">
            <v>-</v>
          </cell>
          <cell r="BD73" t="str">
            <v>-</v>
          </cell>
          <cell r="BE73" t="str">
            <v>-</v>
          </cell>
          <cell r="BF73" t="str">
            <v>-</v>
          </cell>
          <cell r="BG73" t="str">
            <v>-</v>
          </cell>
          <cell r="BH73" t="str">
            <v>-</v>
          </cell>
          <cell r="BI73" t="str">
            <v>-</v>
          </cell>
          <cell r="BJ73" t="str">
            <v>-</v>
          </cell>
          <cell r="BK73" t="str">
            <v>-</v>
          </cell>
          <cell r="BL73" t="str">
            <v>-</v>
          </cell>
          <cell r="BM73" t="str">
            <v>-</v>
          </cell>
          <cell r="BN73" t="str">
            <v>-</v>
          </cell>
          <cell r="BO73" t="str">
            <v>-</v>
          </cell>
          <cell r="BP73" t="str">
            <v>-</v>
          </cell>
        </row>
        <row r="74">
          <cell r="A74">
            <v>69</v>
          </cell>
          <cell r="B74" t="str">
            <v>EL-1235</v>
          </cell>
          <cell r="C74" t="str">
            <v>Termohigrômetro Digital</v>
          </cell>
          <cell r="D74" t="str">
            <v>Elus</v>
          </cell>
          <cell r="E74" t="str">
            <v>RBC - CAL 0439</v>
          </cell>
          <cell r="F74" t="str">
            <v>E22554/23</v>
          </cell>
          <cell r="G74">
            <v>45100</v>
          </cell>
          <cell r="H74">
            <v>45473</v>
          </cell>
          <cell r="I74" t="str">
            <v>°C</v>
          </cell>
          <cell r="J74" t="str">
            <v>IN</v>
          </cell>
          <cell r="K74" t="str">
            <v>NA</v>
          </cell>
          <cell r="L74">
            <v>15</v>
          </cell>
          <cell r="M74">
            <v>35</v>
          </cell>
          <cell r="N74">
            <v>0.1</v>
          </cell>
          <cell r="O74">
            <v>0.70000000000000284</v>
          </cell>
          <cell r="P74">
            <v>0.2</v>
          </cell>
          <cell r="Q74">
            <v>0.70000000000000284</v>
          </cell>
          <cell r="R74">
            <v>8.2472999666908464E-2</v>
          </cell>
          <cell r="S74">
            <v>1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1.0100666575976061</v>
          </cell>
          <cell r="AB74">
            <v>0.32070466603182624</v>
          </cell>
          <cell r="AC74">
            <v>15</v>
          </cell>
          <cell r="AD74">
            <v>0.2</v>
          </cell>
          <cell r="AE74">
            <v>2</v>
          </cell>
          <cell r="AF74">
            <v>1000000</v>
          </cell>
          <cell r="AG74">
            <v>25</v>
          </cell>
          <cell r="AH74">
            <v>0.2</v>
          </cell>
          <cell r="AI74">
            <v>2</v>
          </cell>
          <cell r="AJ74">
            <v>1000000</v>
          </cell>
          <cell r="AK74">
            <v>35</v>
          </cell>
          <cell r="AL74">
            <v>0.2</v>
          </cell>
          <cell r="AM74">
            <v>2</v>
          </cell>
          <cell r="AN74">
            <v>1000000</v>
          </cell>
          <cell r="AO74" t="str">
            <v>-</v>
          </cell>
          <cell r="AP74" t="str">
            <v>-</v>
          </cell>
          <cell r="AQ74" t="str">
            <v>-</v>
          </cell>
          <cell r="AR74" t="str">
            <v>-</v>
          </cell>
          <cell r="AS74" t="str">
            <v>-</v>
          </cell>
          <cell r="AT74" t="str">
            <v>-</v>
          </cell>
          <cell r="AU74" t="str">
            <v>-</v>
          </cell>
          <cell r="AV74" t="str">
            <v>-</v>
          </cell>
          <cell r="AW74" t="str">
            <v>-</v>
          </cell>
          <cell r="AX74" t="str">
            <v>-</v>
          </cell>
          <cell r="AY74" t="str">
            <v>-</v>
          </cell>
          <cell r="AZ74" t="str">
            <v>-</v>
          </cell>
          <cell r="BA74" t="str">
            <v>-</v>
          </cell>
          <cell r="BB74" t="str">
            <v>-</v>
          </cell>
          <cell r="BC74" t="str">
            <v>-</v>
          </cell>
          <cell r="BD74" t="str">
            <v>-</v>
          </cell>
          <cell r="BE74" t="str">
            <v>-</v>
          </cell>
          <cell r="BF74" t="str">
            <v>-</v>
          </cell>
          <cell r="BG74" t="str">
            <v>-</v>
          </cell>
          <cell r="BH74" t="str">
            <v>-</v>
          </cell>
          <cell r="BI74" t="str">
            <v>-</v>
          </cell>
          <cell r="BJ74" t="str">
            <v>-</v>
          </cell>
          <cell r="BK74" t="str">
            <v>-</v>
          </cell>
          <cell r="BL74" t="str">
            <v>-</v>
          </cell>
          <cell r="BM74" t="str">
            <v>-</v>
          </cell>
          <cell r="BN74" t="str">
            <v>-</v>
          </cell>
          <cell r="BO74" t="str">
            <v>-</v>
          </cell>
          <cell r="BP74" t="str">
            <v>-</v>
          </cell>
        </row>
        <row r="75">
          <cell r="A75">
            <v>70</v>
          </cell>
          <cell r="B75" t="str">
            <v>X.VZ.LV-001</v>
          </cell>
          <cell r="C75" t="str">
            <v>Termômetro Digital</v>
          </cell>
          <cell r="D75" t="str">
            <v>Elus</v>
          </cell>
          <cell r="E75" t="str">
            <v>RBC - CAL 0439</v>
          </cell>
          <cell r="F75" t="str">
            <v>E0375/24</v>
          </cell>
          <cell r="G75">
            <v>45562</v>
          </cell>
          <cell r="H75">
            <v>45930</v>
          </cell>
          <cell r="I75" t="str">
            <v>°C</v>
          </cell>
          <cell r="J75" t="str">
            <v>Contato</v>
          </cell>
          <cell r="K75" t="str">
            <v>NA</v>
          </cell>
          <cell r="L75">
            <v>15</v>
          </cell>
          <cell r="M75">
            <v>40</v>
          </cell>
          <cell r="N75">
            <v>0.1</v>
          </cell>
          <cell r="O75">
            <v>9.9999999999999645E-2</v>
          </cell>
          <cell r="P75">
            <v>0.1</v>
          </cell>
          <cell r="Q75">
            <v>0.10000000000000142</v>
          </cell>
          <cell r="R75">
            <v>1.5094991249587852E-2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4.901821466129524E-5</v>
          </cell>
          <cell r="Z75">
            <v>-4.3956945609396969E-3</v>
          </cell>
          <cell r="AA75">
            <v>1.1269365844524919</v>
          </cell>
          <cell r="AB75">
            <v>-1.1809688319708387</v>
          </cell>
          <cell r="AC75">
            <v>15</v>
          </cell>
          <cell r="AD75">
            <v>0.1</v>
          </cell>
          <cell r="AE75">
            <v>2</v>
          </cell>
          <cell r="AF75">
            <v>1000000</v>
          </cell>
          <cell r="AG75">
            <v>20</v>
          </cell>
          <cell r="AH75">
            <v>0.1</v>
          </cell>
          <cell r="AI75">
            <v>2</v>
          </cell>
          <cell r="AJ75">
            <v>1000000</v>
          </cell>
          <cell r="AK75">
            <v>25</v>
          </cell>
          <cell r="AL75">
            <v>0.1</v>
          </cell>
          <cell r="AM75">
            <v>2</v>
          </cell>
          <cell r="AN75">
            <v>1000000</v>
          </cell>
          <cell r="AO75">
            <v>30</v>
          </cell>
          <cell r="AP75">
            <v>0.1</v>
          </cell>
          <cell r="AQ75">
            <v>2</v>
          </cell>
          <cell r="AR75">
            <v>1000000</v>
          </cell>
          <cell r="AS75">
            <v>40</v>
          </cell>
          <cell r="AT75">
            <v>0.1</v>
          </cell>
          <cell r="AU75">
            <v>2</v>
          </cell>
          <cell r="AV75">
            <v>1000000</v>
          </cell>
          <cell r="AW75" t="str">
            <v>-</v>
          </cell>
          <cell r="AX75" t="str">
            <v>-</v>
          </cell>
          <cell r="AY75" t="str">
            <v>-</v>
          </cell>
          <cell r="AZ75" t="str">
            <v>-</v>
          </cell>
          <cell r="BA75" t="str">
            <v>-</v>
          </cell>
          <cell r="BB75" t="str">
            <v>-</v>
          </cell>
          <cell r="BC75" t="str">
            <v>-</v>
          </cell>
          <cell r="BD75" t="str">
            <v>-</v>
          </cell>
          <cell r="BE75" t="str">
            <v>-</v>
          </cell>
          <cell r="BF75" t="str">
            <v>-</v>
          </cell>
          <cell r="BG75" t="str">
            <v>-</v>
          </cell>
          <cell r="BH75" t="str">
            <v>-</v>
          </cell>
          <cell r="BI75" t="str">
            <v>-</v>
          </cell>
          <cell r="BJ75" t="str">
            <v>-</v>
          </cell>
          <cell r="BK75" t="str">
            <v>-</v>
          </cell>
          <cell r="BL75" t="str">
            <v>-</v>
          </cell>
          <cell r="BM75" t="str">
            <v>-</v>
          </cell>
          <cell r="BN75" t="str">
            <v>-</v>
          </cell>
          <cell r="BO75" t="str">
            <v>-</v>
          </cell>
          <cell r="BP75" t="str">
            <v>-</v>
          </cell>
        </row>
        <row r="76">
          <cell r="A76">
            <v>71</v>
          </cell>
          <cell r="B76" t="str">
            <v>X.VZ.LV-006</v>
          </cell>
          <cell r="C76" t="str">
            <v>Termômetro Digital</v>
          </cell>
          <cell r="D76" t="str">
            <v>Elus</v>
          </cell>
          <cell r="E76" t="str">
            <v>RBC - CAL 0439</v>
          </cell>
          <cell r="F76" t="str">
            <v>E0374/24</v>
          </cell>
          <cell r="G76">
            <v>45562</v>
          </cell>
          <cell r="H76">
            <v>45930</v>
          </cell>
          <cell r="I76" t="str">
            <v>°C</v>
          </cell>
          <cell r="J76" t="str">
            <v>Contato</v>
          </cell>
          <cell r="K76" t="str">
            <v>NA</v>
          </cell>
          <cell r="L76">
            <v>15</v>
          </cell>
          <cell r="M76">
            <v>40</v>
          </cell>
          <cell r="N76">
            <v>0.1</v>
          </cell>
          <cell r="O76">
            <v>0.20000000000000284</v>
          </cell>
          <cell r="P76">
            <v>0.1</v>
          </cell>
          <cell r="Q76">
            <v>0.10000000000000142</v>
          </cell>
          <cell r="R76">
            <v>4.4561050144340753E-2</v>
          </cell>
          <cell r="S76">
            <v>3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1.0777470038413682E-5</v>
          </cell>
          <cell r="Z76">
            <v>-9.1457455802775121E-4</v>
          </cell>
          <cell r="AA76">
            <v>1.0361478765100012</v>
          </cell>
          <cell r="AB76">
            <v>-0.46778813427145477</v>
          </cell>
          <cell r="AC76">
            <v>15</v>
          </cell>
          <cell r="AD76">
            <v>0.1</v>
          </cell>
          <cell r="AE76">
            <v>2</v>
          </cell>
          <cell r="AF76">
            <v>1000000</v>
          </cell>
          <cell r="AG76">
            <v>20</v>
          </cell>
          <cell r="AH76">
            <v>0.1</v>
          </cell>
          <cell r="AI76">
            <v>2</v>
          </cell>
          <cell r="AJ76">
            <v>1000000</v>
          </cell>
          <cell r="AK76">
            <v>25</v>
          </cell>
          <cell r="AL76">
            <v>0.1</v>
          </cell>
          <cell r="AM76">
            <v>2</v>
          </cell>
          <cell r="AN76">
            <v>1000000</v>
          </cell>
          <cell r="AO76">
            <v>30</v>
          </cell>
          <cell r="AP76">
            <v>0.1</v>
          </cell>
          <cell r="AQ76">
            <v>2</v>
          </cell>
          <cell r="AR76">
            <v>1000000</v>
          </cell>
          <cell r="AS76">
            <v>40</v>
          </cell>
          <cell r="AT76">
            <v>0.1</v>
          </cell>
          <cell r="AU76">
            <v>2</v>
          </cell>
          <cell r="AV76">
            <v>1000000</v>
          </cell>
          <cell r="AW76" t="str">
            <v>-</v>
          </cell>
          <cell r="AX76" t="str">
            <v>-</v>
          </cell>
          <cell r="AY76" t="str">
            <v>-</v>
          </cell>
          <cell r="AZ76" t="str">
            <v>-</v>
          </cell>
          <cell r="BA76" t="str">
            <v>-</v>
          </cell>
          <cell r="BB76" t="str">
            <v>-</v>
          </cell>
          <cell r="BC76" t="str">
            <v>-</v>
          </cell>
          <cell r="BD76" t="str">
            <v>-</v>
          </cell>
          <cell r="BE76" t="str">
            <v>-</v>
          </cell>
          <cell r="BF76" t="str">
            <v>-</v>
          </cell>
          <cell r="BG76" t="str">
            <v>-</v>
          </cell>
          <cell r="BH76" t="str">
            <v>-</v>
          </cell>
          <cell r="BI76" t="str">
            <v>-</v>
          </cell>
          <cell r="BJ76" t="str">
            <v>-</v>
          </cell>
          <cell r="BK76" t="str">
            <v>-</v>
          </cell>
          <cell r="BL76" t="str">
            <v>-</v>
          </cell>
          <cell r="BM76" t="str">
            <v>-</v>
          </cell>
          <cell r="BN76" t="str">
            <v>-</v>
          </cell>
          <cell r="BO76" t="str">
            <v>-</v>
          </cell>
          <cell r="BP76" t="str">
            <v>-</v>
          </cell>
        </row>
        <row r="77">
          <cell r="A77">
            <v>72</v>
          </cell>
          <cell r="B77" t="str">
            <v>X.TH.LV-001</v>
          </cell>
          <cell r="C77" t="str">
            <v>Termohigrômetro Digital</v>
          </cell>
          <cell r="D77" t="str">
            <v>Elus</v>
          </cell>
          <cell r="E77" t="str">
            <v>RBC - CAL 0439</v>
          </cell>
          <cell r="F77" t="str">
            <v>E0643A/25</v>
          </cell>
          <cell r="G77">
            <v>45910</v>
          </cell>
          <cell r="H77">
            <v>46295</v>
          </cell>
          <cell r="I77" t="str">
            <v>°C</v>
          </cell>
          <cell r="J77" t="str">
            <v>IN</v>
          </cell>
          <cell r="K77" t="str">
            <v>NA</v>
          </cell>
          <cell r="L77">
            <v>15</v>
          </cell>
          <cell r="M77">
            <v>35</v>
          </cell>
          <cell r="N77">
            <v>0.01</v>
          </cell>
          <cell r="O77">
            <v>3.0000000000001137E-2</v>
          </cell>
          <cell r="P77">
            <v>7.0000000000000007E-2</v>
          </cell>
          <cell r="Q77">
            <v>2.9999999999999361E-2</v>
          </cell>
          <cell r="R77">
            <v>8.1568076435214465E-3</v>
          </cell>
          <cell r="S77">
            <v>1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0.99900066666577958</v>
          </cell>
          <cell r="AB77">
            <v>1.6733177999803672E-3</v>
          </cell>
          <cell r="AC77">
            <v>15</v>
          </cell>
          <cell r="AD77">
            <v>7.0000000000000007E-2</v>
          </cell>
          <cell r="AE77">
            <v>2</v>
          </cell>
          <cell r="AF77">
            <v>1000000</v>
          </cell>
          <cell r="AG77">
            <v>25</v>
          </cell>
          <cell r="AH77">
            <v>7.0000000000000007E-2</v>
          </cell>
          <cell r="AI77">
            <v>2</v>
          </cell>
          <cell r="AJ77">
            <v>1000000</v>
          </cell>
          <cell r="AK77">
            <v>35</v>
          </cell>
          <cell r="AL77">
            <v>7.0000000000000007E-2</v>
          </cell>
          <cell r="AM77">
            <v>2</v>
          </cell>
          <cell r="AN77">
            <v>1000000</v>
          </cell>
          <cell r="AO77" t="str">
            <v>-</v>
          </cell>
          <cell r="AP77" t="str">
            <v>-</v>
          </cell>
          <cell r="AQ77" t="str">
            <v>-</v>
          </cell>
          <cell r="AR77" t="str">
            <v>-</v>
          </cell>
          <cell r="AS77" t="str">
            <v>-</v>
          </cell>
          <cell r="AT77" t="str">
            <v>-</v>
          </cell>
          <cell r="AU77" t="str">
            <v>-</v>
          </cell>
          <cell r="AV77" t="str">
            <v>-</v>
          </cell>
          <cell r="AW77" t="str">
            <v>-</v>
          </cell>
          <cell r="AX77" t="str">
            <v>-</v>
          </cell>
          <cell r="AY77" t="str">
            <v>-</v>
          </cell>
          <cell r="AZ77" t="str">
            <v>-</v>
          </cell>
          <cell r="BA77" t="str">
            <v>-</v>
          </cell>
          <cell r="BB77" t="str">
            <v>-</v>
          </cell>
          <cell r="BC77" t="str">
            <v>-</v>
          </cell>
          <cell r="BD77" t="str">
            <v>-</v>
          </cell>
          <cell r="BE77" t="str">
            <v>-</v>
          </cell>
          <cell r="BF77" t="str">
            <v>-</v>
          </cell>
          <cell r="BG77" t="str">
            <v>-</v>
          </cell>
          <cell r="BH77" t="str">
            <v>-</v>
          </cell>
          <cell r="BI77" t="str">
            <v>-</v>
          </cell>
          <cell r="BJ77" t="str">
            <v>-</v>
          </cell>
          <cell r="BK77" t="str">
            <v>-</v>
          </cell>
          <cell r="BL77" t="str">
            <v>-</v>
          </cell>
          <cell r="BM77" t="str">
            <v>-</v>
          </cell>
          <cell r="BN77" t="str">
            <v>-</v>
          </cell>
          <cell r="BO77" t="str">
            <v>-</v>
          </cell>
          <cell r="BP77" t="str">
            <v>-</v>
          </cell>
        </row>
        <row r="78">
          <cell r="A78">
            <v>73</v>
          </cell>
          <cell r="B78" t="str">
            <v>X.TH.LT-007</v>
          </cell>
          <cell r="C78" t="str">
            <v>Termômetro Digital</v>
          </cell>
          <cell r="D78" t="str">
            <v>Elus</v>
          </cell>
          <cell r="E78" t="str">
            <v>RBC - CAL 0439</v>
          </cell>
          <cell r="F78" t="str">
            <v>E0090/25</v>
          </cell>
          <cell r="G78">
            <v>45715</v>
          </cell>
          <cell r="H78">
            <v>46081</v>
          </cell>
          <cell r="I78" t="str">
            <v>°C</v>
          </cell>
          <cell r="J78" t="str">
            <v>Contato</v>
          </cell>
          <cell r="K78" t="str">
            <v>NA</v>
          </cell>
          <cell r="L78">
            <v>10</v>
          </cell>
          <cell r="M78">
            <v>30</v>
          </cell>
          <cell r="N78">
            <v>0.1</v>
          </cell>
          <cell r="O78">
            <v>0.30000000000000071</v>
          </cell>
          <cell r="P78">
            <v>0.3</v>
          </cell>
          <cell r="Q78">
            <v>0.5</v>
          </cell>
          <cell r="R78">
            <v>0.16008711108909424</v>
          </cell>
          <cell r="S78">
            <v>1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0.98026652998462327</v>
          </cell>
          <cell r="AB78">
            <v>0.23129164531009749</v>
          </cell>
          <cell r="AC78">
            <v>10</v>
          </cell>
          <cell r="AD78">
            <v>0.3</v>
          </cell>
          <cell r="AE78">
            <v>2</v>
          </cell>
          <cell r="AF78">
            <v>1000000</v>
          </cell>
          <cell r="AG78">
            <v>20</v>
          </cell>
          <cell r="AH78">
            <v>0.3</v>
          </cell>
          <cell r="AI78">
            <v>2</v>
          </cell>
          <cell r="AJ78">
            <v>1000000</v>
          </cell>
          <cell r="AK78">
            <v>30</v>
          </cell>
          <cell r="AL78">
            <v>0.3</v>
          </cell>
          <cell r="AM78">
            <v>2</v>
          </cell>
          <cell r="AN78">
            <v>1000000</v>
          </cell>
          <cell r="AO78" t="str">
            <v>-</v>
          </cell>
          <cell r="AP78" t="str">
            <v>-</v>
          </cell>
          <cell r="AQ78" t="str">
            <v>-</v>
          </cell>
          <cell r="AR78" t="str">
            <v>-</v>
          </cell>
          <cell r="AS78" t="str">
            <v>-</v>
          </cell>
          <cell r="AT78" t="str">
            <v>-</v>
          </cell>
          <cell r="AU78" t="str">
            <v>-</v>
          </cell>
          <cell r="AV78" t="str">
            <v>-</v>
          </cell>
          <cell r="AW78" t="str">
            <v>-</v>
          </cell>
          <cell r="AX78" t="str">
            <v>-</v>
          </cell>
          <cell r="AY78" t="str">
            <v>-</v>
          </cell>
          <cell r="AZ78" t="str">
            <v>-</v>
          </cell>
          <cell r="BA78" t="str">
            <v>-</v>
          </cell>
          <cell r="BB78" t="str">
            <v>-</v>
          </cell>
          <cell r="BC78" t="str">
            <v>-</v>
          </cell>
          <cell r="BD78" t="str">
            <v>-</v>
          </cell>
          <cell r="BE78" t="str">
            <v>-</v>
          </cell>
          <cell r="BF78" t="str">
            <v>-</v>
          </cell>
          <cell r="BG78" t="str">
            <v>-</v>
          </cell>
          <cell r="BH78" t="str">
            <v>-</v>
          </cell>
          <cell r="BI78" t="str">
            <v>-</v>
          </cell>
          <cell r="BJ78" t="str">
            <v>-</v>
          </cell>
          <cell r="BK78" t="str">
            <v>-</v>
          </cell>
          <cell r="BL78" t="str">
            <v>-</v>
          </cell>
          <cell r="BM78" t="str">
            <v>-</v>
          </cell>
          <cell r="BN78" t="str">
            <v>-</v>
          </cell>
          <cell r="BO78" t="str">
            <v>-</v>
          </cell>
          <cell r="BP78" t="str">
            <v>-</v>
          </cell>
        </row>
        <row r="79">
          <cell r="A79">
            <v>74</v>
          </cell>
          <cell r="B79" t="str">
            <v>PR-479</v>
          </cell>
          <cell r="C79" t="str">
            <v>Termohigrômetro Digital</v>
          </cell>
          <cell r="D79" t="str">
            <v>Visomes</v>
          </cell>
          <cell r="E79" t="str">
            <v>RBC - CAL 0127</v>
          </cell>
          <cell r="F79" t="str">
            <v>LV00951-11966-22-R0</v>
          </cell>
          <cell r="G79">
            <v>44687</v>
          </cell>
          <cell r="H79">
            <v>45442</v>
          </cell>
          <cell r="I79" t="str">
            <v>°C</v>
          </cell>
          <cell r="J79" t="str">
            <v>IN</v>
          </cell>
          <cell r="K79" t="str">
            <v>NA</v>
          </cell>
          <cell r="L79">
            <v>15.02</v>
          </cell>
          <cell r="M79">
            <v>25.06</v>
          </cell>
          <cell r="N79">
            <v>0.1</v>
          </cell>
          <cell r="O79">
            <v>0.4599999999999973</v>
          </cell>
          <cell r="P79">
            <v>0.4</v>
          </cell>
          <cell r="Q79">
            <v>0.4599999999999973</v>
          </cell>
          <cell r="R79">
            <v>6.6749517503918554E-2</v>
          </cell>
          <cell r="S79">
            <v>1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1.0349936233526991</v>
          </cell>
          <cell r="AB79">
            <v>-0.37387416749326263</v>
          </cell>
          <cell r="AC79">
            <v>15.02</v>
          </cell>
          <cell r="AD79">
            <v>0.4</v>
          </cell>
          <cell r="AE79">
            <v>2</v>
          </cell>
          <cell r="AF79">
            <v>1000000</v>
          </cell>
          <cell r="AG79">
            <v>20.07</v>
          </cell>
          <cell r="AH79">
            <v>0.4</v>
          </cell>
          <cell r="AI79">
            <v>2</v>
          </cell>
          <cell r="AJ79">
            <v>1000000</v>
          </cell>
          <cell r="AK79">
            <v>25.06</v>
          </cell>
          <cell r="AL79">
            <v>0.4</v>
          </cell>
          <cell r="AM79">
            <v>2</v>
          </cell>
          <cell r="AN79">
            <v>1000000</v>
          </cell>
          <cell r="AO79" t="str">
            <v>-</v>
          </cell>
          <cell r="AP79" t="str">
            <v>-</v>
          </cell>
          <cell r="AQ79" t="str">
            <v>-</v>
          </cell>
          <cell r="AR79" t="str">
            <v>-</v>
          </cell>
          <cell r="AS79" t="str">
            <v>-</v>
          </cell>
          <cell r="AT79" t="str">
            <v>-</v>
          </cell>
          <cell r="AU79" t="str">
            <v>-</v>
          </cell>
          <cell r="AV79" t="str">
            <v>-</v>
          </cell>
          <cell r="AW79" t="str">
            <v>-</v>
          </cell>
          <cell r="AX79" t="str">
            <v>-</v>
          </cell>
          <cell r="AY79" t="str">
            <v>-</v>
          </cell>
          <cell r="AZ79" t="str">
            <v>-</v>
          </cell>
          <cell r="BA79" t="str">
            <v>-</v>
          </cell>
          <cell r="BB79" t="str">
            <v>-</v>
          </cell>
          <cell r="BC79" t="str">
            <v>-</v>
          </cell>
          <cell r="BD79" t="str">
            <v>-</v>
          </cell>
          <cell r="BE79" t="str">
            <v>-</v>
          </cell>
          <cell r="BF79" t="str">
            <v>-</v>
          </cell>
          <cell r="BG79" t="str">
            <v>-</v>
          </cell>
          <cell r="BH79" t="str">
            <v>-</v>
          </cell>
          <cell r="BI79" t="str">
            <v>-</v>
          </cell>
          <cell r="BJ79" t="str">
            <v>-</v>
          </cell>
          <cell r="BK79" t="str">
            <v>-</v>
          </cell>
          <cell r="BL79" t="str">
            <v>-</v>
          </cell>
          <cell r="BM79" t="str">
            <v>-</v>
          </cell>
          <cell r="BN79" t="str">
            <v>-</v>
          </cell>
          <cell r="BO79" t="str">
            <v>-</v>
          </cell>
          <cell r="BP79" t="str">
            <v>-</v>
          </cell>
        </row>
        <row r="80">
          <cell r="A80">
            <v>75</v>
          </cell>
          <cell r="B80" t="str">
            <v>E.TH.LV-003</v>
          </cell>
          <cell r="C80" t="str">
            <v>Termômetro digital</v>
          </cell>
          <cell r="D80" t="str">
            <v>Elus</v>
          </cell>
          <cell r="E80" t="str">
            <v>RBC - CAL 0439</v>
          </cell>
          <cell r="F80" t="str">
            <v>E0501/25</v>
          </cell>
          <cell r="G80">
            <v>45874</v>
          </cell>
          <cell r="H80">
            <v>46264</v>
          </cell>
          <cell r="I80" t="str">
            <v>°C</v>
          </cell>
          <cell r="J80" t="str">
            <v>Contato</v>
          </cell>
          <cell r="K80" t="str">
            <v>Termoresisitivo</v>
          </cell>
          <cell r="L80">
            <v>15</v>
          </cell>
          <cell r="M80">
            <v>40</v>
          </cell>
          <cell r="N80">
            <v>0.1</v>
          </cell>
          <cell r="O80">
            <v>0.20000000000000284</v>
          </cell>
          <cell r="P80">
            <v>0.1</v>
          </cell>
          <cell r="Q80">
            <v>0</v>
          </cell>
          <cell r="R80">
            <v>4.4435051034101725E-2</v>
          </cell>
          <cell r="S80">
            <v>3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-1.0178952004731821E-5</v>
          </cell>
          <cell r="Z80">
            <v>8.6521119718673347E-4</v>
          </cell>
          <cell r="AA80">
            <v>0.98533631034040958</v>
          </cell>
          <cell r="AB80">
            <v>5.3186840925489309E-2</v>
          </cell>
          <cell r="AC80">
            <v>15</v>
          </cell>
          <cell r="AD80">
            <v>0.1</v>
          </cell>
          <cell r="AE80">
            <v>2</v>
          </cell>
          <cell r="AF80">
            <v>1000000</v>
          </cell>
          <cell r="AG80">
            <v>20</v>
          </cell>
          <cell r="AH80">
            <v>0.1</v>
          </cell>
          <cell r="AI80">
            <v>2</v>
          </cell>
          <cell r="AJ80">
            <v>1000000</v>
          </cell>
          <cell r="AK80">
            <v>25</v>
          </cell>
          <cell r="AL80">
            <v>0.1</v>
          </cell>
          <cell r="AM80">
            <v>2</v>
          </cell>
          <cell r="AN80">
            <v>1000000</v>
          </cell>
          <cell r="AO80">
            <v>30</v>
          </cell>
          <cell r="AP80">
            <v>0.1</v>
          </cell>
          <cell r="AQ80">
            <v>2</v>
          </cell>
          <cell r="AR80">
            <v>1000000</v>
          </cell>
          <cell r="AS80">
            <v>40</v>
          </cell>
          <cell r="AT80">
            <v>0.1</v>
          </cell>
          <cell r="AU80">
            <v>2</v>
          </cell>
          <cell r="AV80">
            <v>1000000</v>
          </cell>
          <cell r="AW80" t="str">
            <v>-</v>
          </cell>
          <cell r="AX80" t="str">
            <v>-</v>
          </cell>
          <cell r="AY80" t="str">
            <v>-</v>
          </cell>
          <cell r="AZ80" t="str">
            <v>-</v>
          </cell>
          <cell r="BA80" t="str">
            <v>-</v>
          </cell>
          <cell r="BB80" t="str">
            <v>-</v>
          </cell>
          <cell r="BC80" t="str">
            <v>-</v>
          </cell>
          <cell r="BD80" t="str">
            <v>-</v>
          </cell>
          <cell r="BE80" t="str">
            <v>-</v>
          </cell>
          <cell r="BF80" t="str">
            <v>-</v>
          </cell>
          <cell r="BG80" t="str">
            <v>-</v>
          </cell>
          <cell r="BH80" t="str">
            <v>-</v>
          </cell>
          <cell r="BI80" t="str">
            <v>-</v>
          </cell>
          <cell r="BJ80" t="str">
            <v>-</v>
          </cell>
          <cell r="BK80" t="str">
            <v>-</v>
          </cell>
          <cell r="BL80" t="str">
            <v>-</v>
          </cell>
          <cell r="BM80" t="str">
            <v>-</v>
          </cell>
          <cell r="BN80" t="str">
            <v>-</v>
          </cell>
          <cell r="BO80" t="str">
            <v>-</v>
          </cell>
          <cell r="BP80" t="str">
            <v>-</v>
          </cell>
        </row>
        <row r="81">
          <cell r="A81">
            <v>76</v>
          </cell>
          <cell r="B81" t="str">
            <v>E.TH.LV-004</v>
          </cell>
          <cell r="C81" t="str">
            <v>Termômetro digital</v>
          </cell>
          <cell r="D81" t="str">
            <v>Elus</v>
          </cell>
          <cell r="E81" t="str">
            <v>RBC - CAL 0439</v>
          </cell>
          <cell r="F81" t="str">
            <v>E0502/25</v>
          </cell>
          <cell r="G81">
            <v>45874</v>
          </cell>
          <cell r="H81">
            <v>46264</v>
          </cell>
          <cell r="I81" t="str">
            <v>°C</v>
          </cell>
          <cell r="J81" t="str">
            <v>Contato</v>
          </cell>
          <cell r="K81" t="str">
            <v>Termoresisitivo</v>
          </cell>
          <cell r="L81">
            <v>15</v>
          </cell>
          <cell r="M81">
            <v>40</v>
          </cell>
          <cell r="N81">
            <v>0.1</v>
          </cell>
          <cell r="O81">
            <v>0.20000000000000284</v>
          </cell>
          <cell r="P81">
            <v>0.1</v>
          </cell>
          <cell r="Q81">
            <v>0.40000000000000568</v>
          </cell>
          <cell r="R81">
            <v>2.9286647918258246E-2</v>
          </cell>
          <cell r="S81">
            <v>3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-3.5480200170807297E-5</v>
          </cell>
          <cell r="Z81">
            <v>3.2380407913156829E-3</v>
          </cell>
          <cell r="AA81">
            <v>0.89606820311515811</v>
          </cell>
          <cell r="AB81">
            <v>1.0513055095805894</v>
          </cell>
          <cell r="AC81">
            <v>15</v>
          </cell>
          <cell r="AD81">
            <v>0.1</v>
          </cell>
          <cell r="AE81">
            <v>2</v>
          </cell>
          <cell r="AF81">
            <v>1000000</v>
          </cell>
          <cell r="AG81">
            <v>20</v>
          </cell>
          <cell r="AH81">
            <v>0.1</v>
          </cell>
          <cell r="AI81">
            <v>2</v>
          </cell>
          <cell r="AJ81">
            <v>1000000</v>
          </cell>
          <cell r="AK81">
            <v>25</v>
          </cell>
          <cell r="AL81">
            <v>0.1</v>
          </cell>
          <cell r="AM81">
            <v>2</v>
          </cell>
          <cell r="AN81">
            <v>1000000</v>
          </cell>
          <cell r="AO81">
            <v>30</v>
          </cell>
          <cell r="AP81">
            <v>0.1</v>
          </cell>
          <cell r="AQ81">
            <v>2</v>
          </cell>
          <cell r="AR81">
            <v>1000000</v>
          </cell>
          <cell r="AS81">
            <v>40</v>
          </cell>
          <cell r="AT81">
            <v>0.1</v>
          </cell>
          <cell r="AU81">
            <v>2</v>
          </cell>
          <cell r="AV81">
            <v>1000000</v>
          </cell>
          <cell r="AW81" t="str">
            <v>-</v>
          </cell>
          <cell r="AX81" t="str">
            <v>-</v>
          </cell>
          <cell r="AY81" t="str">
            <v>-</v>
          </cell>
          <cell r="AZ81" t="str">
            <v>-</v>
          </cell>
          <cell r="BA81" t="str">
            <v>-</v>
          </cell>
          <cell r="BB81" t="str">
            <v>-</v>
          </cell>
          <cell r="BC81" t="str">
            <v>-</v>
          </cell>
          <cell r="BD81" t="str">
            <v>-</v>
          </cell>
          <cell r="BE81" t="str">
            <v>-</v>
          </cell>
          <cell r="BF81" t="str">
            <v>-</v>
          </cell>
          <cell r="BG81" t="str">
            <v>-</v>
          </cell>
          <cell r="BH81" t="str">
            <v>-</v>
          </cell>
          <cell r="BI81" t="str">
            <v>-</v>
          </cell>
          <cell r="BJ81" t="str">
            <v>-</v>
          </cell>
          <cell r="BK81" t="str">
            <v>-</v>
          </cell>
          <cell r="BL81" t="str">
            <v>-</v>
          </cell>
          <cell r="BM81" t="str">
            <v>-</v>
          </cell>
          <cell r="BN81" t="str">
            <v>-</v>
          </cell>
          <cell r="BO81" t="str">
            <v>-</v>
          </cell>
          <cell r="BP81" t="str">
            <v>-</v>
          </cell>
        </row>
        <row r="82">
          <cell r="A82">
            <v>77</v>
          </cell>
          <cell r="B82" t="str">
            <v>E.TH.LV-005</v>
          </cell>
          <cell r="C82" t="str">
            <v>Termômetro digital</v>
          </cell>
          <cell r="D82" t="str">
            <v>Elus</v>
          </cell>
          <cell r="E82" t="str">
            <v>RBC - CAL 0439</v>
          </cell>
          <cell r="F82" t="str">
            <v>E0167/25</v>
          </cell>
          <cell r="G82">
            <v>45742</v>
          </cell>
          <cell r="H82">
            <v>46111</v>
          </cell>
          <cell r="I82" t="str">
            <v>°C</v>
          </cell>
          <cell r="J82" t="str">
            <v>Contato</v>
          </cell>
          <cell r="K82" t="str">
            <v>Termoresisitivo</v>
          </cell>
          <cell r="L82">
            <v>14.99</v>
          </cell>
          <cell r="M82">
            <v>30</v>
          </cell>
          <cell r="N82">
            <v>0.01</v>
          </cell>
          <cell r="O82">
            <v>5.0000000000000711E-2</v>
          </cell>
          <cell r="P82">
            <v>0.03</v>
          </cell>
          <cell r="Q82">
            <v>5.0000000000000711E-2</v>
          </cell>
          <cell r="R82">
            <v>8.0228068239662775E-3</v>
          </cell>
          <cell r="S82">
            <v>1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1.0018593494253516</v>
          </cell>
          <cell r="AB82">
            <v>-3.5448635722659105E-3</v>
          </cell>
          <cell r="AC82">
            <v>14.99</v>
          </cell>
          <cell r="AD82">
            <v>0.03</v>
          </cell>
          <cell r="AE82">
            <v>2</v>
          </cell>
          <cell r="AF82">
            <v>1000000</v>
          </cell>
          <cell r="AG82">
            <v>20</v>
          </cell>
          <cell r="AH82">
            <v>0.03</v>
          </cell>
          <cell r="AI82">
            <v>2</v>
          </cell>
          <cell r="AJ82">
            <v>1000000</v>
          </cell>
          <cell r="AK82">
            <v>30</v>
          </cell>
          <cell r="AL82">
            <v>0.03</v>
          </cell>
          <cell r="AM82">
            <v>2</v>
          </cell>
          <cell r="AN82">
            <v>1000000</v>
          </cell>
          <cell r="AO82" t="str">
            <v>-</v>
          </cell>
          <cell r="AP82" t="str">
            <v>-</v>
          </cell>
          <cell r="AQ82" t="str">
            <v>-</v>
          </cell>
          <cell r="AR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X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D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J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  <cell r="BP82" t="str">
            <v>-</v>
          </cell>
        </row>
        <row r="83">
          <cell r="A83">
            <v>78</v>
          </cell>
          <cell r="B83" t="str">
            <v>E.TH.LV-006</v>
          </cell>
          <cell r="C83" t="str">
            <v>Termômetro digital</v>
          </cell>
          <cell r="D83" t="str">
            <v>Elus</v>
          </cell>
          <cell r="E83" t="str">
            <v>RBC - CAL 0439</v>
          </cell>
          <cell r="F83" t="str">
            <v>E0168/25</v>
          </cell>
          <cell r="G83">
            <v>45742</v>
          </cell>
          <cell r="H83">
            <v>46111</v>
          </cell>
          <cell r="I83" t="str">
            <v>°C</v>
          </cell>
          <cell r="J83" t="str">
            <v>Contato</v>
          </cell>
          <cell r="K83" t="str">
            <v>Termoresisitivo</v>
          </cell>
          <cell r="L83">
            <v>14.99</v>
          </cell>
          <cell r="M83">
            <v>30</v>
          </cell>
          <cell r="N83">
            <v>0.01</v>
          </cell>
          <cell r="O83">
            <v>1.0000000000001563E-2</v>
          </cell>
          <cell r="P83">
            <v>0.03</v>
          </cell>
          <cell r="Q83">
            <v>1.0000000000001563E-2</v>
          </cell>
          <cell r="R83">
            <v>2.6745188950432208E-3</v>
          </cell>
          <cell r="S83">
            <v>1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0.99928669258473746</v>
          </cell>
          <cell r="AB83">
            <v>1.2121660664025313E-2</v>
          </cell>
          <cell r="AC83">
            <v>14.99</v>
          </cell>
          <cell r="AD83">
            <v>0.03</v>
          </cell>
          <cell r="AE83">
            <v>2</v>
          </cell>
          <cell r="AF83">
            <v>1000000</v>
          </cell>
          <cell r="AG83">
            <v>20</v>
          </cell>
          <cell r="AH83">
            <v>0.03</v>
          </cell>
          <cell r="AI83">
            <v>2</v>
          </cell>
          <cell r="AJ83">
            <v>1000000</v>
          </cell>
          <cell r="AK83">
            <v>30</v>
          </cell>
          <cell r="AL83">
            <v>0.03</v>
          </cell>
          <cell r="AM83">
            <v>2</v>
          </cell>
          <cell r="AN83">
            <v>1000000</v>
          </cell>
          <cell r="AO83" t="str">
            <v>-</v>
          </cell>
          <cell r="AP83" t="str">
            <v>-</v>
          </cell>
          <cell r="AQ83" t="str">
            <v>-</v>
          </cell>
          <cell r="AR83" t="str">
            <v>-</v>
          </cell>
          <cell r="AS83" t="str">
            <v>-</v>
          </cell>
          <cell r="AT83" t="str">
            <v>-</v>
          </cell>
          <cell r="AU83" t="str">
            <v>-</v>
          </cell>
          <cell r="AV83" t="str">
            <v>-</v>
          </cell>
          <cell r="AW83" t="str">
            <v>-</v>
          </cell>
          <cell r="AX83" t="str">
            <v>-</v>
          </cell>
          <cell r="AY83" t="str">
            <v>-</v>
          </cell>
          <cell r="AZ83" t="str">
            <v>-</v>
          </cell>
          <cell r="BA83" t="str">
            <v>-</v>
          </cell>
          <cell r="BB83" t="str">
            <v>-</v>
          </cell>
          <cell r="BC83" t="str">
            <v>-</v>
          </cell>
          <cell r="BD83" t="str">
            <v>-</v>
          </cell>
          <cell r="BE83" t="str">
            <v>-</v>
          </cell>
          <cell r="BF83" t="str">
            <v>-</v>
          </cell>
          <cell r="BG83" t="str">
            <v>-</v>
          </cell>
          <cell r="BH83" t="str">
            <v>-</v>
          </cell>
          <cell r="BI83" t="str">
            <v>-</v>
          </cell>
          <cell r="BJ83" t="str">
            <v>-</v>
          </cell>
          <cell r="BK83" t="str">
            <v>-</v>
          </cell>
          <cell r="BL83" t="str">
            <v>-</v>
          </cell>
          <cell r="BM83" t="str">
            <v>-</v>
          </cell>
          <cell r="BN83" t="str">
            <v>-</v>
          </cell>
          <cell r="BO83" t="str">
            <v>-</v>
          </cell>
          <cell r="BP83" t="str">
            <v>-</v>
          </cell>
        </row>
        <row r="84">
          <cell r="A84">
            <v>79</v>
          </cell>
          <cell r="B84" t="str">
            <v>E.TH.LV-007</v>
          </cell>
          <cell r="C84" t="str">
            <v>Termômetro digital</v>
          </cell>
          <cell r="D84" t="str">
            <v>Elus</v>
          </cell>
          <cell r="E84" t="str">
            <v>RBC - CAL 0439</v>
          </cell>
          <cell r="F84" t="str">
            <v>E0169/25</v>
          </cell>
          <cell r="G84">
            <v>45742</v>
          </cell>
          <cell r="H84">
            <v>46111</v>
          </cell>
          <cell r="I84" t="str">
            <v>°C</v>
          </cell>
          <cell r="J84" t="str">
            <v>Contato</v>
          </cell>
          <cell r="K84" t="str">
            <v>Termoresisitivo</v>
          </cell>
          <cell r="L84">
            <v>14.99</v>
          </cell>
          <cell r="M84">
            <v>30</v>
          </cell>
          <cell r="N84">
            <v>0.01</v>
          </cell>
          <cell r="O84">
            <v>0.10999999999999943</v>
          </cell>
          <cell r="P84">
            <v>0.03</v>
          </cell>
          <cell r="Q84">
            <v>0.10999999999999943</v>
          </cell>
          <cell r="R84">
            <v>5.3391203743000659E-3</v>
          </cell>
          <cell r="S84">
            <v>1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0.99942873562432011</v>
          </cell>
          <cell r="AB84">
            <v>-9.4230241208109078E-2</v>
          </cell>
          <cell r="AC84">
            <v>14.99</v>
          </cell>
          <cell r="AD84">
            <v>0.03</v>
          </cell>
          <cell r="AE84">
            <v>2</v>
          </cell>
          <cell r="AF84">
            <v>1000000</v>
          </cell>
          <cell r="AG84">
            <v>20</v>
          </cell>
          <cell r="AH84">
            <v>0.03</v>
          </cell>
          <cell r="AI84">
            <v>2</v>
          </cell>
          <cell r="AJ84">
            <v>1000000</v>
          </cell>
          <cell r="AK84">
            <v>30</v>
          </cell>
          <cell r="AL84">
            <v>0.03</v>
          </cell>
          <cell r="AM84">
            <v>2</v>
          </cell>
          <cell r="AN84">
            <v>1000000</v>
          </cell>
          <cell r="AO84" t="str">
            <v>-</v>
          </cell>
          <cell r="AP84" t="str">
            <v>-</v>
          </cell>
          <cell r="AQ84" t="str">
            <v>-</v>
          </cell>
          <cell r="AR84" t="str">
            <v>-</v>
          </cell>
          <cell r="AS84" t="str">
            <v>-</v>
          </cell>
          <cell r="AT84" t="str">
            <v>-</v>
          </cell>
          <cell r="AU84" t="str">
            <v>-</v>
          </cell>
          <cell r="AV84" t="str">
            <v>-</v>
          </cell>
          <cell r="AW84" t="str">
            <v>-</v>
          </cell>
          <cell r="AX84" t="str">
            <v>-</v>
          </cell>
          <cell r="AY84" t="str">
            <v>-</v>
          </cell>
          <cell r="AZ84" t="str">
            <v>-</v>
          </cell>
          <cell r="BA84" t="str">
            <v>-</v>
          </cell>
          <cell r="BB84" t="str">
            <v>-</v>
          </cell>
          <cell r="BC84" t="str">
            <v>-</v>
          </cell>
          <cell r="BD84" t="str">
            <v>-</v>
          </cell>
          <cell r="BE84" t="str">
            <v>-</v>
          </cell>
          <cell r="BF84" t="str">
            <v>-</v>
          </cell>
          <cell r="BG84" t="str">
            <v>-</v>
          </cell>
          <cell r="BH84" t="str">
            <v>-</v>
          </cell>
          <cell r="BI84" t="str">
            <v>-</v>
          </cell>
          <cell r="BJ84" t="str">
            <v>-</v>
          </cell>
          <cell r="BK84" t="str">
            <v>-</v>
          </cell>
          <cell r="BL84" t="str">
            <v>-</v>
          </cell>
          <cell r="BM84" t="str">
            <v>-</v>
          </cell>
          <cell r="BN84" t="str">
            <v>-</v>
          </cell>
          <cell r="BO84" t="str">
            <v>-</v>
          </cell>
          <cell r="BP84" t="str">
            <v>-</v>
          </cell>
        </row>
        <row r="85">
          <cell r="A85">
            <v>80</v>
          </cell>
          <cell r="B85" t="str">
            <v>EL-741</v>
          </cell>
          <cell r="C85" t="str">
            <v>Termômetro Digital</v>
          </cell>
          <cell r="D85" t="str">
            <v>Elus</v>
          </cell>
          <cell r="E85" t="str">
            <v>RBC - CAL 0439</v>
          </cell>
          <cell r="F85" t="str">
            <v>R0040/24</v>
          </cell>
          <cell r="G85">
            <v>45385</v>
          </cell>
          <cell r="H85">
            <v>45777</v>
          </cell>
          <cell r="I85" t="str">
            <v>°C</v>
          </cell>
          <cell r="J85" t="str">
            <v>Contato</v>
          </cell>
          <cell r="K85" t="str">
            <v>Termoresisitivo</v>
          </cell>
          <cell r="L85">
            <v>-196.001</v>
          </cell>
          <cell r="M85">
            <v>149.999</v>
          </cell>
          <cell r="N85">
            <v>1E-3</v>
          </cell>
          <cell r="O85">
            <v>5.7000000000016371E-2</v>
          </cell>
          <cell r="P85">
            <v>7.0000000000000007E-2</v>
          </cell>
          <cell r="Q85">
            <v>3.6000000000001364E-2</v>
          </cell>
          <cell r="R85">
            <v>7.9261073210901145E-3</v>
          </cell>
          <cell r="S85">
            <v>4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1.6120322523853295E-10</v>
          </cell>
          <cell r="Y85">
            <v>2.0335570868608888E-8</v>
          </cell>
          <cell r="Z85">
            <v>-4.5650015647677842E-6</v>
          </cell>
          <cell r="AA85">
            <v>0.99971230169749137</v>
          </cell>
          <cell r="AB85">
            <v>-2.2560674321332373E-2</v>
          </cell>
          <cell r="AC85">
            <v>-196.001</v>
          </cell>
          <cell r="AD85">
            <v>0.02</v>
          </cell>
          <cell r="AE85">
            <v>2</v>
          </cell>
          <cell r="AF85">
            <v>1000000</v>
          </cell>
          <cell r="AG85">
            <v>-109.998</v>
          </cell>
          <cell r="AH85">
            <v>7.0000000000000007E-2</v>
          </cell>
          <cell r="AI85">
            <v>2</v>
          </cell>
          <cell r="AJ85">
            <v>1000000</v>
          </cell>
          <cell r="AK85">
            <v>-45</v>
          </cell>
          <cell r="AL85">
            <v>0.03</v>
          </cell>
          <cell r="AM85">
            <v>2</v>
          </cell>
          <cell r="AN85">
            <v>1000000</v>
          </cell>
          <cell r="AO85">
            <v>1.0999999999999999E-2</v>
          </cell>
          <cell r="AP85">
            <v>0.03</v>
          </cell>
          <cell r="AQ85">
            <v>2</v>
          </cell>
          <cell r="AR85">
            <v>1000000</v>
          </cell>
          <cell r="AS85">
            <v>50.000999999999998</v>
          </cell>
          <cell r="AT85">
            <v>0.03</v>
          </cell>
          <cell r="AU85">
            <v>2</v>
          </cell>
          <cell r="AV85">
            <v>1000000</v>
          </cell>
          <cell r="AW85">
            <v>149.999</v>
          </cell>
          <cell r="AX85">
            <v>0.03</v>
          </cell>
          <cell r="AY85">
            <v>2</v>
          </cell>
          <cell r="AZ85">
            <v>1000000</v>
          </cell>
          <cell r="BA85" t="str">
            <v>-</v>
          </cell>
          <cell r="BB85" t="str">
            <v>-</v>
          </cell>
          <cell r="BC85" t="str">
            <v>-</v>
          </cell>
          <cell r="BD85" t="str">
            <v>-</v>
          </cell>
          <cell r="BE85" t="str">
            <v>-</v>
          </cell>
          <cell r="BF85" t="str">
            <v>-</v>
          </cell>
          <cell r="BG85" t="str">
            <v>-</v>
          </cell>
          <cell r="BH85" t="str">
            <v>-</v>
          </cell>
          <cell r="BI85" t="str">
            <v>-</v>
          </cell>
          <cell r="BJ85" t="str">
            <v>-</v>
          </cell>
          <cell r="BK85" t="str">
            <v>-</v>
          </cell>
          <cell r="BL85" t="str">
            <v>-</v>
          </cell>
          <cell r="BM85" t="str">
            <v>-</v>
          </cell>
          <cell r="BN85" t="str">
            <v>-</v>
          </cell>
          <cell r="BO85" t="str">
            <v>-</v>
          </cell>
          <cell r="BP85" t="str">
            <v>-</v>
          </cell>
        </row>
        <row r="86">
          <cell r="A86">
            <v>81</v>
          </cell>
          <cell r="B86" t="str">
            <v>E.TH.LV-008</v>
          </cell>
          <cell r="C86" t="str">
            <v>Termômetro digital</v>
          </cell>
          <cell r="D86" t="str">
            <v>Elus</v>
          </cell>
          <cell r="E86" t="str">
            <v>RBC - CAL 0439</v>
          </cell>
          <cell r="F86" t="str">
            <v>E0507/25</v>
          </cell>
          <cell r="G86">
            <v>45873</v>
          </cell>
          <cell r="H86">
            <v>46264</v>
          </cell>
          <cell r="I86" t="str">
            <v>°C</v>
          </cell>
          <cell r="J86" t="str">
            <v>Contato</v>
          </cell>
          <cell r="K86" t="str">
            <v>Termoresisitivo</v>
          </cell>
          <cell r="L86">
            <v>14.99</v>
          </cell>
          <cell r="M86">
            <v>30</v>
          </cell>
          <cell r="N86">
            <v>0.01</v>
          </cell>
          <cell r="O86">
            <v>1.0000000000001563E-2</v>
          </cell>
          <cell r="P86">
            <v>0.03</v>
          </cell>
          <cell r="Q86">
            <v>1.0000000000001563E-2</v>
          </cell>
          <cell r="R86">
            <v>2.6745188950432208E-3</v>
          </cell>
          <cell r="S86">
            <v>1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0.99928669258473746</v>
          </cell>
          <cell r="AB86">
            <v>1.2121660664025313E-2</v>
          </cell>
          <cell r="AC86">
            <v>14.99</v>
          </cell>
          <cell r="AD86">
            <v>0.03</v>
          </cell>
          <cell r="AE86">
            <v>2</v>
          </cell>
          <cell r="AF86">
            <v>1000000</v>
          </cell>
          <cell r="AG86">
            <v>20</v>
          </cell>
          <cell r="AH86">
            <v>0.03</v>
          </cell>
          <cell r="AI86">
            <v>2</v>
          </cell>
          <cell r="AJ86">
            <v>1000000</v>
          </cell>
          <cell r="AK86">
            <v>30</v>
          </cell>
          <cell r="AL86">
            <v>0.03</v>
          </cell>
          <cell r="AM86">
            <v>2</v>
          </cell>
          <cell r="AN86">
            <v>1000000</v>
          </cell>
          <cell r="AO86" t="str">
            <v>-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  <cell r="AT86" t="str">
            <v>-</v>
          </cell>
          <cell r="AU86" t="str">
            <v>-</v>
          </cell>
          <cell r="AV86" t="str">
            <v>-</v>
          </cell>
          <cell r="AW86" t="str">
            <v>-</v>
          </cell>
          <cell r="AX86" t="str">
            <v>-</v>
          </cell>
          <cell r="AY86" t="str">
            <v>-</v>
          </cell>
          <cell r="AZ86" t="str">
            <v>-</v>
          </cell>
          <cell r="BA86" t="str">
            <v>-</v>
          </cell>
          <cell r="BB86" t="str">
            <v>-</v>
          </cell>
          <cell r="BC86" t="str">
            <v>-</v>
          </cell>
          <cell r="BD86" t="str">
            <v>-</v>
          </cell>
          <cell r="BE86" t="str">
            <v>-</v>
          </cell>
          <cell r="BF86" t="str">
            <v>-</v>
          </cell>
          <cell r="BG86" t="str">
            <v>-</v>
          </cell>
          <cell r="BH86" t="str">
            <v>-</v>
          </cell>
          <cell r="BI86" t="str">
            <v>-</v>
          </cell>
          <cell r="BJ86" t="str">
            <v>-</v>
          </cell>
          <cell r="BK86" t="str">
            <v>-</v>
          </cell>
          <cell r="BL86" t="str">
            <v>-</v>
          </cell>
          <cell r="BM86" t="str">
            <v>-</v>
          </cell>
          <cell r="BN86" t="str">
            <v>-</v>
          </cell>
          <cell r="BO86" t="str">
            <v>-</v>
          </cell>
          <cell r="BP86" t="str">
            <v>-</v>
          </cell>
        </row>
        <row r="87">
          <cell r="A87">
            <v>82</v>
          </cell>
          <cell r="B87" t="str">
            <v>E.TH.PMR-005</v>
          </cell>
          <cell r="C87" t="str">
            <v>Termômetro Digital</v>
          </cell>
          <cell r="D87" t="str">
            <v>Elus</v>
          </cell>
          <cell r="E87" t="str">
            <v>RBC - CAL 0439</v>
          </cell>
          <cell r="F87" t="str">
            <v>E0526/25</v>
          </cell>
          <cell r="G87">
            <v>45884</v>
          </cell>
          <cell r="H87">
            <v>46265</v>
          </cell>
          <cell r="I87" t="str">
            <v>°C</v>
          </cell>
          <cell r="J87" t="str">
            <v>Contato</v>
          </cell>
          <cell r="K87" t="str">
            <v>Termoresisitivo</v>
          </cell>
          <cell r="L87">
            <v>15</v>
          </cell>
          <cell r="M87">
            <v>35</v>
          </cell>
          <cell r="N87">
            <v>0.1</v>
          </cell>
          <cell r="O87">
            <v>0.30000000000000071</v>
          </cell>
          <cell r="P87">
            <v>0.1</v>
          </cell>
          <cell r="Q87">
            <v>0.10000000000000142</v>
          </cell>
          <cell r="R87">
            <v>4.7335771774995428E-2</v>
          </cell>
          <cell r="S87">
            <v>3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4.5915756965699079E-7</v>
          </cell>
          <cell r="Z87">
            <v>2.431445380838489E-4</v>
          </cell>
          <cell r="AA87">
            <v>0.97713760636547276</v>
          </cell>
          <cell r="AB87">
            <v>0.57649435780841662</v>
          </cell>
          <cell r="AC87">
            <v>15</v>
          </cell>
          <cell r="AD87">
            <v>0.1</v>
          </cell>
          <cell r="AE87">
            <v>2</v>
          </cell>
          <cell r="AF87">
            <v>1000000</v>
          </cell>
          <cell r="AG87">
            <v>20</v>
          </cell>
          <cell r="AH87">
            <v>0.1</v>
          </cell>
          <cell r="AI87">
            <v>2</v>
          </cell>
          <cell r="AJ87">
            <v>1000000</v>
          </cell>
          <cell r="AK87">
            <v>25</v>
          </cell>
          <cell r="AL87">
            <v>0.1</v>
          </cell>
          <cell r="AM87">
            <v>2</v>
          </cell>
          <cell r="AN87">
            <v>1000000</v>
          </cell>
          <cell r="AO87">
            <v>30</v>
          </cell>
          <cell r="AP87">
            <v>0.1</v>
          </cell>
          <cell r="AQ87">
            <v>2</v>
          </cell>
          <cell r="AR87">
            <v>1000000</v>
          </cell>
          <cell r="AS87">
            <v>35</v>
          </cell>
          <cell r="AT87">
            <v>0.1</v>
          </cell>
          <cell r="AU87">
            <v>2</v>
          </cell>
          <cell r="AV87">
            <v>1000000</v>
          </cell>
          <cell r="AW87" t="str">
            <v>-</v>
          </cell>
          <cell r="AX87" t="str">
            <v>-</v>
          </cell>
          <cell r="AY87" t="str">
            <v>-</v>
          </cell>
          <cell r="AZ87" t="str">
            <v>-</v>
          </cell>
          <cell r="BA87" t="str">
            <v>-</v>
          </cell>
          <cell r="BB87" t="str">
            <v>-</v>
          </cell>
          <cell r="BC87" t="str">
            <v>-</v>
          </cell>
          <cell r="BD87" t="str">
            <v>-</v>
          </cell>
          <cell r="BE87" t="str">
            <v>-</v>
          </cell>
          <cell r="BF87" t="str">
            <v>-</v>
          </cell>
          <cell r="BG87" t="str">
            <v>-</v>
          </cell>
          <cell r="BH87" t="str">
            <v>-</v>
          </cell>
          <cell r="BI87" t="str">
            <v>-</v>
          </cell>
          <cell r="BJ87" t="str">
            <v>-</v>
          </cell>
          <cell r="BK87" t="str">
            <v>-</v>
          </cell>
          <cell r="BL87" t="str">
            <v>-</v>
          </cell>
          <cell r="BM87" t="str">
            <v>-</v>
          </cell>
          <cell r="BN87" t="str">
            <v>-</v>
          </cell>
          <cell r="BO87" t="str">
            <v>-</v>
          </cell>
          <cell r="BP87" t="str">
            <v>-</v>
          </cell>
        </row>
        <row r="88">
          <cell r="A88">
            <v>83</v>
          </cell>
          <cell r="B88" t="str">
            <v>E.TH.LQ-015</v>
          </cell>
          <cell r="C88" t="str">
            <v>Termômetro Digital</v>
          </cell>
          <cell r="D88" t="str">
            <v>Elus</v>
          </cell>
          <cell r="E88" t="str">
            <v>RBC - CAL 0439</v>
          </cell>
          <cell r="F88" t="str">
            <v>E0711/25</v>
          </cell>
          <cell r="G88">
            <v>45940</v>
          </cell>
          <cell r="H88">
            <v>46326</v>
          </cell>
          <cell r="I88" t="str">
            <v>°C</v>
          </cell>
          <cell r="J88" t="str">
            <v>Contato</v>
          </cell>
          <cell r="K88" t="str">
            <v>Termoresisitivo</v>
          </cell>
          <cell r="L88">
            <v>15</v>
          </cell>
          <cell r="M88">
            <v>35</v>
          </cell>
          <cell r="N88">
            <v>0.1</v>
          </cell>
          <cell r="O88">
            <v>0.20000000000000284</v>
          </cell>
          <cell r="P88">
            <v>0.1</v>
          </cell>
          <cell r="Q88">
            <v>0.19999999999999929</v>
          </cell>
          <cell r="R88">
            <v>1.8318679906315083E-15</v>
          </cell>
          <cell r="S88">
            <v>3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-1.815796220611837E-18</v>
          </cell>
          <cell r="Z88">
            <v>1.7971926939144637E-16</v>
          </cell>
          <cell r="AA88">
            <v>0.999999999999995</v>
          </cell>
          <cell r="AB88">
            <v>0.20000000000003856</v>
          </cell>
          <cell r="AC88">
            <v>15</v>
          </cell>
          <cell r="AD88">
            <v>0.1</v>
          </cell>
          <cell r="AE88">
            <v>2</v>
          </cell>
          <cell r="AF88">
            <v>1000000</v>
          </cell>
          <cell r="AG88">
            <v>20</v>
          </cell>
          <cell r="AH88">
            <v>0.1</v>
          </cell>
          <cell r="AI88">
            <v>2</v>
          </cell>
          <cell r="AJ88">
            <v>1000000</v>
          </cell>
          <cell r="AK88">
            <v>25</v>
          </cell>
          <cell r="AL88">
            <v>0.1</v>
          </cell>
          <cell r="AM88">
            <v>2</v>
          </cell>
          <cell r="AN88">
            <v>1000000</v>
          </cell>
          <cell r="AO88">
            <v>30</v>
          </cell>
          <cell r="AP88">
            <v>0.1</v>
          </cell>
          <cell r="AQ88">
            <v>2</v>
          </cell>
          <cell r="AR88">
            <v>1000000</v>
          </cell>
          <cell r="AS88">
            <v>35</v>
          </cell>
          <cell r="AT88">
            <v>0.1</v>
          </cell>
          <cell r="AU88">
            <v>2</v>
          </cell>
          <cell r="AV88">
            <v>1000000</v>
          </cell>
          <cell r="AW88" t="str">
            <v>-</v>
          </cell>
          <cell r="AX88" t="str">
            <v>-</v>
          </cell>
          <cell r="AY88" t="str">
            <v>-</v>
          </cell>
          <cell r="AZ88" t="str">
            <v>-</v>
          </cell>
          <cell r="BA88" t="str">
            <v>-</v>
          </cell>
          <cell r="BB88" t="str">
            <v>-</v>
          </cell>
          <cell r="BC88" t="str">
            <v>-</v>
          </cell>
          <cell r="BD88" t="str">
            <v>-</v>
          </cell>
          <cell r="BE88" t="str">
            <v>-</v>
          </cell>
          <cell r="BF88" t="str">
            <v>-</v>
          </cell>
          <cell r="BG88" t="str">
            <v>-</v>
          </cell>
          <cell r="BH88" t="str">
            <v>-</v>
          </cell>
          <cell r="BI88" t="str">
            <v>-</v>
          </cell>
          <cell r="BJ88" t="str">
            <v>-</v>
          </cell>
          <cell r="BK88" t="str">
            <v>-</v>
          </cell>
          <cell r="BL88" t="str">
            <v>-</v>
          </cell>
          <cell r="BM88" t="str">
            <v>-</v>
          </cell>
          <cell r="BN88" t="str">
            <v>-</v>
          </cell>
          <cell r="BO88" t="str">
            <v>-</v>
          </cell>
          <cell r="BP88" t="str">
            <v>-</v>
          </cell>
        </row>
        <row r="89">
          <cell r="A89">
            <v>84</v>
          </cell>
          <cell r="B89" t="str">
            <v>EL-1053</v>
          </cell>
          <cell r="C89" t="str">
            <v>Termômetro Digital</v>
          </cell>
          <cell r="D89" t="str">
            <v>Elus</v>
          </cell>
          <cell r="E89" t="str">
            <v>RBC - CAL 0439</v>
          </cell>
          <cell r="F89" t="str">
            <v>E154436/23</v>
          </cell>
          <cell r="G89">
            <v>45219</v>
          </cell>
          <cell r="H89">
            <v>45596</v>
          </cell>
          <cell r="I89" t="str">
            <v>°C</v>
          </cell>
          <cell r="J89" t="str">
            <v>Contato</v>
          </cell>
          <cell r="K89" t="str">
            <v>Termoresisitivo</v>
          </cell>
          <cell r="L89">
            <v>15</v>
          </cell>
          <cell r="M89">
            <v>35</v>
          </cell>
          <cell r="N89">
            <v>0.1</v>
          </cell>
          <cell r="O89">
            <v>0.30000000000000071</v>
          </cell>
          <cell r="P89">
            <v>0.1</v>
          </cell>
          <cell r="Q89">
            <v>9.9999999999999645E-2</v>
          </cell>
          <cell r="R89">
            <v>8.3266726846886741E-16</v>
          </cell>
          <cell r="S89">
            <v>3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-5.1455740781797553E-19</v>
          </cell>
          <cell r="Z89">
            <v>2.6451570174686124E-17</v>
          </cell>
          <cell r="AA89">
            <v>0.99999999999999922</v>
          </cell>
          <cell r="AB89">
            <v>0.30000000000001065</v>
          </cell>
          <cell r="AC89">
            <v>15</v>
          </cell>
          <cell r="AD89">
            <v>0.1</v>
          </cell>
          <cell r="AE89">
            <v>2</v>
          </cell>
          <cell r="AF89">
            <v>1000000</v>
          </cell>
          <cell r="AG89">
            <v>20</v>
          </cell>
          <cell r="AH89">
            <v>0.1</v>
          </cell>
          <cell r="AI89">
            <v>2</v>
          </cell>
          <cell r="AJ89">
            <v>1000000</v>
          </cell>
          <cell r="AK89">
            <v>25</v>
          </cell>
          <cell r="AL89">
            <v>0.1</v>
          </cell>
          <cell r="AM89">
            <v>2</v>
          </cell>
          <cell r="AN89">
            <v>1000000</v>
          </cell>
          <cell r="AO89">
            <v>30</v>
          </cell>
          <cell r="AP89">
            <v>0.1</v>
          </cell>
          <cell r="AQ89">
            <v>2</v>
          </cell>
          <cell r="AR89">
            <v>1000000</v>
          </cell>
          <cell r="AS89">
            <v>35</v>
          </cell>
          <cell r="AT89">
            <v>0.1</v>
          </cell>
          <cell r="AU89">
            <v>2</v>
          </cell>
          <cell r="AV89">
            <v>1000000</v>
          </cell>
          <cell r="AW89" t="str">
            <v>-</v>
          </cell>
          <cell r="AX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D89" t="str">
            <v>-</v>
          </cell>
          <cell r="BE89" t="str">
            <v>-</v>
          </cell>
          <cell r="BF89" t="str">
            <v>-</v>
          </cell>
          <cell r="BG89" t="str">
            <v>-</v>
          </cell>
          <cell r="BH89" t="str">
            <v>-</v>
          </cell>
          <cell r="BI89" t="str">
            <v>-</v>
          </cell>
          <cell r="BJ89" t="str">
            <v>-</v>
          </cell>
          <cell r="BK89" t="str">
            <v>-</v>
          </cell>
          <cell r="BL89" t="str">
            <v>-</v>
          </cell>
          <cell r="BM89" t="str">
            <v>-</v>
          </cell>
          <cell r="BN89" t="str">
            <v>-</v>
          </cell>
          <cell r="BO89" t="str">
            <v>-</v>
          </cell>
          <cell r="BP89" t="str">
            <v>-</v>
          </cell>
        </row>
        <row r="90">
          <cell r="A90">
            <v>85</v>
          </cell>
          <cell r="B90" t="str">
            <v>E.TH.FS-009</v>
          </cell>
          <cell r="C90" t="str">
            <v>Termômetro Digital</v>
          </cell>
          <cell r="D90" t="str">
            <v>Elus</v>
          </cell>
          <cell r="E90" t="str">
            <v>RBC - CAL 0439</v>
          </cell>
          <cell r="F90" t="str">
            <v>E0644/25</v>
          </cell>
          <cell r="G90">
            <v>45911</v>
          </cell>
          <cell r="H90">
            <v>46295</v>
          </cell>
          <cell r="I90" t="str">
            <v>°C</v>
          </cell>
          <cell r="J90" t="str">
            <v>Contato</v>
          </cell>
          <cell r="K90" t="str">
            <v>Termoresisitivo</v>
          </cell>
          <cell r="L90">
            <v>15</v>
          </cell>
          <cell r="M90">
            <v>35</v>
          </cell>
          <cell r="N90">
            <v>0.1</v>
          </cell>
          <cell r="O90">
            <v>0</v>
          </cell>
          <cell r="P90">
            <v>0.1</v>
          </cell>
          <cell r="Q90">
            <v>0.20000000000000284</v>
          </cell>
          <cell r="R90">
            <v>0</v>
          </cell>
          <cell r="S90">
            <v>3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1</v>
          </cell>
          <cell r="AB90">
            <v>0</v>
          </cell>
          <cell r="AC90">
            <v>15</v>
          </cell>
          <cell r="AD90">
            <v>0.1</v>
          </cell>
          <cell r="AE90">
            <v>2</v>
          </cell>
          <cell r="AF90">
            <v>1000000</v>
          </cell>
          <cell r="AG90">
            <v>20</v>
          </cell>
          <cell r="AH90">
            <v>0.1</v>
          </cell>
          <cell r="AI90">
            <v>2</v>
          </cell>
          <cell r="AJ90">
            <v>1000000</v>
          </cell>
          <cell r="AK90">
            <v>25</v>
          </cell>
          <cell r="AL90">
            <v>0.1</v>
          </cell>
          <cell r="AM90">
            <v>2</v>
          </cell>
          <cell r="AN90">
            <v>1000000</v>
          </cell>
          <cell r="AO90">
            <v>30</v>
          </cell>
          <cell r="AP90">
            <v>0.1</v>
          </cell>
          <cell r="AQ90">
            <v>2</v>
          </cell>
          <cell r="AR90">
            <v>1000000</v>
          </cell>
          <cell r="AS90">
            <v>35</v>
          </cell>
          <cell r="AT90">
            <v>0.1</v>
          </cell>
          <cell r="AU90">
            <v>2</v>
          </cell>
          <cell r="AV90">
            <v>1000000</v>
          </cell>
          <cell r="AW90" t="str">
            <v>-</v>
          </cell>
          <cell r="AX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D90" t="str">
            <v>-</v>
          </cell>
          <cell r="BE90" t="str">
            <v>-</v>
          </cell>
          <cell r="BF90" t="str">
            <v>-</v>
          </cell>
          <cell r="BG90" t="str">
            <v>-</v>
          </cell>
          <cell r="BH90" t="str">
            <v>-</v>
          </cell>
          <cell r="BI90" t="str">
            <v>-</v>
          </cell>
          <cell r="BJ90" t="str">
            <v>-</v>
          </cell>
          <cell r="BK90" t="str">
            <v>-</v>
          </cell>
          <cell r="BL90" t="str">
            <v>-</v>
          </cell>
          <cell r="BM90" t="str">
            <v>-</v>
          </cell>
          <cell r="BN90" t="str">
            <v>-</v>
          </cell>
          <cell r="BO90" t="str">
            <v>-</v>
          </cell>
          <cell r="BP90" t="str">
            <v>-</v>
          </cell>
        </row>
        <row r="91">
          <cell r="A91">
            <v>86</v>
          </cell>
          <cell r="B91" t="str">
            <v>E.TH.FS-027</v>
          </cell>
          <cell r="C91" t="str">
            <v>Termômetro Digital</v>
          </cell>
          <cell r="D91" t="str">
            <v>Elus</v>
          </cell>
          <cell r="E91" t="str">
            <v>RBC - CAL 0439</v>
          </cell>
          <cell r="F91" t="str">
            <v>E0728/25</v>
          </cell>
          <cell r="G91">
            <v>45953</v>
          </cell>
          <cell r="H91">
            <v>46325</v>
          </cell>
          <cell r="I91" t="str">
            <v>°C</v>
          </cell>
          <cell r="J91" t="str">
            <v>Contato</v>
          </cell>
          <cell r="K91" t="str">
            <v>Termoresisitivo</v>
          </cell>
          <cell r="L91">
            <v>0</v>
          </cell>
          <cell r="M91">
            <v>35</v>
          </cell>
          <cell r="N91">
            <v>0.1</v>
          </cell>
          <cell r="O91">
            <v>0</v>
          </cell>
          <cell r="P91">
            <v>0.1</v>
          </cell>
          <cell r="Q91">
            <v>0</v>
          </cell>
          <cell r="R91">
            <v>0</v>
          </cell>
          <cell r="S91">
            <v>4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-1.372304951927994E-20</v>
          </cell>
          <cell r="Y91">
            <v>1.2442422102669103E-18</v>
          </cell>
          <cell r="Z91">
            <v>-3.4098255198140217E-17</v>
          </cell>
          <cell r="AA91">
            <v>1.0000000000000002</v>
          </cell>
          <cell r="AB91">
            <v>2.1981949867110947E-15</v>
          </cell>
          <cell r="AC91">
            <v>0</v>
          </cell>
          <cell r="AD91">
            <v>0.1</v>
          </cell>
          <cell r="AE91">
            <v>2</v>
          </cell>
          <cell r="AF91">
            <v>1000000</v>
          </cell>
          <cell r="AG91">
            <v>15</v>
          </cell>
          <cell r="AH91">
            <v>0.1</v>
          </cell>
          <cell r="AI91">
            <v>2</v>
          </cell>
          <cell r="AJ91">
            <v>1000000</v>
          </cell>
          <cell r="AK91">
            <v>20</v>
          </cell>
          <cell r="AL91">
            <v>0.1</v>
          </cell>
          <cell r="AM91">
            <v>2</v>
          </cell>
          <cell r="AN91">
            <v>1000000</v>
          </cell>
          <cell r="AO91">
            <v>25</v>
          </cell>
          <cell r="AP91">
            <v>0.1</v>
          </cell>
          <cell r="AQ91">
            <v>2</v>
          </cell>
          <cell r="AR91">
            <v>1000000</v>
          </cell>
          <cell r="AS91">
            <v>30</v>
          </cell>
          <cell r="AT91">
            <v>0.1</v>
          </cell>
          <cell r="AU91">
            <v>2</v>
          </cell>
          <cell r="AV91">
            <v>1000000</v>
          </cell>
          <cell r="AW91">
            <v>35</v>
          </cell>
          <cell r="AX91">
            <v>0.1</v>
          </cell>
          <cell r="AY91">
            <v>2</v>
          </cell>
          <cell r="AZ91">
            <v>1000000</v>
          </cell>
          <cell r="BA91" t="str">
            <v>-</v>
          </cell>
          <cell r="BB91" t="str">
            <v>-</v>
          </cell>
          <cell r="BC91" t="str">
            <v>-</v>
          </cell>
          <cell r="BD91" t="str">
            <v>-</v>
          </cell>
          <cell r="BE91" t="str">
            <v>-</v>
          </cell>
          <cell r="BF91" t="str">
            <v>-</v>
          </cell>
          <cell r="BG91" t="str">
            <v>-</v>
          </cell>
          <cell r="BH91" t="str">
            <v>-</v>
          </cell>
          <cell r="BI91" t="str">
            <v>-</v>
          </cell>
          <cell r="BJ91" t="str">
            <v>-</v>
          </cell>
          <cell r="BK91" t="str">
            <v>-</v>
          </cell>
          <cell r="BL91" t="str">
            <v>-</v>
          </cell>
          <cell r="BM91" t="str">
            <v>-</v>
          </cell>
          <cell r="BN91" t="str">
            <v>-</v>
          </cell>
          <cell r="BO91" t="str">
            <v>-</v>
          </cell>
          <cell r="BP91" t="str">
            <v>-</v>
          </cell>
        </row>
        <row r="92">
          <cell r="A92">
            <v>87</v>
          </cell>
          <cell r="B92" t="str">
            <v>E.TH.LQ-016</v>
          </cell>
          <cell r="C92" t="str">
            <v>Termômetro Digital</v>
          </cell>
          <cell r="D92" t="str">
            <v>Elus</v>
          </cell>
          <cell r="E92" t="str">
            <v>RBC - CAL 0439</v>
          </cell>
          <cell r="F92" t="str">
            <v>E0027/26</v>
          </cell>
          <cell r="G92">
            <v>46036</v>
          </cell>
          <cell r="H92">
            <v>46417</v>
          </cell>
          <cell r="I92" t="str">
            <v>°C</v>
          </cell>
          <cell r="J92" t="str">
            <v>Contato</v>
          </cell>
          <cell r="K92" t="str">
            <v>Termoresisitivo</v>
          </cell>
          <cell r="L92">
            <v>15</v>
          </cell>
          <cell r="M92">
            <v>35</v>
          </cell>
          <cell r="N92">
            <v>0.1</v>
          </cell>
          <cell r="O92">
            <v>0.10000000000000142</v>
          </cell>
          <cell r="P92">
            <v>0.1</v>
          </cell>
          <cell r="Q92">
            <v>0.10000000000000142</v>
          </cell>
          <cell r="R92">
            <v>3.6347624175429583E-2</v>
          </cell>
          <cell r="S92">
            <v>3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-6.7628283996862225E-5</v>
          </cell>
          <cell r="Z92">
            <v>5.3525295193286295E-3</v>
          </cell>
          <cell r="AA92">
            <v>0.87092776809789874</v>
          </cell>
          <cell r="AB92">
            <v>0.96428239357084999</v>
          </cell>
          <cell r="AC92">
            <v>15</v>
          </cell>
          <cell r="AD92">
            <v>0.1</v>
          </cell>
          <cell r="AE92">
            <v>2</v>
          </cell>
          <cell r="AF92">
            <v>1000000</v>
          </cell>
          <cell r="AG92">
            <v>20</v>
          </cell>
          <cell r="AH92">
            <v>0.1</v>
          </cell>
          <cell r="AI92">
            <v>2</v>
          </cell>
          <cell r="AJ92">
            <v>1000000</v>
          </cell>
          <cell r="AK92">
            <v>25</v>
          </cell>
          <cell r="AL92">
            <v>0.1</v>
          </cell>
          <cell r="AM92">
            <v>2</v>
          </cell>
          <cell r="AN92">
            <v>1000000</v>
          </cell>
          <cell r="AO92">
            <v>30</v>
          </cell>
          <cell r="AP92">
            <v>0.1</v>
          </cell>
          <cell r="AQ92">
            <v>2</v>
          </cell>
          <cell r="AR92">
            <v>1000000</v>
          </cell>
          <cell r="AS92">
            <v>35</v>
          </cell>
          <cell r="AT92">
            <v>0.1</v>
          </cell>
          <cell r="AU92">
            <v>2</v>
          </cell>
          <cell r="AV92">
            <v>1000000</v>
          </cell>
          <cell r="AW92" t="str">
            <v>-</v>
          </cell>
          <cell r="AX92" t="str">
            <v>-</v>
          </cell>
          <cell r="AY92" t="str">
            <v>-</v>
          </cell>
          <cell r="AZ92" t="str">
            <v>-</v>
          </cell>
          <cell r="BA92" t="str">
            <v>-</v>
          </cell>
          <cell r="BB92" t="str">
            <v>-</v>
          </cell>
          <cell r="BC92" t="str">
            <v>-</v>
          </cell>
          <cell r="BD92" t="str">
            <v>-</v>
          </cell>
          <cell r="BE92" t="str">
            <v>-</v>
          </cell>
          <cell r="BF92" t="str">
            <v>-</v>
          </cell>
          <cell r="BG92" t="str">
            <v>-</v>
          </cell>
          <cell r="BH92" t="str">
            <v>-</v>
          </cell>
          <cell r="BI92" t="str">
            <v>-</v>
          </cell>
          <cell r="BJ92" t="str">
            <v>-</v>
          </cell>
          <cell r="BK92" t="str">
            <v>-</v>
          </cell>
          <cell r="BL92" t="str">
            <v>-</v>
          </cell>
          <cell r="BM92" t="str">
            <v>-</v>
          </cell>
          <cell r="BN92" t="str">
            <v>-</v>
          </cell>
          <cell r="BO92" t="str">
            <v>-</v>
          </cell>
          <cell r="BP92" t="str">
            <v>-</v>
          </cell>
        </row>
        <row r="93">
          <cell r="A93">
            <v>88</v>
          </cell>
          <cell r="B93" t="str">
            <v>E.TH.LQ-007</v>
          </cell>
          <cell r="C93" t="str">
            <v>Termômetro Digital</v>
          </cell>
          <cell r="D93" t="str">
            <v>Elus</v>
          </cell>
          <cell r="E93" t="str">
            <v>RBC - CAL 0439</v>
          </cell>
          <cell r="F93" t="str">
            <v>E0527/25</v>
          </cell>
          <cell r="G93">
            <v>45884</v>
          </cell>
          <cell r="H93">
            <v>46264</v>
          </cell>
          <cell r="I93" t="str">
            <v>°C</v>
          </cell>
          <cell r="J93" t="str">
            <v>Contato</v>
          </cell>
          <cell r="K93" t="str">
            <v>Termoresisitivo</v>
          </cell>
          <cell r="L93">
            <v>15</v>
          </cell>
          <cell r="M93">
            <v>35</v>
          </cell>
          <cell r="N93">
            <v>0.1</v>
          </cell>
          <cell r="O93">
            <v>0.10000000000000142</v>
          </cell>
          <cell r="P93">
            <v>0.1</v>
          </cell>
          <cell r="Q93">
            <v>0.10000000000000142</v>
          </cell>
          <cell r="R93">
            <v>3.5374328320040616E-2</v>
          </cell>
          <cell r="S93">
            <v>3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6.5711077831950271E-5</v>
          </cell>
          <cell r="Z93">
            <v>-4.6375269312513749E-3</v>
          </cell>
          <cell r="AA93">
            <v>1.0970866723681396</v>
          </cell>
          <cell r="AB93">
            <v>-0.53012839192736561</v>
          </cell>
          <cell r="AC93">
            <v>15</v>
          </cell>
          <cell r="AD93">
            <v>0.1</v>
          </cell>
          <cell r="AE93">
            <v>2</v>
          </cell>
          <cell r="AF93">
            <v>1000000</v>
          </cell>
          <cell r="AG93">
            <v>20</v>
          </cell>
          <cell r="AH93">
            <v>0.1</v>
          </cell>
          <cell r="AI93">
            <v>2</v>
          </cell>
          <cell r="AJ93">
            <v>1000000</v>
          </cell>
          <cell r="AK93">
            <v>25</v>
          </cell>
          <cell r="AL93">
            <v>0.1</v>
          </cell>
          <cell r="AM93">
            <v>2</v>
          </cell>
          <cell r="AN93">
            <v>1000000</v>
          </cell>
          <cell r="AO93">
            <v>30</v>
          </cell>
          <cell r="AP93">
            <v>0.1</v>
          </cell>
          <cell r="AQ93">
            <v>2</v>
          </cell>
          <cell r="AR93">
            <v>1000000</v>
          </cell>
          <cell r="AS93">
            <v>35</v>
          </cell>
          <cell r="AT93">
            <v>0.1</v>
          </cell>
          <cell r="AU93">
            <v>2</v>
          </cell>
          <cell r="AV93">
            <v>1000000</v>
          </cell>
          <cell r="AW93" t="str">
            <v>-</v>
          </cell>
          <cell r="AX93" t="str">
            <v>-</v>
          </cell>
          <cell r="AY93" t="str">
            <v>-</v>
          </cell>
          <cell r="AZ93" t="str">
            <v>-</v>
          </cell>
          <cell r="BA93" t="str">
            <v>-</v>
          </cell>
          <cell r="BB93" t="str">
            <v>-</v>
          </cell>
          <cell r="BC93" t="str">
            <v>-</v>
          </cell>
          <cell r="BD93" t="str">
            <v>-</v>
          </cell>
          <cell r="BE93" t="str">
            <v>-</v>
          </cell>
          <cell r="BF93" t="str">
            <v>-</v>
          </cell>
          <cell r="BG93" t="str">
            <v>-</v>
          </cell>
          <cell r="BH93" t="str">
            <v>-</v>
          </cell>
          <cell r="BI93" t="str">
            <v>-</v>
          </cell>
          <cell r="BJ93" t="str">
            <v>-</v>
          </cell>
          <cell r="BK93" t="str">
            <v>-</v>
          </cell>
          <cell r="BL93" t="str">
            <v>-</v>
          </cell>
          <cell r="BM93" t="str">
            <v>-</v>
          </cell>
          <cell r="BN93" t="str">
            <v>-</v>
          </cell>
          <cell r="BO93" t="str">
            <v>-</v>
          </cell>
          <cell r="BP93" t="str">
            <v>-</v>
          </cell>
        </row>
        <row r="94">
          <cell r="A94">
            <v>89</v>
          </cell>
          <cell r="B94" t="str">
            <v>E.TH.FS-032</v>
          </cell>
          <cell r="C94" t="str">
            <v>Termômetro Digital</v>
          </cell>
          <cell r="D94" t="str">
            <v>Elus</v>
          </cell>
          <cell r="E94" t="str">
            <v>RBC - CAL 0439</v>
          </cell>
          <cell r="F94" t="str">
            <v>E0731/25</v>
          </cell>
          <cell r="G94">
            <v>45957</v>
          </cell>
          <cell r="H94">
            <v>46325</v>
          </cell>
          <cell r="I94" t="str">
            <v>°C</v>
          </cell>
          <cell r="J94" t="str">
            <v>Contato</v>
          </cell>
          <cell r="K94" t="str">
            <v>Termoresisitivo</v>
          </cell>
          <cell r="L94">
            <v>0</v>
          </cell>
          <cell r="M94">
            <v>35</v>
          </cell>
          <cell r="N94">
            <v>0.1</v>
          </cell>
          <cell r="O94">
            <v>0.20000000000000284</v>
          </cell>
          <cell r="P94">
            <v>0.1</v>
          </cell>
          <cell r="Q94">
            <v>0.19999999999999929</v>
          </cell>
          <cell r="R94">
            <v>2.9104136599392039E-2</v>
          </cell>
          <cell r="S94">
            <v>4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3.6065638813316325E-6</v>
          </cell>
          <cell r="Y94">
            <v>-2.877292300689903E-4</v>
          </cell>
          <cell r="Z94">
            <v>7.3271473357286263E-3</v>
          </cell>
          <cell r="AA94">
            <v>0.93554042175541274</v>
          </cell>
          <cell r="AB94">
            <v>1.5999495800911312E-4</v>
          </cell>
          <cell r="AC94">
            <v>0</v>
          </cell>
          <cell r="AD94">
            <v>0.1</v>
          </cell>
          <cell r="AE94">
            <v>2</v>
          </cell>
          <cell r="AF94">
            <v>1000000</v>
          </cell>
          <cell r="AG94">
            <v>15</v>
          </cell>
          <cell r="AH94">
            <v>0.1</v>
          </cell>
          <cell r="AI94">
            <v>2</v>
          </cell>
          <cell r="AJ94">
            <v>1000000</v>
          </cell>
          <cell r="AK94">
            <v>20</v>
          </cell>
          <cell r="AL94">
            <v>0.1</v>
          </cell>
          <cell r="AM94">
            <v>2</v>
          </cell>
          <cell r="AN94">
            <v>1000000</v>
          </cell>
          <cell r="AO94">
            <v>25</v>
          </cell>
          <cell r="AP94">
            <v>0.1</v>
          </cell>
          <cell r="AQ94">
            <v>2</v>
          </cell>
          <cell r="AR94">
            <v>1000000</v>
          </cell>
          <cell r="AS94">
            <v>30</v>
          </cell>
          <cell r="AT94">
            <v>0.1</v>
          </cell>
          <cell r="AU94">
            <v>2</v>
          </cell>
          <cell r="AV94">
            <v>1000000</v>
          </cell>
          <cell r="AW94">
            <v>35</v>
          </cell>
          <cell r="AX94">
            <v>0.1</v>
          </cell>
          <cell r="AY94">
            <v>2</v>
          </cell>
          <cell r="AZ94">
            <v>1000000</v>
          </cell>
          <cell r="BA94" t="str">
            <v>-</v>
          </cell>
          <cell r="BB94" t="str">
            <v>-</v>
          </cell>
          <cell r="BC94" t="str">
            <v>-</v>
          </cell>
          <cell r="BD94" t="str">
            <v>-</v>
          </cell>
          <cell r="BE94" t="str">
            <v>-</v>
          </cell>
          <cell r="BF94" t="str">
            <v>-</v>
          </cell>
          <cell r="BG94" t="str">
            <v>-</v>
          </cell>
          <cell r="BH94" t="str">
            <v>-</v>
          </cell>
          <cell r="BI94" t="str">
            <v>-</v>
          </cell>
          <cell r="BJ94" t="str">
            <v>-</v>
          </cell>
          <cell r="BK94" t="str">
            <v>-</v>
          </cell>
          <cell r="BL94" t="str">
            <v>-</v>
          </cell>
          <cell r="BM94" t="str">
            <v>-</v>
          </cell>
          <cell r="BN94" t="str">
            <v>-</v>
          </cell>
          <cell r="BO94" t="str">
            <v>-</v>
          </cell>
          <cell r="BP94" t="str">
            <v>-</v>
          </cell>
        </row>
        <row r="95">
          <cell r="A95">
            <v>90</v>
          </cell>
          <cell r="B95" t="str">
            <v>EL-934</v>
          </cell>
          <cell r="C95" t="str">
            <v>Termômetro Digital</v>
          </cell>
          <cell r="D95" t="str">
            <v>Elus</v>
          </cell>
          <cell r="E95" t="str">
            <v>RBC - CAL 0439</v>
          </cell>
          <cell r="F95" t="str">
            <v>E143338/23</v>
          </cell>
          <cell r="G95">
            <v>45155</v>
          </cell>
          <cell r="H95">
            <v>45534</v>
          </cell>
          <cell r="I95" t="str">
            <v>°C</v>
          </cell>
          <cell r="J95" t="str">
            <v>Contato</v>
          </cell>
          <cell r="K95" t="str">
            <v>Termoresisitivo</v>
          </cell>
          <cell r="L95">
            <v>15</v>
          </cell>
          <cell r="M95">
            <v>35</v>
          </cell>
          <cell r="N95">
            <v>0.1</v>
          </cell>
          <cell r="O95">
            <v>0.30000000000000071</v>
          </cell>
          <cell r="P95">
            <v>0.1</v>
          </cell>
          <cell r="Q95">
            <v>0.10000000000000142</v>
          </cell>
          <cell r="R95">
            <v>1.2315432485317912E-2</v>
          </cell>
          <cell r="S95">
            <v>3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6.854798972927253E-5</v>
          </cell>
          <cell r="Z95">
            <v>-5.667840268580953E-3</v>
          </cell>
          <cell r="AA95">
            <v>1.1528242484915452</v>
          </cell>
          <cell r="AB95">
            <v>-1.0410167711923359</v>
          </cell>
          <cell r="AC95">
            <v>15</v>
          </cell>
          <cell r="AD95">
            <v>0.1</v>
          </cell>
          <cell r="AE95">
            <v>2</v>
          </cell>
          <cell r="AF95">
            <v>1000000</v>
          </cell>
          <cell r="AG95">
            <v>20</v>
          </cell>
          <cell r="AH95">
            <v>0.1</v>
          </cell>
          <cell r="AI95">
            <v>2</v>
          </cell>
          <cell r="AJ95">
            <v>1000000</v>
          </cell>
          <cell r="AK95">
            <v>25</v>
          </cell>
          <cell r="AL95">
            <v>0.1</v>
          </cell>
          <cell r="AM95">
            <v>2</v>
          </cell>
          <cell r="AN95">
            <v>1000000</v>
          </cell>
          <cell r="AO95">
            <v>30</v>
          </cell>
          <cell r="AP95">
            <v>0.1</v>
          </cell>
          <cell r="AQ95">
            <v>2</v>
          </cell>
          <cell r="AR95">
            <v>1000000</v>
          </cell>
          <cell r="AS95">
            <v>35</v>
          </cell>
          <cell r="AT95">
            <v>0.1</v>
          </cell>
          <cell r="AU95">
            <v>2</v>
          </cell>
          <cell r="AV95">
            <v>1000000</v>
          </cell>
          <cell r="AW95" t="str">
            <v>-</v>
          </cell>
          <cell r="AX95" t="str">
            <v>-</v>
          </cell>
          <cell r="AY95" t="str">
            <v>-</v>
          </cell>
          <cell r="AZ95" t="str">
            <v>-</v>
          </cell>
          <cell r="BA95" t="str">
            <v>-</v>
          </cell>
          <cell r="BB95" t="str">
            <v>-</v>
          </cell>
          <cell r="BC95" t="str">
            <v>-</v>
          </cell>
          <cell r="BD95" t="str">
            <v>-</v>
          </cell>
          <cell r="BE95" t="str">
            <v>-</v>
          </cell>
          <cell r="BF95" t="str">
            <v>-</v>
          </cell>
          <cell r="BG95" t="str">
            <v>-</v>
          </cell>
          <cell r="BH95" t="str">
            <v>-</v>
          </cell>
          <cell r="BI95" t="str">
            <v>-</v>
          </cell>
          <cell r="BJ95" t="str">
            <v>-</v>
          </cell>
          <cell r="BK95" t="str">
            <v>-</v>
          </cell>
          <cell r="BL95" t="str">
            <v>-</v>
          </cell>
          <cell r="BM95" t="str">
            <v>-</v>
          </cell>
          <cell r="BN95" t="str">
            <v>-</v>
          </cell>
          <cell r="BO95" t="str">
            <v>-</v>
          </cell>
          <cell r="BP95" t="str">
            <v>-</v>
          </cell>
        </row>
        <row r="96">
          <cell r="A96">
            <v>91</v>
          </cell>
          <cell r="B96" t="str">
            <v>E.TH.FS-026</v>
          </cell>
          <cell r="C96" t="str">
            <v>Termômetro Digital</v>
          </cell>
          <cell r="D96" t="str">
            <v>Elus</v>
          </cell>
          <cell r="E96" t="str">
            <v>RBC - CAL 0439</v>
          </cell>
          <cell r="F96" t="str">
            <v>E0727/25</v>
          </cell>
          <cell r="G96">
            <v>45953</v>
          </cell>
          <cell r="H96">
            <v>46325</v>
          </cell>
          <cell r="I96" t="str">
            <v>°C</v>
          </cell>
          <cell r="J96" t="str">
            <v>Contato</v>
          </cell>
          <cell r="K96" t="str">
            <v>Termoresisitivo</v>
          </cell>
          <cell r="L96">
            <v>0</v>
          </cell>
          <cell r="M96">
            <v>35</v>
          </cell>
          <cell r="N96">
            <v>0.1</v>
          </cell>
          <cell r="O96">
            <v>0.10000000000000142</v>
          </cell>
          <cell r="P96">
            <v>0.1</v>
          </cell>
          <cell r="Q96">
            <v>0.10000000000000142</v>
          </cell>
          <cell r="R96">
            <v>3.8493233803534699E-2</v>
          </cell>
          <cell r="S96">
            <v>4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1.4159232198083351E-6</v>
          </cell>
          <cell r="Y96">
            <v>-8.8753998826706683E-5</v>
          </cell>
          <cell r="Z96">
            <v>1.4757325217211966E-3</v>
          </cell>
          <cell r="AA96">
            <v>0.9935670008703148</v>
          </cell>
          <cell r="AB96">
            <v>-2.1574618055331118E-4</v>
          </cell>
          <cell r="AC96">
            <v>0</v>
          </cell>
          <cell r="AD96">
            <v>0.1</v>
          </cell>
          <cell r="AE96">
            <v>2</v>
          </cell>
          <cell r="AF96">
            <v>1000000</v>
          </cell>
          <cell r="AG96">
            <v>15</v>
          </cell>
          <cell r="AH96">
            <v>0.1</v>
          </cell>
          <cell r="AI96">
            <v>2</v>
          </cell>
          <cell r="AJ96">
            <v>1000000</v>
          </cell>
          <cell r="AK96">
            <v>20</v>
          </cell>
          <cell r="AL96">
            <v>0.1</v>
          </cell>
          <cell r="AM96">
            <v>2</v>
          </cell>
          <cell r="AN96">
            <v>1000000</v>
          </cell>
          <cell r="AO96">
            <v>25</v>
          </cell>
          <cell r="AP96">
            <v>0.1</v>
          </cell>
          <cell r="AQ96">
            <v>2</v>
          </cell>
          <cell r="AR96">
            <v>1000000</v>
          </cell>
          <cell r="AS96">
            <v>30</v>
          </cell>
          <cell r="AT96">
            <v>0.1</v>
          </cell>
          <cell r="AU96">
            <v>2</v>
          </cell>
          <cell r="AV96">
            <v>1000000</v>
          </cell>
          <cell r="AW96">
            <v>35</v>
          </cell>
          <cell r="AX96">
            <v>0.1</v>
          </cell>
          <cell r="AY96">
            <v>2</v>
          </cell>
          <cell r="AZ96">
            <v>1000000</v>
          </cell>
          <cell r="BA96" t="str">
            <v>-</v>
          </cell>
          <cell r="BB96" t="str">
            <v>-</v>
          </cell>
          <cell r="BC96" t="str">
            <v>-</v>
          </cell>
          <cell r="BD96" t="str">
            <v>-</v>
          </cell>
          <cell r="BE96" t="str">
            <v>-</v>
          </cell>
          <cell r="BF96" t="str">
            <v>-</v>
          </cell>
          <cell r="BG96" t="str">
            <v>-</v>
          </cell>
          <cell r="BH96" t="str">
            <v>-</v>
          </cell>
          <cell r="BI96" t="str">
            <v>-</v>
          </cell>
          <cell r="BJ96" t="str">
            <v>-</v>
          </cell>
          <cell r="BK96" t="str">
            <v>-</v>
          </cell>
          <cell r="BL96" t="str">
            <v>-</v>
          </cell>
          <cell r="BM96" t="str">
            <v>-</v>
          </cell>
          <cell r="BN96" t="str">
            <v>-</v>
          </cell>
          <cell r="BO96" t="str">
            <v>-</v>
          </cell>
          <cell r="BP96" t="str">
            <v>-</v>
          </cell>
        </row>
        <row r="97">
          <cell r="A97">
            <v>92</v>
          </cell>
          <cell r="B97" t="str">
            <v>E.TH.LQ-012</v>
          </cell>
          <cell r="C97" t="str">
            <v>Termômetro Digital</v>
          </cell>
          <cell r="D97" t="str">
            <v>Elus</v>
          </cell>
          <cell r="E97" t="str">
            <v>RBC - CAL 0439</v>
          </cell>
          <cell r="F97" t="str">
            <v>E0532/25</v>
          </cell>
          <cell r="G97">
            <v>45884</v>
          </cell>
          <cell r="H97">
            <v>46265</v>
          </cell>
          <cell r="I97" t="str">
            <v>°C</v>
          </cell>
          <cell r="J97" t="str">
            <v>Contato</v>
          </cell>
          <cell r="K97" t="str">
            <v>Termoresisitivo</v>
          </cell>
          <cell r="L97">
            <v>15</v>
          </cell>
          <cell r="M97">
            <v>35</v>
          </cell>
          <cell r="N97">
            <v>0.1</v>
          </cell>
          <cell r="O97">
            <v>0.30000000000000071</v>
          </cell>
          <cell r="P97">
            <v>0.1</v>
          </cell>
          <cell r="Q97">
            <v>0.20000000000000107</v>
          </cell>
          <cell r="R97">
            <v>3.5374328320039561E-2</v>
          </cell>
          <cell r="S97">
            <v>3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6.5711077831953063E-5</v>
          </cell>
          <cell r="Z97">
            <v>-4.5981002845523859E-3</v>
          </cell>
          <cell r="AA97">
            <v>1.0952395469249827</v>
          </cell>
          <cell r="AB97">
            <v>-0.31089603284238887</v>
          </cell>
          <cell r="AC97">
            <v>15</v>
          </cell>
          <cell r="AD97">
            <v>0.1</v>
          </cell>
          <cell r="AE97">
            <v>2</v>
          </cell>
          <cell r="AF97">
            <v>1000000</v>
          </cell>
          <cell r="AG97">
            <v>20</v>
          </cell>
          <cell r="AH97">
            <v>0.1</v>
          </cell>
          <cell r="AI97">
            <v>2</v>
          </cell>
          <cell r="AJ97">
            <v>1000000</v>
          </cell>
          <cell r="AK97">
            <v>25</v>
          </cell>
          <cell r="AL97">
            <v>0.1</v>
          </cell>
          <cell r="AM97">
            <v>2</v>
          </cell>
          <cell r="AN97">
            <v>1000000</v>
          </cell>
          <cell r="AO97">
            <v>30</v>
          </cell>
          <cell r="AP97">
            <v>0.1</v>
          </cell>
          <cell r="AQ97">
            <v>2</v>
          </cell>
          <cell r="AR97">
            <v>1000000</v>
          </cell>
          <cell r="AS97">
            <v>35</v>
          </cell>
          <cell r="AT97">
            <v>0.1</v>
          </cell>
          <cell r="AU97">
            <v>2</v>
          </cell>
          <cell r="AV97">
            <v>1000000</v>
          </cell>
          <cell r="AW97" t="str">
            <v>-</v>
          </cell>
          <cell r="AX97" t="str">
            <v>-</v>
          </cell>
          <cell r="AY97" t="str">
            <v>-</v>
          </cell>
          <cell r="AZ97" t="str">
            <v>-</v>
          </cell>
          <cell r="BA97" t="str">
            <v>-</v>
          </cell>
          <cell r="BB97" t="str">
            <v>-</v>
          </cell>
          <cell r="BC97" t="str">
            <v>-</v>
          </cell>
          <cell r="BD97" t="str">
            <v>-</v>
          </cell>
          <cell r="BE97" t="str">
            <v>-</v>
          </cell>
          <cell r="BF97" t="str">
            <v>-</v>
          </cell>
          <cell r="BG97" t="str">
            <v>-</v>
          </cell>
          <cell r="BH97" t="str">
            <v>-</v>
          </cell>
          <cell r="BI97" t="str">
            <v>-</v>
          </cell>
          <cell r="BJ97" t="str">
            <v>-</v>
          </cell>
          <cell r="BK97" t="str">
            <v>-</v>
          </cell>
          <cell r="BL97" t="str">
            <v>-</v>
          </cell>
          <cell r="BM97" t="str">
            <v>-</v>
          </cell>
          <cell r="BN97" t="str">
            <v>-</v>
          </cell>
          <cell r="BO97" t="str">
            <v>-</v>
          </cell>
          <cell r="BP97" t="str">
            <v>-</v>
          </cell>
        </row>
        <row r="98">
          <cell r="A98">
            <v>93</v>
          </cell>
          <cell r="B98" t="str">
            <v>E.TH.LQ-008</v>
          </cell>
          <cell r="C98" t="str">
            <v>Termômetro Digital</v>
          </cell>
          <cell r="D98" t="str">
            <v>Elus</v>
          </cell>
          <cell r="E98" t="str">
            <v>RBC - CAL 0439</v>
          </cell>
          <cell r="F98" t="str">
            <v>E0528/25</v>
          </cell>
          <cell r="G98">
            <v>45884</v>
          </cell>
          <cell r="H98">
            <v>46265</v>
          </cell>
          <cell r="I98" t="str">
            <v>°C</v>
          </cell>
          <cell r="J98" t="str">
            <v>Contato</v>
          </cell>
          <cell r="K98" t="str">
            <v>Termoresisitivo</v>
          </cell>
          <cell r="L98">
            <v>15</v>
          </cell>
          <cell r="M98">
            <v>35</v>
          </cell>
          <cell r="N98">
            <v>0.1</v>
          </cell>
          <cell r="O98">
            <v>0.19999999999999929</v>
          </cell>
          <cell r="P98">
            <v>0.1</v>
          </cell>
          <cell r="Q98">
            <v>0.19999999999999929</v>
          </cell>
          <cell r="R98">
            <v>6.9799837106463758E-2</v>
          </cell>
          <cell r="S98">
            <v>3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1.2952448666119875E-4</v>
          </cell>
          <cell r="Z98">
            <v>-9.1229753015000352E-3</v>
          </cell>
          <cell r="AA98">
            <v>1.1902993173246932</v>
          </cell>
          <cell r="AB98">
            <v>-1.0295800011097782</v>
          </cell>
          <cell r="AC98">
            <v>15</v>
          </cell>
          <cell r="AD98">
            <v>0.1</v>
          </cell>
          <cell r="AE98">
            <v>2</v>
          </cell>
          <cell r="AF98">
            <v>1000000</v>
          </cell>
          <cell r="AG98">
            <v>20</v>
          </cell>
          <cell r="AH98">
            <v>0.1</v>
          </cell>
          <cell r="AI98">
            <v>2</v>
          </cell>
          <cell r="AJ98">
            <v>1000000</v>
          </cell>
          <cell r="AK98">
            <v>25</v>
          </cell>
          <cell r="AL98">
            <v>0.1</v>
          </cell>
          <cell r="AM98">
            <v>2</v>
          </cell>
          <cell r="AN98">
            <v>1000000</v>
          </cell>
          <cell r="AO98">
            <v>30</v>
          </cell>
          <cell r="AP98">
            <v>0.1</v>
          </cell>
          <cell r="AQ98">
            <v>2</v>
          </cell>
          <cell r="AR98">
            <v>1000000</v>
          </cell>
          <cell r="AS98">
            <v>35</v>
          </cell>
          <cell r="AT98">
            <v>0.1</v>
          </cell>
          <cell r="AU98">
            <v>2</v>
          </cell>
          <cell r="AV98">
            <v>1000000</v>
          </cell>
          <cell r="AW98" t="str">
            <v>-</v>
          </cell>
          <cell r="AX98" t="str">
            <v>-</v>
          </cell>
          <cell r="AY98" t="str">
            <v>-</v>
          </cell>
          <cell r="AZ98" t="str">
            <v>-</v>
          </cell>
          <cell r="BA98" t="str">
            <v>-</v>
          </cell>
          <cell r="BB98" t="str">
            <v>-</v>
          </cell>
          <cell r="BC98" t="str">
            <v>-</v>
          </cell>
          <cell r="BD98" t="str">
            <v>-</v>
          </cell>
          <cell r="BE98" t="str">
            <v>-</v>
          </cell>
          <cell r="BF98" t="str">
            <v>-</v>
          </cell>
          <cell r="BG98" t="str">
            <v>-</v>
          </cell>
          <cell r="BH98" t="str">
            <v>-</v>
          </cell>
          <cell r="BI98" t="str">
            <v>-</v>
          </cell>
          <cell r="BJ98" t="str">
            <v>-</v>
          </cell>
          <cell r="BK98" t="str">
            <v>-</v>
          </cell>
          <cell r="BL98" t="str">
            <v>-</v>
          </cell>
          <cell r="BM98" t="str">
            <v>-</v>
          </cell>
          <cell r="BN98" t="str">
            <v>-</v>
          </cell>
          <cell r="BO98" t="str">
            <v>-</v>
          </cell>
          <cell r="BP98" t="str">
            <v>-</v>
          </cell>
        </row>
        <row r="99">
          <cell r="A99">
            <v>94</v>
          </cell>
          <cell r="B99" t="str">
            <v>E.TH.FS-010</v>
          </cell>
          <cell r="C99" t="str">
            <v>Termômetro Digital</v>
          </cell>
          <cell r="D99" t="str">
            <v>Elus</v>
          </cell>
          <cell r="E99" t="str">
            <v>RBC - CAL 0439</v>
          </cell>
          <cell r="F99" t="str">
            <v>E0640/25</v>
          </cell>
          <cell r="G99">
            <v>45908</v>
          </cell>
          <cell r="H99">
            <v>46295</v>
          </cell>
          <cell r="I99" t="str">
            <v>°C</v>
          </cell>
          <cell r="J99" t="str">
            <v>Contato</v>
          </cell>
          <cell r="K99" t="str">
            <v>Termoresisitivo</v>
          </cell>
          <cell r="L99">
            <v>15</v>
          </cell>
          <cell r="M99">
            <v>35</v>
          </cell>
          <cell r="N99">
            <v>0.1</v>
          </cell>
          <cell r="O99">
            <v>0.10000000000000142</v>
          </cell>
          <cell r="P99">
            <v>0.1</v>
          </cell>
          <cell r="Q99">
            <v>0.10000000000000142</v>
          </cell>
          <cell r="R99">
            <v>1.3600232051658168E-15</v>
          </cell>
          <cell r="S99">
            <v>3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-2.6632037784446471E-18</v>
          </cell>
          <cell r="Z99">
            <v>2.1618592433585082E-16</v>
          </cell>
          <cell r="AA99">
            <v>0.99999999999999423</v>
          </cell>
          <cell r="AB99">
            <v>-9.9999999999950628E-2</v>
          </cell>
          <cell r="AC99">
            <v>15</v>
          </cell>
          <cell r="AD99">
            <v>0.1</v>
          </cell>
          <cell r="AE99">
            <v>2</v>
          </cell>
          <cell r="AF99">
            <v>1000000</v>
          </cell>
          <cell r="AG99">
            <v>20</v>
          </cell>
          <cell r="AH99">
            <v>0.1</v>
          </cell>
          <cell r="AI99">
            <v>2</v>
          </cell>
          <cell r="AJ99">
            <v>1000000</v>
          </cell>
          <cell r="AK99">
            <v>25</v>
          </cell>
          <cell r="AL99">
            <v>0.1</v>
          </cell>
          <cell r="AM99">
            <v>2</v>
          </cell>
          <cell r="AN99">
            <v>1000000</v>
          </cell>
          <cell r="AO99">
            <v>30</v>
          </cell>
          <cell r="AP99">
            <v>0.1</v>
          </cell>
          <cell r="AQ99">
            <v>2</v>
          </cell>
          <cell r="AR99">
            <v>1000000</v>
          </cell>
          <cell r="AS99">
            <v>35</v>
          </cell>
          <cell r="AT99">
            <v>0.1</v>
          </cell>
          <cell r="AU99">
            <v>2</v>
          </cell>
          <cell r="AV99">
            <v>1000000</v>
          </cell>
          <cell r="AW99" t="str">
            <v>-</v>
          </cell>
          <cell r="AX99" t="str">
            <v>-</v>
          </cell>
          <cell r="AY99" t="str">
            <v>-</v>
          </cell>
          <cell r="AZ99" t="str">
            <v>-</v>
          </cell>
          <cell r="BA99" t="str">
            <v>-</v>
          </cell>
          <cell r="BB99" t="str">
            <v>-</v>
          </cell>
          <cell r="BC99" t="str">
            <v>-</v>
          </cell>
          <cell r="BD99" t="str">
            <v>-</v>
          </cell>
          <cell r="BE99" t="str">
            <v>-</v>
          </cell>
          <cell r="BF99" t="str">
            <v>-</v>
          </cell>
          <cell r="BG99" t="str">
            <v>-</v>
          </cell>
          <cell r="BH99" t="str">
            <v>-</v>
          </cell>
          <cell r="BI99" t="str">
            <v>-</v>
          </cell>
          <cell r="BJ99" t="str">
            <v>-</v>
          </cell>
          <cell r="BK99" t="str">
            <v>-</v>
          </cell>
          <cell r="BL99" t="str">
            <v>-</v>
          </cell>
          <cell r="BM99" t="str">
            <v>-</v>
          </cell>
          <cell r="BN99" t="str">
            <v>-</v>
          </cell>
          <cell r="BO99" t="str">
            <v>-</v>
          </cell>
          <cell r="BP99" t="str">
            <v>-</v>
          </cell>
        </row>
        <row r="100">
          <cell r="A100">
            <v>95</v>
          </cell>
          <cell r="B100" t="str">
            <v>E.TH.FS-034</v>
          </cell>
          <cell r="C100" t="str">
            <v>Termômetro Digital</v>
          </cell>
          <cell r="D100" t="str">
            <v>Elus</v>
          </cell>
          <cell r="E100" t="str">
            <v>RBC - CAL 0439</v>
          </cell>
          <cell r="F100" t="str">
            <v>E0826/25</v>
          </cell>
          <cell r="G100">
            <v>45985</v>
          </cell>
          <cell r="H100">
            <v>46356</v>
          </cell>
          <cell r="I100" t="str">
            <v>°C</v>
          </cell>
          <cell r="J100" t="str">
            <v>Contato</v>
          </cell>
          <cell r="K100" t="str">
            <v>Termoresisitivo</v>
          </cell>
          <cell r="L100">
            <v>15</v>
          </cell>
          <cell r="M100">
            <v>35</v>
          </cell>
          <cell r="N100">
            <v>0.1</v>
          </cell>
          <cell r="O100">
            <v>0.10000000000000142</v>
          </cell>
          <cell r="P100">
            <v>0.1</v>
          </cell>
          <cell r="Q100">
            <v>0.10000000000000142</v>
          </cell>
          <cell r="R100">
            <v>1.7763568394002505E-15</v>
          </cell>
          <cell r="S100">
            <v>3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2.7033087933442125E-18</v>
          </cell>
          <cell r="Z100">
            <v>-2.0597704296134091E-16</v>
          </cell>
          <cell r="AA100">
            <v>1.0000000000000051</v>
          </cell>
          <cell r="AB100">
            <v>9.9999999999959691E-2</v>
          </cell>
          <cell r="AC100">
            <v>15</v>
          </cell>
          <cell r="AD100">
            <v>0.1</v>
          </cell>
          <cell r="AE100">
            <v>2</v>
          </cell>
          <cell r="AF100">
            <v>1000000</v>
          </cell>
          <cell r="AG100">
            <v>20</v>
          </cell>
          <cell r="AH100">
            <v>0.1</v>
          </cell>
          <cell r="AI100">
            <v>2</v>
          </cell>
          <cell r="AJ100">
            <v>1000000</v>
          </cell>
          <cell r="AK100">
            <v>25</v>
          </cell>
          <cell r="AL100">
            <v>0.1</v>
          </cell>
          <cell r="AM100">
            <v>2</v>
          </cell>
          <cell r="AN100">
            <v>1000000</v>
          </cell>
          <cell r="AO100">
            <v>30</v>
          </cell>
          <cell r="AP100">
            <v>0.1</v>
          </cell>
          <cell r="AQ100">
            <v>2</v>
          </cell>
          <cell r="AR100">
            <v>1000000</v>
          </cell>
          <cell r="AS100">
            <v>35</v>
          </cell>
          <cell r="AT100">
            <v>0.1</v>
          </cell>
          <cell r="AU100">
            <v>2</v>
          </cell>
          <cell r="AV100">
            <v>1000000</v>
          </cell>
          <cell r="AW100" t="str">
            <v>-</v>
          </cell>
          <cell r="AX100" t="str">
            <v>-</v>
          </cell>
          <cell r="AY100" t="str">
            <v>-</v>
          </cell>
          <cell r="AZ100" t="str">
            <v>-</v>
          </cell>
          <cell r="BA100" t="str">
            <v>-</v>
          </cell>
          <cell r="BB100" t="str">
            <v>-</v>
          </cell>
          <cell r="BC100" t="str">
            <v>-</v>
          </cell>
          <cell r="BD100" t="str">
            <v>-</v>
          </cell>
          <cell r="BE100" t="str">
            <v>-</v>
          </cell>
          <cell r="BF100" t="str">
            <v>-</v>
          </cell>
          <cell r="BG100" t="str">
            <v>-</v>
          </cell>
          <cell r="BH100" t="str">
            <v>-</v>
          </cell>
          <cell r="BI100" t="str">
            <v>-</v>
          </cell>
          <cell r="BJ100" t="str">
            <v>-</v>
          </cell>
          <cell r="BK100" t="str">
            <v>-</v>
          </cell>
          <cell r="BL100" t="str">
            <v>-</v>
          </cell>
          <cell r="BM100" t="str">
            <v>-</v>
          </cell>
          <cell r="BN100" t="str">
            <v>-</v>
          </cell>
          <cell r="BO100" t="str">
            <v>-</v>
          </cell>
          <cell r="BP100" t="str">
            <v>-</v>
          </cell>
        </row>
        <row r="101">
          <cell r="A101">
            <v>96</v>
          </cell>
          <cell r="B101" t="str">
            <v>E.TH.LQ-009</v>
          </cell>
          <cell r="C101" t="str">
            <v>Termômetro Digital</v>
          </cell>
          <cell r="D101" t="str">
            <v>Elus</v>
          </cell>
          <cell r="E101" t="str">
            <v>RBC - CAL 0439</v>
          </cell>
          <cell r="F101" t="str">
            <v>E0529/25</v>
          </cell>
          <cell r="G101">
            <v>45884</v>
          </cell>
          <cell r="H101">
            <v>46265</v>
          </cell>
          <cell r="I101" t="str">
            <v>°C</v>
          </cell>
          <cell r="J101" t="str">
            <v>Contato</v>
          </cell>
          <cell r="K101" t="str">
            <v>Termoresisitivo</v>
          </cell>
          <cell r="L101">
            <v>15</v>
          </cell>
          <cell r="M101">
            <v>35</v>
          </cell>
          <cell r="N101">
            <v>0.1</v>
          </cell>
          <cell r="O101">
            <v>0.20000000000000284</v>
          </cell>
          <cell r="P101">
            <v>0.1</v>
          </cell>
          <cell r="Q101">
            <v>0.20000000000000284</v>
          </cell>
          <cell r="R101">
            <v>4.7335771774996427E-2</v>
          </cell>
          <cell r="S101">
            <v>3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4.5915756965973529E-7</v>
          </cell>
          <cell r="Z101">
            <v>-3.1188042626169277E-4</v>
          </cell>
          <cell r="AA101">
            <v>1.0048333520863095</v>
          </cell>
          <cell r="AB101">
            <v>1.8557369732273028E-3</v>
          </cell>
          <cell r="AC101">
            <v>15</v>
          </cell>
          <cell r="AD101">
            <v>0.1</v>
          </cell>
          <cell r="AE101">
            <v>2</v>
          </cell>
          <cell r="AF101">
            <v>1000000</v>
          </cell>
          <cell r="AG101">
            <v>20</v>
          </cell>
          <cell r="AH101">
            <v>0.1</v>
          </cell>
          <cell r="AI101">
            <v>2</v>
          </cell>
          <cell r="AJ101">
            <v>1000000</v>
          </cell>
          <cell r="AK101">
            <v>25</v>
          </cell>
          <cell r="AL101">
            <v>0.1</v>
          </cell>
          <cell r="AM101">
            <v>2</v>
          </cell>
          <cell r="AN101">
            <v>1000000</v>
          </cell>
          <cell r="AO101">
            <v>30</v>
          </cell>
          <cell r="AP101">
            <v>0.1</v>
          </cell>
          <cell r="AQ101">
            <v>2</v>
          </cell>
          <cell r="AR101">
            <v>1000000</v>
          </cell>
          <cell r="AS101">
            <v>35</v>
          </cell>
          <cell r="AT101">
            <v>0.1</v>
          </cell>
          <cell r="AU101">
            <v>2</v>
          </cell>
          <cell r="AV101">
            <v>1000000</v>
          </cell>
          <cell r="AW101" t="str">
            <v>-</v>
          </cell>
          <cell r="AX101" t="str">
            <v>-</v>
          </cell>
          <cell r="AY101" t="str">
            <v>-</v>
          </cell>
          <cell r="AZ101" t="str">
            <v>-</v>
          </cell>
          <cell r="BA101" t="str">
            <v>-</v>
          </cell>
          <cell r="BB101" t="str">
            <v>-</v>
          </cell>
          <cell r="BC101" t="str">
            <v>-</v>
          </cell>
          <cell r="BD101" t="str">
            <v>-</v>
          </cell>
          <cell r="BE101" t="str">
            <v>-</v>
          </cell>
          <cell r="BF101" t="str">
            <v>-</v>
          </cell>
          <cell r="BG101" t="str">
            <v>-</v>
          </cell>
          <cell r="BH101" t="str">
            <v>-</v>
          </cell>
          <cell r="BI101" t="str">
            <v>-</v>
          </cell>
          <cell r="BJ101" t="str">
            <v>-</v>
          </cell>
          <cell r="BK101" t="str">
            <v>-</v>
          </cell>
          <cell r="BL101" t="str">
            <v>-</v>
          </cell>
          <cell r="BM101" t="str">
            <v>-</v>
          </cell>
          <cell r="BN101" t="str">
            <v>-</v>
          </cell>
          <cell r="BO101" t="str">
            <v>-</v>
          </cell>
          <cell r="BP101" t="str">
            <v>-</v>
          </cell>
        </row>
        <row r="102">
          <cell r="A102">
            <v>97</v>
          </cell>
          <cell r="B102" t="str">
            <v>E.TH.LQ-010</v>
          </cell>
          <cell r="C102" t="str">
            <v>Termômetro Digital</v>
          </cell>
          <cell r="D102" t="str">
            <v>Elus</v>
          </cell>
          <cell r="E102" t="str">
            <v>RBC - CAL 0439</v>
          </cell>
          <cell r="F102" t="str">
            <v>E0530/25</v>
          </cell>
          <cell r="G102">
            <v>45884</v>
          </cell>
          <cell r="H102">
            <v>46265</v>
          </cell>
          <cell r="I102" t="str">
            <v>°C</v>
          </cell>
          <cell r="J102" t="str">
            <v>Contato</v>
          </cell>
          <cell r="K102" t="str">
            <v>Termoresisitivo</v>
          </cell>
          <cell r="L102">
            <v>15</v>
          </cell>
          <cell r="M102">
            <v>35</v>
          </cell>
          <cell r="N102">
            <v>0.1</v>
          </cell>
          <cell r="O102">
            <v>0.10000000000000142</v>
          </cell>
          <cell r="P102">
            <v>0.1</v>
          </cell>
          <cell r="Q102">
            <v>0.10000000000000142</v>
          </cell>
          <cell r="R102">
            <v>3.5374328320040616E-2</v>
          </cell>
          <cell r="S102">
            <v>3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6.5711077831950271E-5</v>
          </cell>
          <cell r="Z102">
            <v>-4.6375269312513749E-3</v>
          </cell>
          <cell r="AA102">
            <v>1.0970866723681396</v>
          </cell>
          <cell r="AB102">
            <v>-0.53012839192736561</v>
          </cell>
          <cell r="AC102">
            <v>15</v>
          </cell>
          <cell r="AD102">
            <v>0.1</v>
          </cell>
          <cell r="AE102">
            <v>2</v>
          </cell>
          <cell r="AF102">
            <v>1000000</v>
          </cell>
          <cell r="AG102">
            <v>20</v>
          </cell>
          <cell r="AH102">
            <v>0.1</v>
          </cell>
          <cell r="AI102">
            <v>2</v>
          </cell>
          <cell r="AJ102">
            <v>1000000</v>
          </cell>
          <cell r="AK102">
            <v>25</v>
          </cell>
          <cell r="AL102">
            <v>0.1</v>
          </cell>
          <cell r="AM102">
            <v>2</v>
          </cell>
          <cell r="AN102">
            <v>1000000</v>
          </cell>
          <cell r="AO102">
            <v>30</v>
          </cell>
          <cell r="AP102">
            <v>0.1</v>
          </cell>
          <cell r="AQ102">
            <v>2</v>
          </cell>
          <cell r="AR102">
            <v>1000000</v>
          </cell>
          <cell r="AS102">
            <v>35</v>
          </cell>
          <cell r="AT102">
            <v>0.1</v>
          </cell>
          <cell r="AU102">
            <v>2</v>
          </cell>
          <cell r="AV102">
            <v>1000000</v>
          </cell>
          <cell r="AW102" t="str">
            <v>-</v>
          </cell>
          <cell r="AX102" t="str">
            <v>-</v>
          </cell>
          <cell r="AY102" t="str">
            <v>-</v>
          </cell>
          <cell r="AZ102" t="str">
            <v>-</v>
          </cell>
          <cell r="BA102" t="str">
            <v>-</v>
          </cell>
          <cell r="BB102" t="str">
            <v>-</v>
          </cell>
          <cell r="BC102" t="str">
            <v>-</v>
          </cell>
          <cell r="BD102" t="str">
            <v>-</v>
          </cell>
          <cell r="BE102" t="str">
            <v>-</v>
          </cell>
          <cell r="BF102" t="str">
            <v>-</v>
          </cell>
          <cell r="BG102" t="str">
            <v>-</v>
          </cell>
          <cell r="BH102" t="str">
            <v>-</v>
          </cell>
          <cell r="BI102" t="str">
            <v>-</v>
          </cell>
          <cell r="BJ102" t="str">
            <v>-</v>
          </cell>
          <cell r="BK102" t="str">
            <v>-</v>
          </cell>
          <cell r="BL102" t="str">
            <v>-</v>
          </cell>
          <cell r="BM102" t="str">
            <v>-</v>
          </cell>
          <cell r="BN102" t="str">
            <v>-</v>
          </cell>
          <cell r="BO102" t="str">
            <v>-</v>
          </cell>
          <cell r="BP102" t="str">
            <v>-</v>
          </cell>
        </row>
        <row r="103">
          <cell r="A103">
            <v>98</v>
          </cell>
          <cell r="B103" t="str">
            <v>E.TH.LQ-011</v>
          </cell>
          <cell r="C103" t="str">
            <v>Termômetro Digital</v>
          </cell>
          <cell r="D103" t="str">
            <v>Elus</v>
          </cell>
          <cell r="E103" t="str">
            <v>RBC - CAL 0439</v>
          </cell>
          <cell r="F103" t="str">
            <v>E0531/25</v>
          </cell>
          <cell r="G103">
            <v>45884</v>
          </cell>
          <cell r="H103">
            <v>46265</v>
          </cell>
          <cell r="I103" t="str">
            <v>°C</v>
          </cell>
          <cell r="J103" t="str">
            <v>Contato</v>
          </cell>
          <cell r="K103" t="str">
            <v>Termoresisitivo</v>
          </cell>
          <cell r="L103">
            <v>15</v>
          </cell>
          <cell r="M103">
            <v>35</v>
          </cell>
          <cell r="N103">
            <v>0.1</v>
          </cell>
          <cell r="O103">
            <v>0</v>
          </cell>
          <cell r="P103">
            <v>0.1</v>
          </cell>
          <cell r="Q103">
            <v>0</v>
          </cell>
          <cell r="R103">
            <v>0</v>
          </cell>
          <cell r="S103">
            <v>3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1</v>
          </cell>
          <cell r="AB103">
            <v>0</v>
          </cell>
          <cell r="AC103">
            <v>15</v>
          </cell>
          <cell r="AD103">
            <v>0.1</v>
          </cell>
          <cell r="AE103">
            <v>2</v>
          </cell>
          <cell r="AF103">
            <v>1000000</v>
          </cell>
          <cell r="AG103">
            <v>20</v>
          </cell>
          <cell r="AH103">
            <v>0.1</v>
          </cell>
          <cell r="AI103">
            <v>2</v>
          </cell>
          <cell r="AJ103">
            <v>1000000</v>
          </cell>
          <cell r="AK103">
            <v>25</v>
          </cell>
          <cell r="AL103">
            <v>0.1</v>
          </cell>
          <cell r="AM103">
            <v>2</v>
          </cell>
          <cell r="AN103">
            <v>1000000</v>
          </cell>
          <cell r="AO103">
            <v>30</v>
          </cell>
          <cell r="AP103">
            <v>0.1</v>
          </cell>
          <cell r="AQ103">
            <v>2</v>
          </cell>
          <cell r="AR103">
            <v>1000000</v>
          </cell>
          <cell r="AS103">
            <v>35</v>
          </cell>
          <cell r="AT103">
            <v>0.1</v>
          </cell>
          <cell r="AU103">
            <v>2</v>
          </cell>
          <cell r="AV103">
            <v>1000000</v>
          </cell>
          <cell r="AW103" t="str">
            <v>-</v>
          </cell>
          <cell r="AX103" t="str">
            <v>-</v>
          </cell>
          <cell r="AY103" t="str">
            <v>-</v>
          </cell>
          <cell r="AZ103" t="str">
            <v>-</v>
          </cell>
          <cell r="BA103" t="str">
            <v>-</v>
          </cell>
          <cell r="BB103" t="str">
            <v>-</v>
          </cell>
          <cell r="BC103" t="str">
            <v>-</v>
          </cell>
          <cell r="BD103" t="str">
            <v>-</v>
          </cell>
          <cell r="BE103" t="str">
            <v>-</v>
          </cell>
          <cell r="BF103" t="str">
            <v>-</v>
          </cell>
          <cell r="BG103" t="str">
            <v>-</v>
          </cell>
          <cell r="BH103" t="str">
            <v>-</v>
          </cell>
          <cell r="BI103" t="str">
            <v>-</v>
          </cell>
          <cell r="BJ103" t="str">
            <v>-</v>
          </cell>
          <cell r="BK103" t="str">
            <v>-</v>
          </cell>
          <cell r="BL103" t="str">
            <v>-</v>
          </cell>
          <cell r="BM103" t="str">
            <v>-</v>
          </cell>
          <cell r="BN103" t="str">
            <v>-</v>
          </cell>
          <cell r="BO103" t="str">
            <v>-</v>
          </cell>
          <cell r="BP103" t="str">
            <v>-</v>
          </cell>
        </row>
        <row r="104">
          <cell r="A104">
            <v>99</v>
          </cell>
          <cell r="B104" t="str">
            <v>E.TH.FS-011</v>
          </cell>
          <cell r="C104" t="str">
            <v>Termômetro Digital</v>
          </cell>
          <cell r="D104" t="str">
            <v>Elus</v>
          </cell>
          <cell r="E104" t="str">
            <v>RBC - CAL 0439</v>
          </cell>
          <cell r="F104" t="str">
            <v>E0337/24</v>
          </cell>
          <cell r="G104">
            <v>45532</v>
          </cell>
          <cell r="H104">
            <v>45900</v>
          </cell>
          <cell r="I104" t="str">
            <v>°C</v>
          </cell>
          <cell r="J104" t="str">
            <v>Contato</v>
          </cell>
          <cell r="K104" t="str">
            <v>Termoresisitivo</v>
          </cell>
          <cell r="L104">
            <v>15</v>
          </cell>
          <cell r="M104">
            <v>35</v>
          </cell>
          <cell r="N104">
            <v>0.1</v>
          </cell>
          <cell r="O104">
            <v>0</v>
          </cell>
          <cell r="P104">
            <v>0.1</v>
          </cell>
          <cell r="Q104">
            <v>0</v>
          </cell>
          <cell r="R104">
            <v>0</v>
          </cell>
          <cell r="S104">
            <v>3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1</v>
          </cell>
          <cell r="AB104">
            <v>0</v>
          </cell>
          <cell r="AC104">
            <v>15</v>
          </cell>
          <cell r="AD104">
            <v>0.1</v>
          </cell>
          <cell r="AE104">
            <v>2</v>
          </cell>
          <cell r="AF104">
            <v>1000000</v>
          </cell>
          <cell r="AG104">
            <v>20</v>
          </cell>
          <cell r="AH104">
            <v>0.1</v>
          </cell>
          <cell r="AI104">
            <v>2</v>
          </cell>
          <cell r="AJ104">
            <v>1000000</v>
          </cell>
          <cell r="AK104">
            <v>25</v>
          </cell>
          <cell r="AL104">
            <v>0.1</v>
          </cell>
          <cell r="AM104">
            <v>2</v>
          </cell>
          <cell r="AN104">
            <v>1000000</v>
          </cell>
          <cell r="AO104">
            <v>30</v>
          </cell>
          <cell r="AP104">
            <v>0.1</v>
          </cell>
          <cell r="AQ104">
            <v>2</v>
          </cell>
          <cell r="AR104">
            <v>1000000</v>
          </cell>
          <cell r="AS104">
            <v>35</v>
          </cell>
          <cell r="AT104">
            <v>0.1</v>
          </cell>
          <cell r="AU104">
            <v>2</v>
          </cell>
          <cell r="AV104">
            <v>1000000</v>
          </cell>
          <cell r="AW104" t="str">
            <v>-</v>
          </cell>
          <cell r="AX104" t="str">
            <v>-</v>
          </cell>
          <cell r="AY104" t="str">
            <v>-</v>
          </cell>
          <cell r="AZ104" t="str">
            <v>-</v>
          </cell>
          <cell r="BA104" t="str">
            <v>-</v>
          </cell>
          <cell r="BB104" t="str">
            <v>-</v>
          </cell>
          <cell r="BC104" t="str">
            <v>-</v>
          </cell>
          <cell r="BD104" t="str">
            <v>-</v>
          </cell>
          <cell r="BE104" t="str">
            <v>-</v>
          </cell>
          <cell r="BF104" t="str">
            <v>-</v>
          </cell>
          <cell r="BG104" t="str">
            <v>-</v>
          </cell>
          <cell r="BH104" t="str">
            <v>-</v>
          </cell>
          <cell r="BI104" t="str">
            <v>-</v>
          </cell>
          <cell r="BJ104" t="str">
            <v>-</v>
          </cell>
          <cell r="BK104" t="str">
            <v>-</v>
          </cell>
          <cell r="BL104" t="str">
            <v>-</v>
          </cell>
          <cell r="BM104" t="str">
            <v>-</v>
          </cell>
          <cell r="BN104" t="str">
            <v>-</v>
          </cell>
          <cell r="BO104" t="str">
            <v>-</v>
          </cell>
          <cell r="BP104" t="str">
            <v>-</v>
          </cell>
        </row>
        <row r="105">
          <cell r="A105">
            <v>100</v>
          </cell>
          <cell r="B105" t="str">
            <v>E.TH.LQ-017</v>
          </cell>
          <cell r="C105" t="str">
            <v>Termômetro Digital</v>
          </cell>
          <cell r="D105" t="str">
            <v>Elus</v>
          </cell>
          <cell r="E105" t="str">
            <v>RBC - CAL 0439</v>
          </cell>
          <cell r="F105" t="str">
            <v>E0712/25</v>
          </cell>
          <cell r="G105">
            <v>45940</v>
          </cell>
          <cell r="H105">
            <v>46326</v>
          </cell>
          <cell r="I105" t="str">
            <v>°C</v>
          </cell>
          <cell r="J105" t="str">
            <v>Contato</v>
          </cell>
          <cell r="K105" t="str">
            <v>Termoresisitivo</v>
          </cell>
          <cell r="L105">
            <v>15</v>
          </cell>
          <cell r="M105">
            <v>35</v>
          </cell>
          <cell r="N105">
            <v>0.1</v>
          </cell>
          <cell r="O105">
            <v>0</v>
          </cell>
          <cell r="P105">
            <v>0.1</v>
          </cell>
          <cell r="Q105">
            <v>0</v>
          </cell>
          <cell r="R105">
            <v>0</v>
          </cell>
          <cell r="S105">
            <v>3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1</v>
          </cell>
          <cell r="AB105">
            <v>0</v>
          </cell>
          <cell r="AC105">
            <v>15</v>
          </cell>
          <cell r="AD105">
            <v>0.1</v>
          </cell>
          <cell r="AE105">
            <v>2</v>
          </cell>
          <cell r="AF105">
            <v>1000000</v>
          </cell>
          <cell r="AG105">
            <v>20</v>
          </cell>
          <cell r="AH105">
            <v>0.1</v>
          </cell>
          <cell r="AI105">
            <v>2</v>
          </cell>
          <cell r="AJ105">
            <v>1000000</v>
          </cell>
          <cell r="AK105">
            <v>25</v>
          </cell>
          <cell r="AL105">
            <v>0.1</v>
          </cell>
          <cell r="AM105">
            <v>2</v>
          </cell>
          <cell r="AN105">
            <v>1000000</v>
          </cell>
          <cell r="AO105">
            <v>30</v>
          </cell>
          <cell r="AP105">
            <v>0.1</v>
          </cell>
          <cell r="AQ105">
            <v>2</v>
          </cell>
          <cell r="AR105">
            <v>1000000</v>
          </cell>
          <cell r="AS105">
            <v>35</v>
          </cell>
          <cell r="AT105">
            <v>0.1</v>
          </cell>
          <cell r="AU105">
            <v>2</v>
          </cell>
          <cell r="AV105">
            <v>1000000</v>
          </cell>
          <cell r="AW105" t="str">
            <v>-</v>
          </cell>
          <cell r="AX105" t="str">
            <v>-</v>
          </cell>
          <cell r="AY105" t="str">
            <v>-</v>
          </cell>
          <cell r="AZ105" t="str">
            <v>-</v>
          </cell>
          <cell r="BA105" t="str">
            <v>-</v>
          </cell>
          <cell r="BB105" t="str">
            <v>-</v>
          </cell>
          <cell r="BC105" t="str">
            <v>-</v>
          </cell>
          <cell r="BD105" t="str">
            <v>-</v>
          </cell>
          <cell r="BE105" t="str">
            <v>-</v>
          </cell>
          <cell r="BF105" t="str">
            <v>-</v>
          </cell>
          <cell r="BG105" t="str">
            <v>-</v>
          </cell>
          <cell r="BH105" t="str">
            <v>-</v>
          </cell>
          <cell r="BI105" t="str">
            <v>-</v>
          </cell>
          <cell r="BJ105" t="str">
            <v>-</v>
          </cell>
          <cell r="BK105" t="str">
            <v>-</v>
          </cell>
          <cell r="BL105" t="str">
            <v>-</v>
          </cell>
          <cell r="BM105" t="str">
            <v>-</v>
          </cell>
          <cell r="BN105" t="str">
            <v>-</v>
          </cell>
          <cell r="BO105" t="str">
            <v>-</v>
          </cell>
          <cell r="BP105" t="str">
            <v>-</v>
          </cell>
        </row>
        <row r="106">
          <cell r="A106">
            <v>101</v>
          </cell>
          <cell r="B106" t="str">
            <v>M.TH.FS-001</v>
          </cell>
          <cell r="C106" t="str">
            <v>Termohigrômetro Digital</v>
          </cell>
          <cell r="D106" t="str">
            <v>Elus</v>
          </cell>
          <cell r="E106" t="str">
            <v>RBC - CAL 0439</v>
          </cell>
          <cell r="F106" t="str">
            <v>E0307/24</v>
          </cell>
          <cell r="G106">
            <v>45520</v>
          </cell>
          <cell r="H106">
            <v>45899</v>
          </cell>
          <cell r="I106" t="str">
            <v>°C</v>
          </cell>
          <cell r="J106" t="str">
            <v>IN</v>
          </cell>
          <cell r="K106" t="str">
            <v>NA</v>
          </cell>
          <cell r="L106">
            <v>15</v>
          </cell>
          <cell r="M106">
            <v>30</v>
          </cell>
          <cell r="N106">
            <v>0.1</v>
          </cell>
          <cell r="O106">
            <v>0.10000000000000142</v>
          </cell>
          <cell r="P106">
            <v>0.3</v>
          </cell>
          <cell r="Q106">
            <v>0.10000000000000142</v>
          </cell>
          <cell r="R106">
            <v>4.2898337756977822E-2</v>
          </cell>
          <cell r="S106">
            <v>2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1.9294835450063088E-3</v>
          </cell>
          <cell r="AA106">
            <v>0.90126285331072509</v>
          </cell>
          <cell r="AB106">
            <v>1.1336175069317871</v>
          </cell>
          <cell r="AC106">
            <v>15</v>
          </cell>
          <cell r="AD106">
            <v>0.3</v>
          </cell>
          <cell r="AE106">
            <v>2</v>
          </cell>
          <cell r="AF106">
            <v>1000000</v>
          </cell>
          <cell r="AG106">
            <v>20</v>
          </cell>
          <cell r="AH106">
            <v>0.3</v>
          </cell>
          <cell r="AI106">
            <v>2</v>
          </cell>
          <cell r="AJ106">
            <v>1000000</v>
          </cell>
          <cell r="AK106">
            <v>25</v>
          </cell>
          <cell r="AL106">
            <v>0.3</v>
          </cell>
          <cell r="AM106">
            <v>2</v>
          </cell>
          <cell r="AN106">
            <v>1000000</v>
          </cell>
          <cell r="AO106">
            <v>30</v>
          </cell>
          <cell r="AP106">
            <v>0.3</v>
          </cell>
          <cell r="AQ106">
            <v>2</v>
          </cell>
          <cell r="AR106">
            <v>1000000</v>
          </cell>
          <cell r="AS106" t="str">
            <v>-</v>
          </cell>
          <cell r="AT106" t="str">
            <v>-</v>
          </cell>
          <cell r="AU106" t="str">
            <v>-</v>
          </cell>
          <cell r="AV106" t="str">
            <v>-</v>
          </cell>
          <cell r="AW106" t="str">
            <v>-</v>
          </cell>
          <cell r="AX106" t="str">
            <v>-</v>
          </cell>
          <cell r="AY106" t="str">
            <v>-</v>
          </cell>
          <cell r="AZ106" t="str">
            <v>-</v>
          </cell>
          <cell r="BA106" t="str">
            <v>-</v>
          </cell>
          <cell r="BB106" t="str">
            <v>-</v>
          </cell>
          <cell r="BC106" t="str">
            <v>-</v>
          </cell>
          <cell r="BD106" t="str">
            <v>-</v>
          </cell>
          <cell r="BE106" t="str">
            <v>-</v>
          </cell>
          <cell r="BF106" t="str">
            <v>-</v>
          </cell>
          <cell r="BG106" t="str">
            <v>-</v>
          </cell>
          <cell r="BH106" t="str">
            <v>-</v>
          </cell>
          <cell r="BI106" t="str">
            <v>-</v>
          </cell>
          <cell r="BJ106" t="str">
            <v>-</v>
          </cell>
          <cell r="BK106" t="str">
            <v>-</v>
          </cell>
          <cell r="BL106" t="str">
            <v>-</v>
          </cell>
          <cell r="BM106" t="str">
            <v>-</v>
          </cell>
          <cell r="BN106" t="str">
            <v>-</v>
          </cell>
          <cell r="BO106" t="str">
            <v>-</v>
          </cell>
          <cell r="BP106" t="str">
            <v>-</v>
          </cell>
        </row>
        <row r="107">
          <cell r="A107">
            <v>102</v>
          </cell>
          <cell r="B107" t="str">
            <v>M.TH.FS-001</v>
          </cell>
          <cell r="C107" t="str">
            <v>Termohigrômetro Digital</v>
          </cell>
          <cell r="D107" t="str">
            <v>Elus</v>
          </cell>
          <cell r="E107" t="str">
            <v>RBC - CAL 0439</v>
          </cell>
          <cell r="F107" t="str">
            <v>E0307/24</v>
          </cell>
          <cell r="G107">
            <v>45520</v>
          </cell>
          <cell r="H107">
            <v>45899</v>
          </cell>
          <cell r="I107" t="str">
            <v>°C</v>
          </cell>
          <cell r="J107" t="str">
            <v>OUT</v>
          </cell>
          <cell r="K107" t="str">
            <v>NA</v>
          </cell>
          <cell r="L107">
            <v>15</v>
          </cell>
          <cell r="M107">
            <v>30</v>
          </cell>
          <cell r="N107">
            <v>0.1</v>
          </cell>
          <cell r="O107">
            <v>0.30000000000000071</v>
          </cell>
          <cell r="P107">
            <v>0.3</v>
          </cell>
          <cell r="Q107">
            <v>0.30000000000000071</v>
          </cell>
          <cell r="R107">
            <v>9.1188530723270378E-2</v>
          </cell>
          <cell r="S107">
            <v>2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-2.0232862582662643E-3</v>
          </cell>
          <cell r="AA107">
            <v>1.0943487292537868</v>
          </cell>
          <cell r="AB107">
            <v>-0.83508464854867115</v>
          </cell>
          <cell r="AC107">
            <v>15</v>
          </cell>
          <cell r="AD107">
            <v>0.3</v>
          </cell>
          <cell r="AE107">
            <v>2</v>
          </cell>
          <cell r="AF107">
            <v>1000000</v>
          </cell>
          <cell r="AG107">
            <v>20</v>
          </cell>
          <cell r="AH107">
            <v>0.3</v>
          </cell>
          <cell r="AI107">
            <v>2</v>
          </cell>
          <cell r="AJ107">
            <v>1000000</v>
          </cell>
          <cell r="AK107">
            <v>25</v>
          </cell>
          <cell r="AL107">
            <v>0.3</v>
          </cell>
          <cell r="AM107">
            <v>2</v>
          </cell>
          <cell r="AN107">
            <v>1000000</v>
          </cell>
          <cell r="AO107">
            <v>30</v>
          </cell>
          <cell r="AP107">
            <v>0.3</v>
          </cell>
          <cell r="AQ107">
            <v>2</v>
          </cell>
          <cell r="AR107">
            <v>1000000</v>
          </cell>
          <cell r="AS107" t="str">
            <v>-</v>
          </cell>
          <cell r="AT107" t="str">
            <v>-</v>
          </cell>
          <cell r="AU107" t="str">
            <v>-</v>
          </cell>
          <cell r="AV107" t="str">
            <v>-</v>
          </cell>
          <cell r="AW107" t="str">
            <v>-</v>
          </cell>
          <cell r="AX107" t="str">
            <v>-</v>
          </cell>
          <cell r="AY107" t="str">
            <v>-</v>
          </cell>
          <cell r="AZ107" t="str">
            <v>-</v>
          </cell>
          <cell r="BA107" t="str">
            <v>-</v>
          </cell>
          <cell r="BB107" t="str">
            <v>-</v>
          </cell>
          <cell r="BC107" t="str">
            <v>-</v>
          </cell>
          <cell r="BD107" t="str">
            <v>-</v>
          </cell>
          <cell r="BE107" t="str">
            <v>-</v>
          </cell>
          <cell r="BF107" t="str">
            <v>-</v>
          </cell>
          <cell r="BG107" t="str">
            <v>-</v>
          </cell>
          <cell r="BH107" t="str">
            <v>-</v>
          </cell>
          <cell r="BI107" t="str">
            <v>-</v>
          </cell>
          <cell r="BJ107" t="str">
            <v>-</v>
          </cell>
          <cell r="BK107" t="str">
            <v>-</v>
          </cell>
          <cell r="BL107" t="str">
            <v>-</v>
          </cell>
          <cell r="BM107" t="str">
            <v>-</v>
          </cell>
          <cell r="BN107" t="str">
            <v>-</v>
          </cell>
          <cell r="BO107" t="str">
            <v>-</v>
          </cell>
          <cell r="BP107" t="str">
            <v>-</v>
          </cell>
        </row>
        <row r="108">
          <cell r="A108">
            <v>103</v>
          </cell>
          <cell r="B108" t="str">
            <v>M.TH.FS-002</v>
          </cell>
          <cell r="C108" t="str">
            <v>Termohigrômetro Digital</v>
          </cell>
          <cell r="D108" t="str">
            <v>Elus</v>
          </cell>
          <cell r="E108" t="str">
            <v>RBC - CAL 0439</v>
          </cell>
          <cell r="F108" t="str">
            <v>E0308/24</v>
          </cell>
          <cell r="G108">
            <v>45520</v>
          </cell>
          <cell r="H108">
            <v>45899</v>
          </cell>
          <cell r="I108" t="str">
            <v>°C</v>
          </cell>
          <cell r="J108" t="str">
            <v>IN</v>
          </cell>
          <cell r="K108" t="str">
            <v>NA</v>
          </cell>
          <cell r="L108">
            <v>15</v>
          </cell>
          <cell r="M108">
            <v>30</v>
          </cell>
          <cell r="N108">
            <v>0.1</v>
          </cell>
          <cell r="O108">
            <v>0.5</v>
          </cell>
          <cell r="P108">
            <v>0.3</v>
          </cell>
          <cell r="Q108">
            <v>0.5</v>
          </cell>
          <cell r="R108">
            <v>4.9629729009010859E-3</v>
          </cell>
          <cell r="S108">
            <v>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3.5557203355094181E-3</v>
          </cell>
          <cell r="AA108">
            <v>0.80281091629132095</v>
          </cell>
          <cell r="AB108">
            <v>2.6126983349856325</v>
          </cell>
          <cell r="AC108">
            <v>15</v>
          </cell>
          <cell r="AD108">
            <v>0.3</v>
          </cell>
          <cell r="AE108">
            <v>2</v>
          </cell>
          <cell r="AF108">
            <v>1000000</v>
          </cell>
          <cell r="AG108">
            <v>20</v>
          </cell>
          <cell r="AH108">
            <v>0.3</v>
          </cell>
          <cell r="AI108">
            <v>2</v>
          </cell>
          <cell r="AJ108">
            <v>1000000</v>
          </cell>
          <cell r="AK108">
            <v>25</v>
          </cell>
          <cell r="AL108">
            <v>0.3</v>
          </cell>
          <cell r="AM108">
            <v>2</v>
          </cell>
          <cell r="AN108">
            <v>1000000</v>
          </cell>
          <cell r="AO108">
            <v>30</v>
          </cell>
          <cell r="AP108">
            <v>0.3</v>
          </cell>
          <cell r="AQ108">
            <v>2</v>
          </cell>
          <cell r="AR108">
            <v>1000000</v>
          </cell>
          <cell r="AS108" t="str">
            <v>-</v>
          </cell>
          <cell r="AT108" t="str">
            <v>-</v>
          </cell>
          <cell r="AU108" t="str">
            <v>-</v>
          </cell>
          <cell r="AV108" t="str">
            <v>-</v>
          </cell>
          <cell r="AW108" t="str">
            <v>-</v>
          </cell>
          <cell r="AX108" t="str">
            <v>-</v>
          </cell>
          <cell r="AY108" t="str">
            <v>-</v>
          </cell>
          <cell r="AZ108" t="str">
            <v>-</v>
          </cell>
          <cell r="BA108" t="str">
            <v>-</v>
          </cell>
          <cell r="BB108" t="str">
            <v>-</v>
          </cell>
          <cell r="BC108" t="str">
            <v>-</v>
          </cell>
          <cell r="BD108" t="str">
            <v>-</v>
          </cell>
          <cell r="BE108" t="str">
            <v>-</v>
          </cell>
          <cell r="BF108" t="str">
            <v>-</v>
          </cell>
          <cell r="BG108" t="str">
            <v>-</v>
          </cell>
          <cell r="BH108" t="str">
            <v>-</v>
          </cell>
          <cell r="BI108" t="str">
            <v>-</v>
          </cell>
          <cell r="BJ108" t="str">
            <v>-</v>
          </cell>
          <cell r="BK108" t="str">
            <v>-</v>
          </cell>
          <cell r="BL108" t="str">
            <v>-</v>
          </cell>
          <cell r="BM108" t="str">
            <v>-</v>
          </cell>
          <cell r="BN108" t="str">
            <v>-</v>
          </cell>
          <cell r="BO108" t="str">
            <v>-</v>
          </cell>
          <cell r="BP108" t="str">
            <v>-</v>
          </cell>
        </row>
        <row r="109">
          <cell r="A109">
            <v>104</v>
          </cell>
          <cell r="B109" t="str">
            <v>M.TH.FS-002</v>
          </cell>
          <cell r="C109" t="str">
            <v>Termohigrômetro Digital</v>
          </cell>
          <cell r="D109" t="str">
            <v>Elus</v>
          </cell>
          <cell r="E109" t="str">
            <v>RBC - CAL 0439</v>
          </cell>
          <cell r="F109" t="str">
            <v>E0308/24</v>
          </cell>
          <cell r="G109">
            <v>45520</v>
          </cell>
          <cell r="H109">
            <v>45899</v>
          </cell>
          <cell r="I109" t="str">
            <v>°C</v>
          </cell>
          <cell r="J109" t="str">
            <v>OUT</v>
          </cell>
          <cell r="K109" t="str">
            <v>NA</v>
          </cell>
          <cell r="L109">
            <v>15</v>
          </cell>
          <cell r="M109">
            <v>30</v>
          </cell>
          <cell r="N109">
            <v>0.1</v>
          </cell>
          <cell r="O109">
            <v>0.40000000000000036</v>
          </cell>
          <cell r="P109">
            <v>0.3</v>
          </cell>
          <cell r="Q109">
            <v>0.40000000000000036</v>
          </cell>
          <cell r="R109">
            <v>2.7755575615628914E-15</v>
          </cell>
          <cell r="S109">
            <v>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-3.4821317242071447E-18</v>
          </cell>
          <cell r="AA109">
            <v>0.98039215686274517</v>
          </cell>
          <cell r="AB109">
            <v>0.68627450980392102</v>
          </cell>
          <cell r="AC109">
            <v>15</v>
          </cell>
          <cell r="AD109">
            <v>0.3</v>
          </cell>
          <cell r="AE109">
            <v>2</v>
          </cell>
          <cell r="AF109">
            <v>1000000</v>
          </cell>
          <cell r="AG109">
            <v>20</v>
          </cell>
          <cell r="AH109">
            <v>0.3</v>
          </cell>
          <cell r="AI109">
            <v>2</v>
          </cell>
          <cell r="AJ109">
            <v>1000000</v>
          </cell>
          <cell r="AK109">
            <v>25</v>
          </cell>
          <cell r="AL109">
            <v>0.3</v>
          </cell>
          <cell r="AM109">
            <v>2</v>
          </cell>
          <cell r="AN109">
            <v>1000000</v>
          </cell>
          <cell r="AO109">
            <v>30</v>
          </cell>
          <cell r="AP109">
            <v>0.3</v>
          </cell>
          <cell r="AQ109">
            <v>2</v>
          </cell>
          <cell r="AR109">
            <v>1000000</v>
          </cell>
          <cell r="AS109" t="str">
            <v>-</v>
          </cell>
          <cell r="AT109" t="str">
            <v>-</v>
          </cell>
          <cell r="AU109" t="str">
            <v>-</v>
          </cell>
          <cell r="AV109" t="str">
            <v>-</v>
          </cell>
          <cell r="AW109" t="str">
            <v>-</v>
          </cell>
          <cell r="AX109" t="str">
            <v>-</v>
          </cell>
          <cell r="AY109" t="str">
            <v>-</v>
          </cell>
          <cell r="AZ109" t="str">
            <v>-</v>
          </cell>
          <cell r="BA109" t="str">
            <v>-</v>
          </cell>
          <cell r="BB109" t="str">
            <v>-</v>
          </cell>
          <cell r="BC109" t="str">
            <v>-</v>
          </cell>
          <cell r="BD109" t="str">
            <v>-</v>
          </cell>
          <cell r="BE109" t="str">
            <v>-</v>
          </cell>
          <cell r="BF109" t="str">
            <v>-</v>
          </cell>
          <cell r="BG109" t="str">
            <v>-</v>
          </cell>
          <cell r="BH109" t="str">
            <v>-</v>
          </cell>
          <cell r="BI109" t="str">
            <v>-</v>
          </cell>
          <cell r="BJ109" t="str">
            <v>-</v>
          </cell>
          <cell r="BK109" t="str">
            <v>-</v>
          </cell>
          <cell r="BL109" t="str">
            <v>-</v>
          </cell>
          <cell r="BM109" t="str">
            <v>-</v>
          </cell>
          <cell r="BN109" t="str">
            <v>-</v>
          </cell>
          <cell r="BO109" t="str">
            <v>-</v>
          </cell>
          <cell r="BP109" t="str">
            <v>-</v>
          </cell>
        </row>
        <row r="110">
          <cell r="A110">
            <v>105</v>
          </cell>
          <cell r="B110" t="str">
            <v>M.TH.FS-003</v>
          </cell>
          <cell r="C110" t="str">
            <v>Termohigrômetro Digital</v>
          </cell>
          <cell r="D110" t="str">
            <v>Elus</v>
          </cell>
          <cell r="E110" t="str">
            <v>RBC - CAL 0439</v>
          </cell>
          <cell r="F110" t="str">
            <v>E0309/24</v>
          </cell>
          <cell r="G110">
            <v>45520</v>
          </cell>
          <cell r="H110">
            <v>45899</v>
          </cell>
          <cell r="I110" t="str">
            <v>°C</v>
          </cell>
          <cell r="J110" t="str">
            <v>IN</v>
          </cell>
          <cell r="K110" t="str">
            <v>NA</v>
          </cell>
          <cell r="L110">
            <v>15</v>
          </cell>
          <cell r="M110">
            <v>30</v>
          </cell>
          <cell r="N110">
            <v>0.1</v>
          </cell>
          <cell r="O110">
            <v>0.19999999999999929</v>
          </cell>
          <cell r="P110">
            <v>0.3</v>
          </cell>
          <cell r="Q110">
            <v>0.19999999999999929</v>
          </cell>
          <cell r="R110">
            <v>1.2896299873511041E-3</v>
          </cell>
          <cell r="S110">
            <v>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-1.8846083653330692E-3</v>
          </cell>
          <cell r="AA110">
            <v>1.0649733672546149</v>
          </cell>
          <cell r="AB110">
            <v>-0.34850429211504652</v>
          </cell>
          <cell r="AC110">
            <v>15</v>
          </cell>
          <cell r="AD110">
            <v>0.3</v>
          </cell>
          <cell r="AE110">
            <v>2</v>
          </cell>
          <cell r="AF110">
            <v>1000000</v>
          </cell>
          <cell r="AG110">
            <v>20</v>
          </cell>
          <cell r="AH110">
            <v>0.3</v>
          </cell>
          <cell r="AI110">
            <v>2</v>
          </cell>
          <cell r="AJ110">
            <v>1000000</v>
          </cell>
          <cell r="AK110">
            <v>25</v>
          </cell>
          <cell r="AL110">
            <v>0.3</v>
          </cell>
          <cell r="AM110">
            <v>2</v>
          </cell>
          <cell r="AN110">
            <v>1000000</v>
          </cell>
          <cell r="AO110">
            <v>30</v>
          </cell>
          <cell r="AP110">
            <v>0.3</v>
          </cell>
          <cell r="AQ110">
            <v>2</v>
          </cell>
          <cell r="AR110">
            <v>1000000</v>
          </cell>
          <cell r="AS110" t="str">
            <v>-</v>
          </cell>
          <cell r="AT110" t="str">
            <v>-</v>
          </cell>
          <cell r="AU110" t="str">
            <v>-</v>
          </cell>
          <cell r="AV110" t="str">
            <v>-</v>
          </cell>
          <cell r="AW110" t="str">
            <v>-</v>
          </cell>
          <cell r="AX110" t="str">
            <v>-</v>
          </cell>
          <cell r="AY110" t="str">
            <v>-</v>
          </cell>
          <cell r="AZ110" t="str">
            <v>-</v>
          </cell>
          <cell r="BA110" t="str">
            <v>-</v>
          </cell>
          <cell r="BB110" t="str">
            <v>-</v>
          </cell>
          <cell r="BC110" t="str">
            <v>-</v>
          </cell>
          <cell r="BD110" t="str">
            <v>-</v>
          </cell>
          <cell r="BE110" t="str">
            <v>-</v>
          </cell>
          <cell r="BF110" t="str">
            <v>-</v>
          </cell>
          <cell r="BG110" t="str">
            <v>-</v>
          </cell>
          <cell r="BH110" t="str">
            <v>-</v>
          </cell>
          <cell r="BI110" t="str">
            <v>-</v>
          </cell>
          <cell r="BJ110" t="str">
            <v>-</v>
          </cell>
          <cell r="BK110" t="str">
            <v>-</v>
          </cell>
          <cell r="BL110" t="str">
            <v>-</v>
          </cell>
          <cell r="BM110" t="str">
            <v>-</v>
          </cell>
          <cell r="BN110" t="str">
            <v>-</v>
          </cell>
          <cell r="BO110" t="str">
            <v>-</v>
          </cell>
          <cell r="BP110" t="str">
            <v>-</v>
          </cell>
        </row>
        <row r="111">
          <cell r="A111">
            <v>106</v>
          </cell>
          <cell r="B111" t="str">
            <v>M.TH.FS-003</v>
          </cell>
          <cell r="C111" t="str">
            <v>Termohigrômetro Digital</v>
          </cell>
          <cell r="D111" t="str">
            <v>Elus</v>
          </cell>
          <cell r="E111" t="str">
            <v>RBC - CAL 0439</v>
          </cell>
          <cell r="F111" t="str">
            <v>E0309/24</v>
          </cell>
          <cell r="G111">
            <v>45520</v>
          </cell>
          <cell r="H111">
            <v>45899</v>
          </cell>
          <cell r="I111" t="str">
            <v>°C</v>
          </cell>
          <cell r="J111" t="str">
            <v>OUT</v>
          </cell>
          <cell r="K111" t="str">
            <v>NA</v>
          </cell>
          <cell r="L111">
            <v>15</v>
          </cell>
          <cell r="M111">
            <v>30</v>
          </cell>
          <cell r="N111">
            <v>0.1</v>
          </cell>
          <cell r="O111">
            <v>0.19999999999999929</v>
          </cell>
          <cell r="P111">
            <v>0.3</v>
          </cell>
          <cell r="Q111">
            <v>0.19999999999999929</v>
          </cell>
          <cell r="R111">
            <v>0.15408135430069225</v>
          </cell>
          <cell r="S111">
            <v>2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9.4671189190158366E-4</v>
          </cell>
          <cell r="AA111">
            <v>0.93951980803142365</v>
          </cell>
          <cell r="AB111">
            <v>0.82631201298019386</v>
          </cell>
          <cell r="AC111">
            <v>15</v>
          </cell>
          <cell r="AD111">
            <v>0.3</v>
          </cell>
          <cell r="AE111">
            <v>2</v>
          </cell>
          <cell r="AF111">
            <v>1000000</v>
          </cell>
          <cell r="AG111">
            <v>20</v>
          </cell>
          <cell r="AH111">
            <v>0.3</v>
          </cell>
          <cell r="AI111">
            <v>2</v>
          </cell>
          <cell r="AJ111">
            <v>1000000</v>
          </cell>
          <cell r="AK111">
            <v>25</v>
          </cell>
          <cell r="AL111">
            <v>0.3</v>
          </cell>
          <cell r="AM111">
            <v>2</v>
          </cell>
          <cell r="AN111">
            <v>1000000</v>
          </cell>
          <cell r="AO111">
            <v>30</v>
          </cell>
          <cell r="AP111">
            <v>0.3</v>
          </cell>
          <cell r="AQ111">
            <v>2</v>
          </cell>
          <cell r="AR111">
            <v>1000000</v>
          </cell>
          <cell r="AS111" t="str">
            <v>-</v>
          </cell>
          <cell r="AT111" t="str">
            <v>-</v>
          </cell>
          <cell r="AU111" t="str">
            <v>-</v>
          </cell>
          <cell r="AV111" t="str">
            <v>-</v>
          </cell>
          <cell r="AW111" t="str">
            <v>-</v>
          </cell>
          <cell r="AX111" t="str">
            <v>-</v>
          </cell>
          <cell r="AY111" t="str">
            <v>-</v>
          </cell>
          <cell r="AZ111" t="str">
            <v>-</v>
          </cell>
          <cell r="BA111" t="str">
            <v>-</v>
          </cell>
          <cell r="BB111" t="str">
            <v>-</v>
          </cell>
          <cell r="BC111" t="str">
            <v>-</v>
          </cell>
          <cell r="BD111" t="str">
            <v>-</v>
          </cell>
          <cell r="BE111" t="str">
            <v>-</v>
          </cell>
          <cell r="BF111" t="str">
            <v>-</v>
          </cell>
          <cell r="BG111" t="str">
            <v>-</v>
          </cell>
          <cell r="BH111" t="str">
            <v>-</v>
          </cell>
          <cell r="BI111" t="str">
            <v>-</v>
          </cell>
          <cell r="BJ111" t="str">
            <v>-</v>
          </cell>
          <cell r="BK111" t="str">
            <v>-</v>
          </cell>
          <cell r="BL111" t="str">
            <v>-</v>
          </cell>
          <cell r="BM111" t="str">
            <v>-</v>
          </cell>
          <cell r="BN111" t="str">
            <v>-</v>
          </cell>
          <cell r="BO111" t="str">
            <v>-</v>
          </cell>
          <cell r="BP111" t="str">
            <v>-</v>
          </cell>
        </row>
        <row r="112">
          <cell r="A112">
            <v>107</v>
          </cell>
          <cell r="B112" t="str">
            <v>M.TH.FS-004</v>
          </cell>
          <cell r="C112" t="str">
            <v>Termohigrômetro Digital</v>
          </cell>
          <cell r="D112" t="str">
            <v>Elus</v>
          </cell>
          <cell r="E112" t="str">
            <v>RBC - CAL 0439</v>
          </cell>
          <cell r="F112" t="str">
            <v>E0310/24</v>
          </cell>
          <cell r="G112">
            <v>45520</v>
          </cell>
          <cell r="H112">
            <v>45899</v>
          </cell>
          <cell r="I112" t="str">
            <v>°C</v>
          </cell>
          <cell r="J112" t="str">
            <v>IN</v>
          </cell>
          <cell r="K112" t="str">
            <v>NA</v>
          </cell>
          <cell r="L112">
            <v>15</v>
          </cell>
          <cell r="M112">
            <v>30</v>
          </cell>
          <cell r="N112">
            <v>0.1</v>
          </cell>
          <cell r="O112">
            <v>0.5</v>
          </cell>
          <cell r="P112">
            <v>0.3</v>
          </cell>
          <cell r="Q112">
            <v>0.5</v>
          </cell>
          <cell r="R112">
            <v>4.3502938722770279E-2</v>
          </cell>
          <cell r="S112">
            <v>2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3.1163737250813702E-17</v>
          </cell>
          <cell r="AA112">
            <v>0.97274791824375328</v>
          </cell>
          <cell r="AB112">
            <v>0.90499621498865812</v>
          </cell>
          <cell r="AC112">
            <v>15</v>
          </cell>
          <cell r="AD112">
            <v>0.3</v>
          </cell>
          <cell r="AE112">
            <v>2</v>
          </cell>
          <cell r="AF112">
            <v>1000000</v>
          </cell>
          <cell r="AG112">
            <v>20</v>
          </cell>
          <cell r="AH112">
            <v>0.3</v>
          </cell>
          <cell r="AI112">
            <v>2</v>
          </cell>
          <cell r="AJ112">
            <v>1000000</v>
          </cell>
          <cell r="AK112">
            <v>25</v>
          </cell>
          <cell r="AL112">
            <v>0.3</v>
          </cell>
          <cell r="AM112">
            <v>2</v>
          </cell>
          <cell r="AN112">
            <v>1000000</v>
          </cell>
          <cell r="AO112">
            <v>30</v>
          </cell>
          <cell r="AP112">
            <v>0.3</v>
          </cell>
          <cell r="AQ112">
            <v>2</v>
          </cell>
          <cell r="AR112">
            <v>1000000</v>
          </cell>
          <cell r="AS112" t="str">
            <v>-</v>
          </cell>
          <cell r="AT112" t="str">
            <v>-</v>
          </cell>
          <cell r="AU112" t="str">
            <v>-</v>
          </cell>
          <cell r="AV112" t="str">
            <v>-</v>
          </cell>
          <cell r="AW112" t="str">
            <v>-</v>
          </cell>
          <cell r="AX112" t="str">
            <v>-</v>
          </cell>
          <cell r="AY112" t="str">
            <v>-</v>
          </cell>
          <cell r="AZ112" t="str">
            <v>-</v>
          </cell>
          <cell r="BA112" t="str">
            <v>-</v>
          </cell>
          <cell r="BB112" t="str">
            <v>-</v>
          </cell>
          <cell r="BC112" t="str">
            <v>-</v>
          </cell>
          <cell r="BD112" t="str">
            <v>-</v>
          </cell>
          <cell r="BE112" t="str">
            <v>-</v>
          </cell>
          <cell r="BF112" t="str">
            <v>-</v>
          </cell>
          <cell r="BG112" t="str">
            <v>-</v>
          </cell>
          <cell r="BH112" t="str">
            <v>-</v>
          </cell>
          <cell r="BI112" t="str">
            <v>-</v>
          </cell>
          <cell r="BJ112" t="str">
            <v>-</v>
          </cell>
          <cell r="BK112" t="str">
            <v>-</v>
          </cell>
          <cell r="BL112" t="str">
            <v>-</v>
          </cell>
          <cell r="BM112" t="str">
            <v>-</v>
          </cell>
          <cell r="BN112" t="str">
            <v>-</v>
          </cell>
          <cell r="BO112" t="str">
            <v>-</v>
          </cell>
          <cell r="BP112" t="str">
            <v>-</v>
          </cell>
        </row>
        <row r="113">
          <cell r="A113">
            <v>108</v>
          </cell>
          <cell r="B113" t="str">
            <v>M.TH.FS-004</v>
          </cell>
          <cell r="C113" t="str">
            <v>Termohigrômetro Digital</v>
          </cell>
          <cell r="D113" t="str">
            <v>Elus</v>
          </cell>
          <cell r="E113" t="str">
            <v>RBC - CAL 0439</v>
          </cell>
          <cell r="F113" t="str">
            <v>E0310/24</v>
          </cell>
          <cell r="G113">
            <v>45520</v>
          </cell>
          <cell r="H113">
            <v>45899</v>
          </cell>
          <cell r="I113" t="str">
            <v>°C</v>
          </cell>
          <cell r="J113" t="str">
            <v>OUT</v>
          </cell>
          <cell r="K113" t="str">
            <v>NA</v>
          </cell>
          <cell r="L113">
            <v>15</v>
          </cell>
          <cell r="M113">
            <v>30</v>
          </cell>
          <cell r="N113">
            <v>0.1</v>
          </cell>
          <cell r="O113">
            <v>0.10000000000000142</v>
          </cell>
          <cell r="P113">
            <v>0.3</v>
          </cell>
          <cell r="Q113">
            <v>0.10000000000000142</v>
          </cell>
          <cell r="R113">
            <v>4.2898337756976879E-2</v>
          </cell>
          <cell r="S113">
            <v>2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-1.9294835450063422E-3</v>
          </cell>
          <cell r="AA113">
            <v>1.0749163723612947</v>
          </cell>
          <cell r="AB113">
            <v>-0.59765008455221325</v>
          </cell>
          <cell r="AC113">
            <v>15</v>
          </cell>
          <cell r="AD113">
            <v>0.3</v>
          </cell>
          <cell r="AE113">
            <v>2</v>
          </cell>
          <cell r="AF113">
            <v>1000000</v>
          </cell>
          <cell r="AG113">
            <v>20</v>
          </cell>
          <cell r="AH113">
            <v>0.3</v>
          </cell>
          <cell r="AI113">
            <v>2</v>
          </cell>
          <cell r="AJ113">
            <v>1000000</v>
          </cell>
          <cell r="AK113">
            <v>25</v>
          </cell>
          <cell r="AL113">
            <v>0.3</v>
          </cell>
          <cell r="AM113">
            <v>2</v>
          </cell>
          <cell r="AN113">
            <v>1000000</v>
          </cell>
          <cell r="AO113">
            <v>30</v>
          </cell>
          <cell r="AP113">
            <v>0.3</v>
          </cell>
          <cell r="AQ113">
            <v>2</v>
          </cell>
          <cell r="AR113">
            <v>1000000</v>
          </cell>
          <cell r="AS113" t="str">
            <v>-</v>
          </cell>
          <cell r="AT113" t="str">
            <v>-</v>
          </cell>
          <cell r="AU113" t="str">
            <v>-</v>
          </cell>
          <cell r="AV113" t="str">
            <v>-</v>
          </cell>
          <cell r="AW113" t="str">
            <v>-</v>
          </cell>
          <cell r="AX113" t="str">
            <v>-</v>
          </cell>
          <cell r="AY113" t="str">
            <v>-</v>
          </cell>
          <cell r="AZ113" t="str">
            <v>-</v>
          </cell>
          <cell r="BA113" t="str">
            <v>-</v>
          </cell>
          <cell r="BB113" t="str">
            <v>-</v>
          </cell>
          <cell r="BC113" t="str">
            <v>-</v>
          </cell>
          <cell r="BD113" t="str">
            <v>-</v>
          </cell>
          <cell r="BE113" t="str">
            <v>-</v>
          </cell>
          <cell r="BF113" t="str">
            <v>-</v>
          </cell>
          <cell r="BG113" t="str">
            <v>-</v>
          </cell>
          <cell r="BH113" t="str">
            <v>-</v>
          </cell>
          <cell r="BI113" t="str">
            <v>-</v>
          </cell>
          <cell r="BJ113" t="str">
            <v>-</v>
          </cell>
          <cell r="BK113" t="str">
            <v>-</v>
          </cell>
          <cell r="BL113" t="str">
            <v>-</v>
          </cell>
          <cell r="BM113" t="str">
            <v>-</v>
          </cell>
          <cell r="BN113" t="str">
            <v>-</v>
          </cell>
          <cell r="BO113" t="str">
            <v>-</v>
          </cell>
          <cell r="BP113" t="str">
            <v>-</v>
          </cell>
        </row>
        <row r="114">
          <cell r="A114">
            <v>109</v>
          </cell>
          <cell r="B114" t="str">
            <v>M.TH.FS-005</v>
          </cell>
          <cell r="C114" t="str">
            <v>Termohigrômetro Digital</v>
          </cell>
          <cell r="D114" t="str">
            <v>Elus</v>
          </cell>
          <cell r="E114" t="str">
            <v>RBC - CAL 0439</v>
          </cell>
          <cell r="F114" t="str">
            <v>E0311/24</v>
          </cell>
          <cell r="G114">
            <v>45520</v>
          </cell>
          <cell r="H114">
            <v>45899</v>
          </cell>
          <cell r="I114" t="str">
            <v>°C</v>
          </cell>
          <cell r="J114" t="str">
            <v>IN</v>
          </cell>
          <cell r="K114" t="str">
            <v>NA</v>
          </cell>
          <cell r="L114">
            <v>15</v>
          </cell>
          <cell r="M114">
            <v>30</v>
          </cell>
          <cell r="N114">
            <v>0.1</v>
          </cell>
          <cell r="O114">
            <v>0.5</v>
          </cell>
          <cell r="P114">
            <v>0.3</v>
          </cell>
          <cell r="Q114">
            <v>0.5</v>
          </cell>
          <cell r="R114">
            <v>0.13610370752283163</v>
          </cell>
          <cell r="S114">
            <v>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2.149237070437739E-3</v>
          </cell>
          <cell r="AA114">
            <v>0.92660664012855021</v>
          </cell>
          <cell r="AB114">
            <v>0.1921156726004194</v>
          </cell>
          <cell r="AC114">
            <v>15</v>
          </cell>
          <cell r="AD114">
            <v>0.3</v>
          </cell>
          <cell r="AE114">
            <v>2</v>
          </cell>
          <cell r="AF114">
            <v>1000000</v>
          </cell>
          <cell r="AG114">
            <v>20</v>
          </cell>
          <cell r="AH114">
            <v>0.3</v>
          </cell>
          <cell r="AI114">
            <v>2</v>
          </cell>
          <cell r="AJ114">
            <v>1000000</v>
          </cell>
          <cell r="AK114">
            <v>25</v>
          </cell>
          <cell r="AL114">
            <v>0.3</v>
          </cell>
          <cell r="AM114">
            <v>2</v>
          </cell>
          <cell r="AN114">
            <v>1000000</v>
          </cell>
          <cell r="AO114">
            <v>30</v>
          </cell>
          <cell r="AP114">
            <v>0.3</v>
          </cell>
          <cell r="AQ114">
            <v>2</v>
          </cell>
          <cell r="AR114">
            <v>1000000</v>
          </cell>
          <cell r="AS114" t="str">
            <v>-</v>
          </cell>
          <cell r="AT114" t="str">
            <v>-</v>
          </cell>
          <cell r="AU114" t="str">
            <v>-</v>
          </cell>
          <cell r="AV114" t="str">
            <v>-</v>
          </cell>
          <cell r="AW114" t="str">
            <v>-</v>
          </cell>
          <cell r="AX114" t="str">
            <v>-</v>
          </cell>
          <cell r="AY114" t="str">
            <v>-</v>
          </cell>
          <cell r="AZ114" t="str">
            <v>-</v>
          </cell>
          <cell r="BA114" t="str">
            <v>-</v>
          </cell>
          <cell r="BB114" t="str">
            <v>-</v>
          </cell>
          <cell r="BC114" t="str">
            <v>-</v>
          </cell>
          <cell r="BD114" t="str">
            <v>-</v>
          </cell>
          <cell r="BE114" t="str">
            <v>-</v>
          </cell>
          <cell r="BF114" t="str">
            <v>-</v>
          </cell>
          <cell r="BG114" t="str">
            <v>-</v>
          </cell>
          <cell r="BH114" t="str">
            <v>-</v>
          </cell>
          <cell r="BI114" t="str">
            <v>-</v>
          </cell>
          <cell r="BJ114" t="str">
            <v>-</v>
          </cell>
          <cell r="BK114" t="str">
            <v>-</v>
          </cell>
          <cell r="BL114" t="str">
            <v>-</v>
          </cell>
          <cell r="BM114" t="str">
            <v>-</v>
          </cell>
          <cell r="BN114" t="str">
            <v>-</v>
          </cell>
          <cell r="BO114" t="str">
            <v>-</v>
          </cell>
          <cell r="BP114" t="str">
            <v>-</v>
          </cell>
        </row>
        <row r="115">
          <cell r="A115">
            <v>110</v>
          </cell>
          <cell r="B115" t="str">
            <v>M.TH.FS-005</v>
          </cell>
          <cell r="C115" t="str">
            <v>Termohigrômetro Digital</v>
          </cell>
          <cell r="D115" t="str">
            <v>Elus</v>
          </cell>
          <cell r="E115" t="str">
            <v>RBC - CAL 0439</v>
          </cell>
          <cell r="F115" t="str">
            <v>E0311/24</v>
          </cell>
          <cell r="G115">
            <v>45520</v>
          </cell>
          <cell r="H115">
            <v>45899</v>
          </cell>
          <cell r="I115" t="str">
            <v>°C</v>
          </cell>
          <cell r="J115" t="str">
            <v>OUT</v>
          </cell>
          <cell r="K115" t="str">
            <v>NA</v>
          </cell>
          <cell r="L115">
            <v>15</v>
          </cell>
          <cell r="M115">
            <v>30</v>
          </cell>
          <cell r="N115">
            <v>0.1</v>
          </cell>
          <cell r="O115">
            <v>0.39999999999999858</v>
          </cell>
          <cell r="P115">
            <v>0.3</v>
          </cell>
          <cell r="Q115">
            <v>0.39999999999999858</v>
          </cell>
          <cell r="R115">
            <v>0.11103088542594852</v>
          </cell>
          <cell r="S115">
            <v>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-9.6996948720089367E-4</v>
          </cell>
          <cell r="AA115">
            <v>1.0331550178806232</v>
          </cell>
          <cell r="AB115">
            <v>4.8171207981712816E-2</v>
          </cell>
          <cell r="AC115">
            <v>15</v>
          </cell>
          <cell r="AD115">
            <v>0.3</v>
          </cell>
          <cell r="AE115">
            <v>2</v>
          </cell>
          <cell r="AF115">
            <v>1000000</v>
          </cell>
          <cell r="AG115">
            <v>20</v>
          </cell>
          <cell r="AH115">
            <v>0.3</v>
          </cell>
          <cell r="AI115">
            <v>2</v>
          </cell>
          <cell r="AJ115">
            <v>1000000</v>
          </cell>
          <cell r="AK115">
            <v>25</v>
          </cell>
          <cell r="AL115">
            <v>0.3</v>
          </cell>
          <cell r="AM115">
            <v>2</v>
          </cell>
          <cell r="AN115">
            <v>1000000</v>
          </cell>
          <cell r="AO115">
            <v>30</v>
          </cell>
          <cell r="AP115">
            <v>0.3</v>
          </cell>
          <cell r="AQ115">
            <v>2</v>
          </cell>
          <cell r="AR115">
            <v>1000000</v>
          </cell>
          <cell r="AS115" t="str">
            <v>-</v>
          </cell>
          <cell r="AT115" t="str">
            <v>-</v>
          </cell>
          <cell r="AU115" t="str">
            <v>-</v>
          </cell>
          <cell r="AV115" t="str">
            <v>-</v>
          </cell>
          <cell r="AW115" t="str">
            <v>-</v>
          </cell>
          <cell r="AX115" t="str">
            <v>-</v>
          </cell>
          <cell r="AY115" t="str">
            <v>-</v>
          </cell>
          <cell r="AZ115" t="str">
            <v>-</v>
          </cell>
          <cell r="BA115" t="str">
            <v>-</v>
          </cell>
          <cell r="BB115" t="str">
            <v>-</v>
          </cell>
          <cell r="BC115" t="str">
            <v>-</v>
          </cell>
          <cell r="BD115" t="str">
            <v>-</v>
          </cell>
          <cell r="BE115" t="str">
            <v>-</v>
          </cell>
          <cell r="BF115" t="str">
            <v>-</v>
          </cell>
          <cell r="BG115" t="str">
            <v>-</v>
          </cell>
          <cell r="BH115" t="str">
            <v>-</v>
          </cell>
          <cell r="BI115" t="str">
            <v>-</v>
          </cell>
          <cell r="BJ115" t="str">
            <v>-</v>
          </cell>
          <cell r="BK115" t="str">
            <v>-</v>
          </cell>
          <cell r="BL115" t="str">
            <v>-</v>
          </cell>
          <cell r="BM115" t="str">
            <v>-</v>
          </cell>
          <cell r="BN115" t="str">
            <v>-</v>
          </cell>
          <cell r="BO115" t="str">
            <v>-</v>
          </cell>
          <cell r="BP115" t="str">
            <v>-</v>
          </cell>
        </row>
        <row r="116">
          <cell r="A116">
            <v>111</v>
          </cell>
          <cell r="B116" t="str">
            <v>M.TH.FS-006</v>
          </cell>
          <cell r="C116" t="str">
            <v>Termohigrômetro Digital</v>
          </cell>
          <cell r="D116" t="str">
            <v>Elus</v>
          </cell>
          <cell r="E116" t="str">
            <v>RBC - CAL 0439</v>
          </cell>
          <cell r="F116" t="str">
            <v>E0312/24</v>
          </cell>
          <cell r="G116">
            <v>45520</v>
          </cell>
          <cell r="H116">
            <v>45899</v>
          </cell>
          <cell r="I116" t="str">
            <v>°C</v>
          </cell>
          <cell r="J116" t="str">
            <v>IN</v>
          </cell>
          <cell r="K116" t="str">
            <v>NA</v>
          </cell>
          <cell r="L116">
            <v>15</v>
          </cell>
          <cell r="M116">
            <v>30</v>
          </cell>
          <cell r="N116">
            <v>0.1</v>
          </cell>
          <cell r="O116">
            <v>0.19999999999999929</v>
          </cell>
          <cell r="P116">
            <v>0.3</v>
          </cell>
          <cell r="Q116">
            <v>0.19999999999999929</v>
          </cell>
          <cell r="R116">
            <v>2.2380323709817074E-2</v>
          </cell>
          <cell r="S116">
            <v>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-9.5912014749534552E-4</v>
          </cell>
          <cell r="AA116">
            <v>1.0291482768320328</v>
          </cell>
          <cell r="AB116">
            <v>-1.6199855335271129E-2</v>
          </cell>
          <cell r="AC116">
            <v>15</v>
          </cell>
          <cell r="AD116">
            <v>0.3</v>
          </cell>
          <cell r="AE116">
            <v>2</v>
          </cell>
          <cell r="AF116">
            <v>1000000</v>
          </cell>
          <cell r="AG116">
            <v>20</v>
          </cell>
          <cell r="AH116">
            <v>0.3</v>
          </cell>
          <cell r="AI116">
            <v>2</v>
          </cell>
          <cell r="AJ116">
            <v>1000000</v>
          </cell>
          <cell r="AK116">
            <v>25</v>
          </cell>
          <cell r="AL116">
            <v>0.3</v>
          </cell>
          <cell r="AM116">
            <v>2</v>
          </cell>
          <cell r="AN116">
            <v>1000000</v>
          </cell>
          <cell r="AO116">
            <v>30</v>
          </cell>
          <cell r="AP116">
            <v>0.3</v>
          </cell>
          <cell r="AQ116">
            <v>2</v>
          </cell>
          <cell r="AR116">
            <v>1000000</v>
          </cell>
          <cell r="AS116" t="str">
            <v>-</v>
          </cell>
          <cell r="AT116" t="str">
            <v>-</v>
          </cell>
          <cell r="AU116" t="str">
            <v>-</v>
          </cell>
          <cell r="AV116" t="str">
            <v>-</v>
          </cell>
          <cell r="AW116" t="str">
            <v>-</v>
          </cell>
          <cell r="AX116" t="str">
            <v>-</v>
          </cell>
          <cell r="AY116" t="str">
            <v>-</v>
          </cell>
          <cell r="AZ116" t="str">
            <v>-</v>
          </cell>
          <cell r="BA116" t="str">
            <v>-</v>
          </cell>
          <cell r="BB116" t="str">
            <v>-</v>
          </cell>
          <cell r="BC116" t="str">
            <v>-</v>
          </cell>
          <cell r="BD116" t="str">
            <v>-</v>
          </cell>
          <cell r="BE116" t="str">
            <v>-</v>
          </cell>
          <cell r="BF116" t="str">
            <v>-</v>
          </cell>
          <cell r="BG116" t="str">
            <v>-</v>
          </cell>
          <cell r="BH116" t="str">
            <v>-</v>
          </cell>
          <cell r="BI116" t="str">
            <v>-</v>
          </cell>
          <cell r="BJ116" t="str">
            <v>-</v>
          </cell>
          <cell r="BK116" t="str">
            <v>-</v>
          </cell>
          <cell r="BL116" t="str">
            <v>-</v>
          </cell>
          <cell r="BM116" t="str">
            <v>-</v>
          </cell>
          <cell r="BN116" t="str">
            <v>-</v>
          </cell>
          <cell r="BO116" t="str">
            <v>-</v>
          </cell>
          <cell r="BP116" t="str">
            <v>-</v>
          </cell>
        </row>
        <row r="117">
          <cell r="A117">
            <v>112</v>
          </cell>
          <cell r="B117" t="str">
            <v>M.TH.FS-006</v>
          </cell>
          <cell r="C117" t="str">
            <v>Termohigrômetro Digital</v>
          </cell>
          <cell r="D117" t="str">
            <v>Elus</v>
          </cell>
          <cell r="E117" t="str">
            <v>RBC - CAL 0439</v>
          </cell>
          <cell r="F117" t="str">
            <v>E0312/24</v>
          </cell>
          <cell r="G117">
            <v>45520</v>
          </cell>
          <cell r="H117">
            <v>45899</v>
          </cell>
          <cell r="I117" t="str">
            <v>°C</v>
          </cell>
          <cell r="J117" t="str">
            <v>OUT</v>
          </cell>
          <cell r="K117" t="str">
            <v>NA</v>
          </cell>
          <cell r="L117">
            <v>15</v>
          </cell>
          <cell r="M117">
            <v>30</v>
          </cell>
          <cell r="N117">
            <v>0.1</v>
          </cell>
          <cell r="O117">
            <v>0.19999999999999929</v>
          </cell>
          <cell r="P117">
            <v>0.3</v>
          </cell>
          <cell r="Q117">
            <v>0.19999999999999929</v>
          </cell>
          <cell r="R117">
            <v>8.9366077854912573E-2</v>
          </cell>
          <cell r="S117">
            <v>2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1.906171719062199E-3</v>
          </cell>
          <cell r="AA117">
            <v>0.89875356728254308</v>
          </cell>
          <cell r="AB117">
            <v>1.3007692375840165</v>
          </cell>
          <cell r="AC117">
            <v>15</v>
          </cell>
          <cell r="AD117">
            <v>0.3</v>
          </cell>
          <cell r="AE117">
            <v>2</v>
          </cell>
          <cell r="AF117">
            <v>1000000</v>
          </cell>
          <cell r="AG117">
            <v>20</v>
          </cell>
          <cell r="AH117">
            <v>0.3</v>
          </cell>
          <cell r="AI117">
            <v>2</v>
          </cell>
          <cell r="AJ117">
            <v>1000000</v>
          </cell>
          <cell r="AK117">
            <v>25</v>
          </cell>
          <cell r="AL117">
            <v>0.3</v>
          </cell>
          <cell r="AM117">
            <v>2</v>
          </cell>
          <cell r="AN117">
            <v>1000000</v>
          </cell>
          <cell r="AO117">
            <v>30</v>
          </cell>
          <cell r="AP117">
            <v>0.3</v>
          </cell>
          <cell r="AQ117">
            <v>2</v>
          </cell>
          <cell r="AR117">
            <v>1000000</v>
          </cell>
          <cell r="AS117" t="str">
            <v>-</v>
          </cell>
          <cell r="AT117" t="str">
            <v>-</v>
          </cell>
          <cell r="AU117" t="str">
            <v>-</v>
          </cell>
          <cell r="AV117" t="str">
            <v>-</v>
          </cell>
          <cell r="AW117" t="str">
            <v>-</v>
          </cell>
          <cell r="AX117" t="str">
            <v>-</v>
          </cell>
          <cell r="AY117" t="str">
            <v>-</v>
          </cell>
          <cell r="AZ117" t="str">
            <v>-</v>
          </cell>
          <cell r="BA117" t="str">
            <v>-</v>
          </cell>
          <cell r="BB117" t="str">
            <v>-</v>
          </cell>
          <cell r="BC117" t="str">
            <v>-</v>
          </cell>
          <cell r="BD117" t="str">
            <v>-</v>
          </cell>
          <cell r="BE117" t="str">
            <v>-</v>
          </cell>
          <cell r="BF117" t="str">
            <v>-</v>
          </cell>
          <cell r="BG117" t="str">
            <v>-</v>
          </cell>
          <cell r="BH117" t="str">
            <v>-</v>
          </cell>
          <cell r="BI117" t="str">
            <v>-</v>
          </cell>
          <cell r="BJ117" t="str">
            <v>-</v>
          </cell>
          <cell r="BK117" t="str">
            <v>-</v>
          </cell>
          <cell r="BL117" t="str">
            <v>-</v>
          </cell>
          <cell r="BM117" t="str">
            <v>-</v>
          </cell>
          <cell r="BN117" t="str">
            <v>-</v>
          </cell>
          <cell r="BO117" t="str">
            <v>-</v>
          </cell>
          <cell r="BP117" t="str">
            <v>-</v>
          </cell>
        </row>
        <row r="118">
          <cell r="A118">
            <v>113</v>
          </cell>
          <cell r="B118" t="str">
            <v>M.TH.FS-007</v>
          </cell>
          <cell r="C118" t="str">
            <v>Termohigrômetro Digital</v>
          </cell>
          <cell r="D118" t="str">
            <v>Elus</v>
          </cell>
          <cell r="E118" t="str">
            <v>RBC - CAL 0439</v>
          </cell>
          <cell r="F118" t="str">
            <v>E0313/24</v>
          </cell>
          <cell r="G118">
            <v>45520</v>
          </cell>
          <cell r="H118">
            <v>45899</v>
          </cell>
          <cell r="I118" t="str">
            <v>°C</v>
          </cell>
          <cell r="J118" t="str">
            <v>IN</v>
          </cell>
          <cell r="K118" t="str">
            <v>NA</v>
          </cell>
          <cell r="L118">
            <v>15</v>
          </cell>
          <cell r="M118">
            <v>30</v>
          </cell>
          <cell r="N118">
            <v>0.1</v>
          </cell>
          <cell r="O118">
            <v>0.19999999999999929</v>
          </cell>
          <cell r="P118">
            <v>0.3</v>
          </cell>
          <cell r="Q118">
            <v>0.19999999999999929</v>
          </cell>
          <cell r="R118">
            <v>2.500802904550975E-2</v>
          </cell>
          <cell r="S118">
            <v>2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-2.8772272166668715E-3</v>
          </cell>
          <cell r="AA118">
            <v>1.115576756934463</v>
          </cell>
          <cell r="AB118">
            <v>-0.97744186186226667</v>
          </cell>
          <cell r="AC118">
            <v>15</v>
          </cell>
          <cell r="AD118">
            <v>0.3</v>
          </cell>
          <cell r="AE118">
            <v>2</v>
          </cell>
          <cell r="AF118">
            <v>1000000</v>
          </cell>
          <cell r="AG118">
            <v>20</v>
          </cell>
          <cell r="AH118">
            <v>0.3</v>
          </cell>
          <cell r="AI118">
            <v>2</v>
          </cell>
          <cell r="AJ118">
            <v>1000000</v>
          </cell>
          <cell r="AK118">
            <v>25</v>
          </cell>
          <cell r="AL118">
            <v>0.3</v>
          </cell>
          <cell r="AM118">
            <v>2</v>
          </cell>
          <cell r="AN118">
            <v>1000000</v>
          </cell>
          <cell r="AO118">
            <v>30</v>
          </cell>
          <cell r="AP118">
            <v>0.3</v>
          </cell>
          <cell r="AQ118">
            <v>2</v>
          </cell>
          <cell r="AR118">
            <v>1000000</v>
          </cell>
          <cell r="AS118" t="str">
            <v>-</v>
          </cell>
          <cell r="AT118" t="str">
            <v>-</v>
          </cell>
          <cell r="AU118" t="str">
            <v>-</v>
          </cell>
          <cell r="AV118" t="str">
            <v>-</v>
          </cell>
          <cell r="AW118" t="str">
            <v>-</v>
          </cell>
          <cell r="AX118" t="str">
            <v>-</v>
          </cell>
          <cell r="AY118" t="str">
            <v>-</v>
          </cell>
          <cell r="AZ118" t="str">
            <v>-</v>
          </cell>
          <cell r="BA118" t="str">
            <v>-</v>
          </cell>
          <cell r="BB118" t="str">
            <v>-</v>
          </cell>
          <cell r="BC118" t="str">
            <v>-</v>
          </cell>
          <cell r="BD118" t="str">
            <v>-</v>
          </cell>
          <cell r="BE118" t="str">
            <v>-</v>
          </cell>
          <cell r="BF118" t="str">
            <v>-</v>
          </cell>
          <cell r="BG118" t="str">
            <v>-</v>
          </cell>
          <cell r="BH118" t="str">
            <v>-</v>
          </cell>
          <cell r="BI118" t="str">
            <v>-</v>
          </cell>
          <cell r="BJ118" t="str">
            <v>-</v>
          </cell>
          <cell r="BK118" t="str">
            <v>-</v>
          </cell>
          <cell r="BL118" t="str">
            <v>-</v>
          </cell>
          <cell r="BM118" t="str">
            <v>-</v>
          </cell>
          <cell r="BN118" t="str">
            <v>-</v>
          </cell>
          <cell r="BO118" t="str">
            <v>-</v>
          </cell>
          <cell r="BP118" t="str">
            <v>-</v>
          </cell>
        </row>
        <row r="119">
          <cell r="A119">
            <v>114</v>
          </cell>
          <cell r="B119" t="str">
            <v>M.TH.FS-007</v>
          </cell>
          <cell r="C119" t="str">
            <v>Termohigrômetro Digital</v>
          </cell>
          <cell r="D119" t="str">
            <v>Elus</v>
          </cell>
          <cell r="E119" t="str">
            <v>RBC - CAL 0439</v>
          </cell>
          <cell r="F119" t="str">
            <v>E0313/24</v>
          </cell>
          <cell r="G119">
            <v>45520</v>
          </cell>
          <cell r="H119">
            <v>45899</v>
          </cell>
          <cell r="I119" t="str">
            <v>°C</v>
          </cell>
          <cell r="J119" t="str">
            <v>OUT</v>
          </cell>
          <cell r="K119" t="str">
            <v>NA</v>
          </cell>
          <cell r="L119">
            <v>15</v>
          </cell>
          <cell r="M119">
            <v>30</v>
          </cell>
          <cell r="N119">
            <v>0.1</v>
          </cell>
          <cell r="O119">
            <v>0.19999999999999929</v>
          </cell>
          <cell r="P119">
            <v>0.3</v>
          </cell>
          <cell r="Q119">
            <v>0.19999999999999929</v>
          </cell>
          <cell r="R119">
            <v>4.4366078809170484E-2</v>
          </cell>
          <cell r="S119">
            <v>2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1.4034355282536405E-17</v>
          </cell>
          <cell r="AA119">
            <v>0.99204787024643704</v>
          </cell>
          <cell r="AB119">
            <v>0.32773009999212344</v>
          </cell>
          <cell r="AC119">
            <v>15</v>
          </cell>
          <cell r="AD119">
            <v>0.3</v>
          </cell>
          <cell r="AE119">
            <v>2</v>
          </cell>
          <cell r="AF119">
            <v>1000000</v>
          </cell>
          <cell r="AG119">
            <v>20</v>
          </cell>
          <cell r="AH119">
            <v>0.3</v>
          </cell>
          <cell r="AI119">
            <v>2</v>
          </cell>
          <cell r="AJ119">
            <v>1000000</v>
          </cell>
          <cell r="AK119">
            <v>25</v>
          </cell>
          <cell r="AL119">
            <v>0.3</v>
          </cell>
          <cell r="AM119">
            <v>2</v>
          </cell>
          <cell r="AN119">
            <v>1000000</v>
          </cell>
          <cell r="AO119">
            <v>30</v>
          </cell>
          <cell r="AP119">
            <v>0.3</v>
          </cell>
          <cell r="AQ119">
            <v>2</v>
          </cell>
          <cell r="AR119">
            <v>1000000</v>
          </cell>
          <cell r="AS119" t="str">
            <v>-</v>
          </cell>
          <cell r="AT119" t="str">
            <v>-</v>
          </cell>
          <cell r="AU119" t="str">
            <v>-</v>
          </cell>
          <cell r="AV119" t="str">
            <v>-</v>
          </cell>
          <cell r="AW119" t="str">
            <v>-</v>
          </cell>
          <cell r="AX119" t="str">
            <v>-</v>
          </cell>
          <cell r="AY119" t="str">
            <v>-</v>
          </cell>
          <cell r="AZ119" t="str">
            <v>-</v>
          </cell>
          <cell r="BA119" t="str">
            <v>-</v>
          </cell>
          <cell r="BB119" t="str">
            <v>-</v>
          </cell>
          <cell r="BC119" t="str">
            <v>-</v>
          </cell>
          <cell r="BD119" t="str">
            <v>-</v>
          </cell>
          <cell r="BE119" t="str">
            <v>-</v>
          </cell>
          <cell r="BF119" t="str">
            <v>-</v>
          </cell>
          <cell r="BG119" t="str">
            <v>-</v>
          </cell>
          <cell r="BH119" t="str">
            <v>-</v>
          </cell>
          <cell r="BI119" t="str">
            <v>-</v>
          </cell>
          <cell r="BJ119" t="str">
            <v>-</v>
          </cell>
          <cell r="BK119" t="str">
            <v>-</v>
          </cell>
          <cell r="BL119" t="str">
            <v>-</v>
          </cell>
          <cell r="BM119" t="str">
            <v>-</v>
          </cell>
          <cell r="BN119" t="str">
            <v>-</v>
          </cell>
          <cell r="BO119" t="str">
            <v>-</v>
          </cell>
          <cell r="BP119" t="str">
            <v>-</v>
          </cell>
        </row>
        <row r="120">
          <cell r="A120">
            <v>115</v>
          </cell>
          <cell r="B120" t="str">
            <v>M.MS.LM-012</v>
          </cell>
          <cell r="C120" t="str">
            <v>Termohigrômetro Digital</v>
          </cell>
          <cell r="D120" t="str">
            <v>Elus</v>
          </cell>
          <cell r="E120" t="str">
            <v>RBC - CAL 0439</v>
          </cell>
          <cell r="F120" t="str">
            <v>E0526B/24</v>
          </cell>
          <cell r="G120">
            <v>45664</v>
          </cell>
          <cell r="H120">
            <v>46417</v>
          </cell>
          <cell r="I120" t="str">
            <v>°C</v>
          </cell>
          <cell r="J120" t="str">
            <v>IN</v>
          </cell>
          <cell r="K120" t="str">
            <v>NA</v>
          </cell>
          <cell r="L120">
            <v>5</v>
          </cell>
          <cell r="M120">
            <v>40</v>
          </cell>
          <cell r="N120">
            <v>0.1</v>
          </cell>
          <cell r="O120">
            <v>0.5</v>
          </cell>
          <cell r="P120">
            <v>0.2</v>
          </cell>
          <cell r="Q120">
            <v>0.5</v>
          </cell>
          <cell r="R120">
            <v>0.1153864759161829</v>
          </cell>
          <cell r="S120">
            <v>2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5.8771918578368065E-4</v>
          </cell>
          <cell r="AA120">
            <v>0.96045719082129732</v>
          </cell>
          <cell r="AB120">
            <v>0.15382216649877967</v>
          </cell>
          <cell r="AC120">
            <v>5</v>
          </cell>
          <cell r="AD120">
            <v>0.2</v>
          </cell>
          <cell r="AE120">
            <v>2</v>
          </cell>
          <cell r="AF120">
            <v>1000000</v>
          </cell>
          <cell r="AG120">
            <v>15</v>
          </cell>
          <cell r="AH120">
            <v>0.2</v>
          </cell>
          <cell r="AI120">
            <v>2</v>
          </cell>
          <cell r="AJ120">
            <v>1000000</v>
          </cell>
          <cell r="AK120">
            <v>25</v>
          </cell>
          <cell r="AL120">
            <v>0.2</v>
          </cell>
          <cell r="AM120">
            <v>2</v>
          </cell>
          <cell r="AN120">
            <v>1000000</v>
          </cell>
          <cell r="AO120">
            <v>40</v>
          </cell>
          <cell r="AP120">
            <v>0.2</v>
          </cell>
          <cell r="AQ120">
            <v>2</v>
          </cell>
          <cell r="AR120">
            <v>1000000</v>
          </cell>
          <cell r="AS120" t="str">
            <v>-</v>
          </cell>
          <cell r="AT120" t="str">
            <v>-</v>
          </cell>
          <cell r="AU120" t="str">
            <v>-</v>
          </cell>
          <cell r="AV120" t="str">
            <v>-</v>
          </cell>
          <cell r="AW120" t="str">
            <v>-</v>
          </cell>
          <cell r="AX120" t="str">
            <v>-</v>
          </cell>
          <cell r="AY120" t="str">
            <v>-</v>
          </cell>
          <cell r="AZ120" t="str">
            <v>-</v>
          </cell>
          <cell r="BA120" t="str">
            <v>-</v>
          </cell>
          <cell r="BB120" t="str">
            <v>-</v>
          </cell>
          <cell r="BC120" t="str">
            <v>-</v>
          </cell>
          <cell r="BD120" t="str">
            <v>-</v>
          </cell>
          <cell r="BE120" t="str">
            <v>-</v>
          </cell>
          <cell r="BF120" t="str">
            <v>-</v>
          </cell>
          <cell r="BG120" t="str">
            <v>-</v>
          </cell>
          <cell r="BH120" t="str">
            <v>-</v>
          </cell>
          <cell r="BI120" t="str">
            <v>-</v>
          </cell>
          <cell r="BJ120" t="str">
            <v>-</v>
          </cell>
          <cell r="BK120" t="str">
            <v>-</v>
          </cell>
          <cell r="BL120" t="str">
            <v>-</v>
          </cell>
          <cell r="BM120" t="str">
            <v>-</v>
          </cell>
          <cell r="BN120" t="str">
            <v>-</v>
          </cell>
          <cell r="BO120" t="str">
            <v>-</v>
          </cell>
          <cell r="BP120" t="str">
            <v>-</v>
          </cell>
        </row>
        <row r="121">
          <cell r="A121">
            <v>116</v>
          </cell>
          <cell r="B121" t="str">
            <v>M.MS.LM-013</v>
          </cell>
          <cell r="C121" t="str">
            <v>Termohigrômetro Digital</v>
          </cell>
          <cell r="D121" t="str">
            <v>Elus</v>
          </cell>
          <cell r="E121" t="str">
            <v>RBC - CAL 0439</v>
          </cell>
          <cell r="F121" t="str">
            <v>E0040B/25</v>
          </cell>
          <cell r="G121">
            <v>45709</v>
          </cell>
          <cell r="H121">
            <v>46446</v>
          </cell>
          <cell r="I121" t="str">
            <v>°C</v>
          </cell>
          <cell r="J121" t="str">
            <v>IN</v>
          </cell>
          <cell r="K121" t="str">
            <v>NA</v>
          </cell>
          <cell r="L121">
            <v>5</v>
          </cell>
          <cell r="M121">
            <v>40</v>
          </cell>
          <cell r="N121">
            <v>0.1</v>
          </cell>
          <cell r="O121">
            <v>0.20000000000000284</v>
          </cell>
          <cell r="P121">
            <v>0.2</v>
          </cell>
          <cell r="Q121">
            <v>0.20000000000000284</v>
          </cell>
          <cell r="R121">
            <v>4.5601552492158248E-3</v>
          </cell>
          <cell r="S121">
            <v>2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4.537455003999788E-4</v>
          </cell>
          <cell r="AA121">
            <v>0.99119499307627257</v>
          </cell>
          <cell r="AB121">
            <v>-0.16766269332746192</v>
          </cell>
          <cell r="AC121">
            <v>5</v>
          </cell>
          <cell r="AD121">
            <v>0.2</v>
          </cell>
          <cell r="AE121">
            <v>2</v>
          </cell>
          <cell r="AF121">
            <v>1000000</v>
          </cell>
          <cell r="AG121">
            <v>15</v>
          </cell>
          <cell r="AH121">
            <v>0.2</v>
          </cell>
          <cell r="AI121">
            <v>2</v>
          </cell>
          <cell r="AJ121">
            <v>1000000</v>
          </cell>
          <cell r="AK121">
            <v>25</v>
          </cell>
          <cell r="AL121">
            <v>0.2</v>
          </cell>
          <cell r="AM121">
            <v>2</v>
          </cell>
          <cell r="AN121">
            <v>1000000</v>
          </cell>
          <cell r="AO121">
            <v>40</v>
          </cell>
          <cell r="AP121">
            <v>0.2</v>
          </cell>
          <cell r="AQ121">
            <v>2</v>
          </cell>
          <cell r="AR121">
            <v>1000000</v>
          </cell>
          <cell r="AS121" t="str">
            <v>-</v>
          </cell>
          <cell r="AT121" t="str">
            <v>-</v>
          </cell>
          <cell r="AU121" t="str">
            <v>-</v>
          </cell>
          <cell r="AV121" t="str">
            <v>-</v>
          </cell>
          <cell r="AW121" t="str">
            <v>-</v>
          </cell>
          <cell r="AX121" t="str">
            <v>-</v>
          </cell>
          <cell r="AY121" t="str">
            <v>-</v>
          </cell>
          <cell r="AZ121" t="str">
            <v>-</v>
          </cell>
          <cell r="BA121" t="str">
            <v>-</v>
          </cell>
          <cell r="BB121" t="str">
            <v>-</v>
          </cell>
          <cell r="BC121" t="str">
            <v>-</v>
          </cell>
          <cell r="BD121" t="str">
            <v>-</v>
          </cell>
          <cell r="BE121" t="str">
            <v>-</v>
          </cell>
          <cell r="BF121" t="str">
            <v>-</v>
          </cell>
          <cell r="BG121" t="str">
            <v>-</v>
          </cell>
          <cell r="BH121" t="str">
            <v>-</v>
          </cell>
          <cell r="BI121" t="str">
            <v>-</v>
          </cell>
          <cell r="BJ121" t="str">
            <v>-</v>
          </cell>
          <cell r="BK121" t="str">
            <v>-</v>
          </cell>
          <cell r="BL121" t="str">
            <v>-</v>
          </cell>
          <cell r="BM121" t="str">
            <v>-</v>
          </cell>
          <cell r="BN121" t="str">
            <v>-</v>
          </cell>
          <cell r="BO121" t="str">
            <v>-</v>
          </cell>
          <cell r="BP121" t="str">
            <v>-</v>
          </cell>
        </row>
        <row r="122">
          <cell r="A122">
            <v>117</v>
          </cell>
          <cell r="B122" t="str">
            <v>M.TH.LQ-047</v>
          </cell>
          <cell r="C122" t="str">
            <v>Termômetro Digital</v>
          </cell>
          <cell r="D122" t="str">
            <v>Elus</v>
          </cell>
          <cell r="E122" t="str">
            <v>RBC - CAL 0439</v>
          </cell>
          <cell r="F122" t="str">
            <v>E0524/24</v>
          </cell>
          <cell r="G122">
            <v>45664</v>
          </cell>
          <cell r="H122">
            <v>46417</v>
          </cell>
          <cell r="I122" t="str">
            <v>°C</v>
          </cell>
          <cell r="J122" t="str">
            <v>Contato</v>
          </cell>
          <cell r="K122" t="str">
            <v>Termoresisitivo</v>
          </cell>
          <cell r="L122">
            <v>0</v>
          </cell>
          <cell r="M122">
            <v>120</v>
          </cell>
          <cell r="N122">
            <v>0.1</v>
          </cell>
          <cell r="O122">
            <v>0.6</v>
          </cell>
          <cell r="P122">
            <v>0.1</v>
          </cell>
          <cell r="Q122">
            <v>0.6</v>
          </cell>
          <cell r="R122">
            <v>0.13202227991607174</v>
          </cell>
          <cell r="S122">
            <v>2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8.3070646379737416E-5</v>
          </cell>
          <cell r="AA122">
            <v>0.98810577450336101</v>
          </cell>
          <cell r="AB122">
            <v>0.54610610147910899</v>
          </cell>
          <cell r="AC122">
            <v>0</v>
          </cell>
          <cell r="AD122">
            <v>0.1</v>
          </cell>
          <cell r="AE122">
            <v>2</v>
          </cell>
          <cell r="AF122">
            <v>1000000</v>
          </cell>
          <cell r="AG122">
            <v>25</v>
          </cell>
          <cell r="AH122">
            <v>0.1</v>
          </cell>
          <cell r="AI122">
            <v>2</v>
          </cell>
          <cell r="AJ122">
            <v>1000000</v>
          </cell>
          <cell r="AK122">
            <v>60</v>
          </cell>
          <cell r="AL122">
            <v>0.1</v>
          </cell>
          <cell r="AM122">
            <v>2</v>
          </cell>
          <cell r="AN122">
            <v>1000000</v>
          </cell>
          <cell r="AO122">
            <v>120</v>
          </cell>
          <cell r="AP122">
            <v>0.1</v>
          </cell>
          <cell r="AQ122">
            <v>2</v>
          </cell>
          <cell r="AR122">
            <v>1000000</v>
          </cell>
          <cell r="AS122" t="str">
            <v>-</v>
          </cell>
          <cell r="AT122" t="str">
            <v>-</v>
          </cell>
          <cell r="AU122" t="str">
            <v>-</v>
          </cell>
          <cell r="AV122" t="str">
            <v>-</v>
          </cell>
          <cell r="AW122" t="str">
            <v>-</v>
          </cell>
          <cell r="AX122" t="str">
            <v>-</v>
          </cell>
          <cell r="AY122" t="str">
            <v>-</v>
          </cell>
          <cell r="AZ122" t="str">
            <v>-</v>
          </cell>
          <cell r="BA122" t="str">
            <v>-</v>
          </cell>
          <cell r="BB122" t="str">
            <v>-</v>
          </cell>
          <cell r="BC122" t="str">
            <v>-</v>
          </cell>
          <cell r="BD122" t="str">
            <v>-</v>
          </cell>
          <cell r="BE122" t="str">
            <v>-</v>
          </cell>
          <cell r="BF122" t="str">
            <v>-</v>
          </cell>
          <cell r="BG122" t="str">
            <v>-</v>
          </cell>
          <cell r="BH122" t="str">
            <v>-</v>
          </cell>
          <cell r="BI122" t="str">
            <v>-</v>
          </cell>
          <cell r="BJ122" t="str">
            <v>-</v>
          </cell>
          <cell r="BK122" t="str">
            <v>-</v>
          </cell>
          <cell r="BL122" t="str">
            <v>-</v>
          </cell>
          <cell r="BM122" t="str">
            <v>-</v>
          </cell>
          <cell r="BN122" t="str">
            <v>-</v>
          </cell>
          <cell r="BO122" t="str">
            <v>-</v>
          </cell>
          <cell r="BP122" t="str">
            <v>-</v>
          </cell>
        </row>
        <row r="123">
          <cell r="A123">
            <v>118</v>
          </cell>
          <cell r="B123" t="str">
            <v>M.TH.LQ-048</v>
          </cell>
          <cell r="C123" t="str">
            <v>Termômetro Digital</v>
          </cell>
          <cell r="D123" t="str">
            <v>Elus</v>
          </cell>
          <cell r="E123" t="str">
            <v>RBC - CAL 0439</v>
          </cell>
          <cell r="F123" t="str">
            <v>E0240/25</v>
          </cell>
          <cell r="G123">
            <v>45784</v>
          </cell>
          <cell r="H123">
            <v>46172</v>
          </cell>
          <cell r="I123" t="str">
            <v>°C</v>
          </cell>
          <cell r="J123" t="str">
            <v>Contato</v>
          </cell>
          <cell r="K123" t="str">
            <v>Termoresisitivo</v>
          </cell>
          <cell r="L123">
            <v>15</v>
          </cell>
          <cell r="M123">
            <v>35</v>
          </cell>
          <cell r="N123">
            <v>0.1</v>
          </cell>
          <cell r="O123">
            <v>0.10000000000000142</v>
          </cell>
          <cell r="P123">
            <v>0.1</v>
          </cell>
          <cell r="Q123">
            <v>0.10000000000000142</v>
          </cell>
          <cell r="R123">
            <v>1.2315432485318079E-2</v>
          </cell>
          <cell r="S123">
            <v>3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6.8547989729267136E-5</v>
          </cell>
          <cell r="Z123">
            <v>-4.5732293969720028E-3</v>
          </cell>
          <cell r="AA123">
            <v>1.0983126270854302</v>
          </cell>
          <cell r="AB123">
            <v>-0.77924769511468761</v>
          </cell>
          <cell r="AC123">
            <v>15</v>
          </cell>
          <cell r="AD123">
            <v>0.1</v>
          </cell>
          <cell r="AE123">
            <v>2</v>
          </cell>
          <cell r="AF123">
            <v>1000000</v>
          </cell>
          <cell r="AG123">
            <v>20</v>
          </cell>
          <cell r="AH123">
            <v>0.1</v>
          </cell>
          <cell r="AI123">
            <v>2</v>
          </cell>
          <cell r="AJ123">
            <v>1000000</v>
          </cell>
          <cell r="AK123">
            <v>25</v>
          </cell>
          <cell r="AL123">
            <v>0.1</v>
          </cell>
          <cell r="AM123">
            <v>2</v>
          </cell>
          <cell r="AN123">
            <v>1000000</v>
          </cell>
          <cell r="AO123">
            <v>30</v>
          </cell>
          <cell r="AP123">
            <v>0.1</v>
          </cell>
          <cell r="AQ123">
            <v>2</v>
          </cell>
          <cell r="AR123">
            <v>1000000</v>
          </cell>
          <cell r="AS123">
            <v>35</v>
          </cell>
          <cell r="AT123">
            <v>0.1</v>
          </cell>
          <cell r="AU123">
            <v>2</v>
          </cell>
          <cell r="AV123">
            <v>1000000</v>
          </cell>
          <cell r="AW123" t="str">
            <v>-</v>
          </cell>
          <cell r="AX123" t="str">
            <v>-</v>
          </cell>
          <cell r="AY123" t="str">
            <v>-</v>
          </cell>
          <cell r="AZ123" t="str">
            <v>-</v>
          </cell>
          <cell r="BA123" t="str">
            <v>-</v>
          </cell>
          <cell r="BB123" t="str">
            <v>-</v>
          </cell>
          <cell r="BC123" t="str">
            <v>-</v>
          </cell>
          <cell r="BD123" t="str">
            <v>-</v>
          </cell>
          <cell r="BE123" t="str">
            <v>-</v>
          </cell>
          <cell r="BF123" t="str">
            <v>-</v>
          </cell>
          <cell r="BG123" t="str">
            <v>-</v>
          </cell>
          <cell r="BH123" t="str">
            <v>-</v>
          </cell>
          <cell r="BI123" t="str">
            <v>-</v>
          </cell>
          <cell r="BJ123" t="str">
            <v>-</v>
          </cell>
          <cell r="BK123" t="str">
            <v>-</v>
          </cell>
          <cell r="BL123" t="str">
            <v>-</v>
          </cell>
          <cell r="BM123" t="str">
            <v>-</v>
          </cell>
          <cell r="BN123" t="str">
            <v>-</v>
          </cell>
          <cell r="BO123" t="str">
            <v>-</v>
          </cell>
          <cell r="BP123" t="str">
            <v>-</v>
          </cell>
        </row>
        <row r="124">
          <cell r="A124">
            <v>119</v>
          </cell>
          <cell r="B124" t="str">
            <v>M.TH.LQ-049</v>
          </cell>
          <cell r="C124" t="str">
            <v>Termômetro Digital</v>
          </cell>
          <cell r="D124" t="str">
            <v>Elus</v>
          </cell>
          <cell r="E124" t="str">
            <v>RBC - CAL 0439</v>
          </cell>
          <cell r="F124" t="str">
            <v>E0241/25</v>
          </cell>
          <cell r="G124">
            <v>45784</v>
          </cell>
          <cell r="H124">
            <v>46172</v>
          </cell>
          <cell r="I124" t="str">
            <v>°C</v>
          </cell>
          <cell r="J124" t="str">
            <v>Contato</v>
          </cell>
          <cell r="K124" t="str">
            <v>Termoresisitivo</v>
          </cell>
          <cell r="L124">
            <v>15</v>
          </cell>
          <cell r="M124">
            <v>35</v>
          </cell>
          <cell r="N124">
            <v>0.1</v>
          </cell>
          <cell r="O124">
            <v>0.10000000000000142</v>
          </cell>
          <cell r="P124">
            <v>0.1</v>
          </cell>
          <cell r="Q124">
            <v>0.10000000000000142</v>
          </cell>
          <cell r="R124">
            <v>3.5109556674842834E-2</v>
          </cell>
          <cell r="S124">
            <v>3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2.0355591378545454E-4</v>
          </cell>
          <cell r="Z124">
            <v>-1.5524592624514381E-2</v>
          </cell>
          <cell r="AA124">
            <v>1.3794097505102572</v>
          </cell>
          <cell r="AB124">
            <v>-2.8894780709585151</v>
          </cell>
          <cell r="AC124">
            <v>15</v>
          </cell>
          <cell r="AD124">
            <v>0.1</v>
          </cell>
          <cell r="AE124">
            <v>2</v>
          </cell>
          <cell r="AF124">
            <v>1000000</v>
          </cell>
          <cell r="AG124">
            <v>20</v>
          </cell>
          <cell r="AH124">
            <v>0.1</v>
          </cell>
          <cell r="AI124">
            <v>2</v>
          </cell>
          <cell r="AJ124">
            <v>1000000</v>
          </cell>
          <cell r="AK124">
            <v>25</v>
          </cell>
          <cell r="AL124">
            <v>0.1</v>
          </cell>
          <cell r="AM124">
            <v>2</v>
          </cell>
          <cell r="AN124">
            <v>1000000</v>
          </cell>
          <cell r="AO124">
            <v>30</v>
          </cell>
          <cell r="AP124">
            <v>0.1</v>
          </cell>
          <cell r="AQ124">
            <v>2</v>
          </cell>
          <cell r="AR124">
            <v>1000000</v>
          </cell>
          <cell r="AS124">
            <v>35</v>
          </cell>
          <cell r="AT124">
            <v>0.1</v>
          </cell>
          <cell r="AU124">
            <v>2</v>
          </cell>
          <cell r="AV124">
            <v>1000000</v>
          </cell>
          <cell r="AW124" t="str">
            <v>-</v>
          </cell>
          <cell r="AX124" t="str">
            <v>-</v>
          </cell>
          <cell r="AY124" t="str">
            <v>-</v>
          </cell>
          <cell r="AZ124" t="str">
            <v>-</v>
          </cell>
          <cell r="BA124" t="str">
            <v>-</v>
          </cell>
          <cell r="BB124" t="str">
            <v>-</v>
          </cell>
          <cell r="BC124" t="str">
            <v>-</v>
          </cell>
          <cell r="BD124" t="str">
            <v>-</v>
          </cell>
          <cell r="BE124" t="str">
            <v>-</v>
          </cell>
          <cell r="BF124" t="str">
            <v>-</v>
          </cell>
          <cell r="BG124" t="str">
            <v>-</v>
          </cell>
          <cell r="BH124" t="str">
            <v>-</v>
          </cell>
          <cell r="BI124" t="str">
            <v>-</v>
          </cell>
          <cell r="BJ124" t="str">
            <v>-</v>
          </cell>
          <cell r="BK124" t="str">
            <v>-</v>
          </cell>
          <cell r="BL124" t="str">
            <v>-</v>
          </cell>
          <cell r="BM124" t="str">
            <v>-</v>
          </cell>
          <cell r="BN124" t="str">
            <v>-</v>
          </cell>
          <cell r="BO124" t="str">
            <v>-</v>
          </cell>
          <cell r="BP124" t="str">
            <v>-</v>
          </cell>
        </row>
        <row r="125">
          <cell r="A125">
            <v>120</v>
          </cell>
          <cell r="B125" t="str">
            <v>E.TH.LT-021</v>
          </cell>
          <cell r="C125" t="str">
            <v>Termômetro Digital</v>
          </cell>
          <cell r="D125" t="str">
            <v>Elus</v>
          </cell>
          <cell r="E125" t="str">
            <v>RBC - CAL 0439</v>
          </cell>
          <cell r="F125" t="str">
            <v>E0341/25</v>
          </cell>
          <cell r="G125">
            <v>45807</v>
          </cell>
          <cell r="H125">
            <v>46172</v>
          </cell>
          <cell r="I125" t="str">
            <v>°C</v>
          </cell>
          <cell r="J125" t="str">
            <v>Contato</v>
          </cell>
          <cell r="K125" t="str">
            <v>Termoresisitivo</v>
          </cell>
          <cell r="L125">
            <v>-90</v>
          </cell>
          <cell r="M125">
            <v>300</v>
          </cell>
          <cell r="N125">
            <v>1E-3</v>
          </cell>
          <cell r="O125">
            <v>0.18799999999998818</v>
          </cell>
          <cell r="P125">
            <v>7.0000000000000007E-2</v>
          </cell>
          <cell r="Q125">
            <v>0.18799999999998818</v>
          </cell>
          <cell r="R125">
            <v>2.6098828887825221E-2</v>
          </cell>
          <cell r="S125">
            <v>4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5.6395233399577991E-11</v>
          </cell>
          <cell r="Y125">
            <v>-3.7291910845180696E-8</v>
          </cell>
          <cell r="Z125">
            <v>2.9971035295548071E-6</v>
          </cell>
          <cell r="AA125">
            <v>1.0015229801032324</v>
          </cell>
          <cell r="AB125">
            <v>-8.7791670805556915E-3</v>
          </cell>
          <cell r="AC125">
            <v>-90</v>
          </cell>
          <cell r="AD125">
            <v>7.0000000000000007E-2</v>
          </cell>
          <cell r="AE125">
            <v>2</v>
          </cell>
          <cell r="AF125">
            <v>1000000</v>
          </cell>
          <cell r="AG125">
            <v>-45</v>
          </cell>
          <cell r="AH125">
            <v>0.03</v>
          </cell>
          <cell r="AI125">
            <v>2</v>
          </cell>
          <cell r="AJ125">
            <v>1000000</v>
          </cell>
          <cell r="AK125">
            <v>0.01</v>
          </cell>
          <cell r="AL125">
            <v>0.03</v>
          </cell>
          <cell r="AM125">
            <v>2</v>
          </cell>
          <cell r="AN125">
            <v>1000000</v>
          </cell>
          <cell r="AO125">
            <v>49.997999999999998</v>
          </cell>
          <cell r="AP125">
            <v>0.03</v>
          </cell>
          <cell r="AQ125">
            <v>2</v>
          </cell>
          <cell r="AR125">
            <v>1000000</v>
          </cell>
          <cell r="AS125">
            <v>150</v>
          </cell>
          <cell r="AT125">
            <v>0.03</v>
          </cell>
          <cell r="AU125">
            <v>2</v>
          </cell>
          <cell r="AV125">
            <v>1000000</v>
          </cell>
          <cell r="AW125">
            <v>300</v>
          </cell>
          <cell r="AX125">
            <v>0.05</v>
          </cell>
          <cell r="AY125">
            <v>2</v>
          </cell>
          <cell r="AZ125">
            <v>1000000</v>
          </cell>
          <cell r="BA125" t="str">
            <v>-</v>
          </cell>
          <cell r="BB125" t="str">
            <v>-</v>
          </cell>
          <cell r="BC125" t="str">
            <v>-</v>
          </cell>
          <cell r="BD125" t="str">
            <v>-</v>
          </cell>
          <cell r="BE125" t="str">
            <v>-</v>
          </cell>
          <cell r="BF125" t="str">
            <v>-</v>
          </cell>
          <cell r="BG125" t="str">
            <v>-</v>
          </cell>
          <cell r="BH125" t="str">
            <v>-</v>
          </cell>
          <cell r="BI125" t="str">
            <v>-</v>
          </cell>
          <cell r="BJ125" t="str">
            <v>-</v>
          </cell>
          <cell r="BK125" t="str">
            <v>-</v>
          </cell>
          <cell r="BL125" t="str">
            <v>-</v>
          </cell>
          <cell r="BM125" t="str">
            <v>-</v>
          </cell>
          <cell r="BN125" t="str">
            <v>-</v>
          </cell>
          <cell r="BO125" t="str">
            <v>-</v>
          </cell>
          <cell r="BP125" t="str">
            <v>-</v>
          </cell>
        </row>
        <row r="126">
          <cell r="A126">
            <v>121</v>
          </cell>
          <cell r="B126" t="str">
            <v>M.TH.LT-009</v>
          </cell>
          <cell r="C126" t="str">
            <v>Termohigrômetro Digital</v>
          </cell>
          <cell r="D126" t="str">
            <v>Elus</v>
          </cell>
          <cell r="E126" t="str">
            <v>RBC CAL 0439</v>
          </cell>
          <cell r="F126" t="str">
            <v>E0519/25</v>
          </cell>
          <cell r="G126">
            <v>45894</v>
          </cell>
          <cell r="H126">
            <v>46264</v>
          </cell>
          <cell r="I126" t="str">
            <v>°C</v>
          </cell>
          <cell r="J126" t="str">
            <v>OUT</v>
          </cell>
          <cell r="K126" t="str">
            <v>Termoresisitivo</v>
          </cell>
          <cell r="L126">
            <v>0</v>
          </cell>
          <cell r="M126">
            <v>50</v>
          </cell>
          <cell r="N126">
            <v>0.01</v>
          </cell>
          <cell r="O126">
            <v>0.34</v>
          </cell>
          <cell r="P126">
            <v>7.0000000000000007E-2</v>
          </cell>
          <cell r="Q126">
            <v>0.32</v>
          </cell>
          <cell r="R126">
            <v>4.2591154617378724E-2</v>
          </cell>
          <cell r="S126">
            <v>3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-1.4207164272314706E-5</v>
          </cell>
          <cell r="Z126">
            <v>8.4145397990634154E-4</v>
          </cell>
          <cell r="AA126">
            <v>0.99731872321808379</v>
          </cell>
          <cell r="AB126">
            <v>-0.34103998884224973</v>
          </cell>
          <cell r="AC126">
            <v>0</v>
          </cell>
          <cell r="AD126">
            <v>7.0000000000000007E-2</v>
          </cell>
          <cell r="AE126">
            <v>2</v>
          </cell>
          <cell r="AF126">
            <v>1000000</v>
          </cell>
          <cell r="AG126">
            <v>15</v>
          </cell>
          <cell r="AH126">
            <v>7.0000000000000007E-2</v>
          </cell>
          <cell r="AI126">
            <v>2</v>
          </cell>
          <cell r="AJ126">
            <v>1000000</v>
          </cell>
          <cell r="AK126">
            <v>25</v>
          </cell>
          <cell r="AL126">
            <v>7.0000000000000007E-2</v>
          </cell>
          <cell r="AM126">
            <v>2</v>
          </cell>
          <cell r="AN126">
            <v>1000000</v>
          </cell>
          <cell r="AO126">
            <v>30</v>
          </cell>
          <cell r="AP126">
            <v>7.0000000000000007E-2</v>
          </cell>
          <cell r="AQ126">
            <v>2</v>
          </cell>
          <cell r="AR126">
            <v>1000000</v>
          </cell>
          <cell r="AS126">
            <v>50</v>
          </cell>
          <cell r="AT126">
            <v>7.0000000000000007E-2</v>
          </cell>
          <cell r="AU126">
            <v>2</v>
          </cell>
          <cell r="AV126">
            <v>1000000</v>
          </cell>
          <cell r="AW126" t="str">
            <v>-</v>
          </cell>
          <cell r="AX126" t="str">
            <v>-</v>
          </cell>
          <cell r="AY126" t="str">
            <v>-</v>
          </cell>
          <cell r="AZ126" t="str">
            <v>-</v>
          </cell>
          <cell r="BA126" t="str">
            <v>-</v>
          </cell>
          <cell r="BB126" t="str">
            <v>-</v>
          </cell>
          <cell r="BC126" t="str">
            <v>-</v>
          </cell>
          <cell r="BD126" t="str">
            <v>-</v>
          </cell>
          <cell r="BE126" t="str">
            <v>-</v>
          </cell>
          <cell r="BF126" t="str">
            <v>-</v>
          </cell>
          <cell r="BG126" t="str">
            <v>-</v>
          </cell>
          <cell r="BH126" t="str">
            <v>-</v>
          </cell>
          <cell r="BI126" t="str">
            <v>-</v>
          </cell>
          <cell r="BJ126" t="str">
            <v>-</v>
          </cell>
          <cell r="BK126" t="str">
            <v>-</v>
          </cell>
          <cell r="BL126" t="str">
            <v>-</v>
          </cell>
          <cell r="BM126" t="str">
            <v>-</v>
          </cell>
          <cell r="BN126" t="str">
            <v>-</v>
          </cell>
          <cell r="BO126" t="str">
            <v>-</v>
          </cell>
          <cell r="BP126" t="str">
            <v>-</v>
          </cell>
        </row>
        <row r="127">
          <cell r="A127">
            <v>122</v>
          </cell>
          <cell r="B127" t="str">
            <v>E.TH.FS-082</v>
          </cell>
          <cell r="C127" t="str">
            <v>Termômetro Digital</v>
          </cell>
          <cell r="D127" t="str">
            <v>Elus</v>
          </cell>
          <cell r="E127" t="str">
            <v>RBC - CAL 0439</v>
          </cell>
          <cell r="F127" t="str">
            <v>E0735/25</v>
          </cell>
          <cell r="G127">
            <v>45958</v>
          </cell>
          <cell r="H127">
            <v>46325</v>
          </cell>
          <cell r="I127" t="str">
            <v>°C</v>
          </cell>
          <cell r="J127" t="str">
            <v>Contato</v>
          </cell>
          <cell r="K127" t="str">
            <v>Termoresisitivo</v>
          </cell>
          <cell r="L127">
            <v>0</v>
          </cell>
          <cell r="M127">
            <v>35</v>
          </cell>
          <cell r="N127">
            <v>0.1</v>
          </cell>
          <cell r="O127">
            <v>0</v>
          </cell>
          <cell r="P127">
            <v>0.1</v>
          </cell>
          <cell r="Q127">
            <v>0</v>
          </cell>
          <cell r="R127">
            <v>0</v>
          </cell>
          <cell r="S127">
            <v>4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-1.372304951927994E-20</v>
          </cell>
          <cell r="Y127">
            <v>1.2442422102669103E-18</v>
          </cell>
          <cell r="Z127">
            <v>-3.4098255198140217E-17</v>
          </cell>
          <cell r="AA127">
            <v>1.0000000000000002</v>
          </cell>
          <cell r="AB127">
            <v>2.1981949867110947E-15</v>
          </cell>
          <cell r="AC127">
            <v>0</v>
          </cell>
          <cell r="AD127">
            <v>0.1</v>
          </cell>
          <cell r="AE127">
            <v>2</v>
          </cell>
          <cell r="AF127">
            <v>1000000</v>
          </cell>
          <cell r="AG127">
            <v>15</v>
          </cell>
          <cell r="AH127">
            <v>0.1</v>
          </cell>
          <cell r="AI127">
            <v>2</v>
          </cell>
          <cell r="AJ127">
            <v>1000000</v>
          </cell>
          <cell r="AK127">
            <v>20</v>
          </cell>
          <cell r="AL127">
            <v>0.1</v>
          </cell>
          <cell r="AM127">
            <v>2</v>
          </cell>
          <cell r="AN127">
            <v>1000000</v>
          </cell>
          <cell r="AO127">
            <v>25</v>
          </cell>
          <cell r="AP127">
            <v>0.1</v>
          </cell>
          <cell r="AQ127">
            <v>2</v>
          </cell>
          <cell r="AR127">
            <v>1000000</v>
          </cell>
          <cell r="AS127">
            <v>30</v>
          </cell>
          <cell r="AT127">
            <v>0.1</v>
          </cell>
          <cell r="AU127">
            <v>2</v>
          </cell>
          <cell r="AV127">
            <v>1000000</v>
          </cell>
          <cell r="AW127">
            <v>35</v>
          </cell>
          <cell r="AX127">
            <v>0.1</v>
          </cell>
          <cell r="AY127">
            <v>2</v>
          </cell>
          <cell r="AZ127">
            <v>1000000</v>
          </cell>
          <cell r="BA127" t="str">
            <v>-</v>
          </cell>
          <cell r="BB127" t="str">
            <v>-</v>
          </cell>
          <cell r="BC127" t="str">
            <v>-</v>
          </cell>
          <cell r="BD127" t="str">
            <v>-</v>
          </cell>
          <cell r="BE127" t="str">
            <v>-</v>
          </cell>
          <cell r="BF127" t="str">
            <v>-</v>
          </cell>
          <cell r="BG127" t="str">
            <v>-</v>
          </cell>
          <cell r="BH127" t="str">
            <v>-</v>
          </cell>
          <cell r="BI127" t="str">
            <v>-</v>
          </cell>
          <cell r="BJ127" t="str">
            <v>-</v>
          </cell>
          <cell r="BK127" t="str">
            <v>-</v>
          </cell>
          <cell r="BL127" t="str">
            <v>-</v>
          </cell>
          <cell r="BM127" t="str">
            <v>-</v>
          </cell>
          <cell r="BN127" t="str">
            <v>-</v>
          </cell>
          <cell r="BO127" t="str">
            <v>-</v>
          </cell>
          <cell r="BP127" t="str">
            <v>-</v>
          </cell>
        </row>
        <row r="128">
          <cell r="A128">
            <v>123</v>
          </cell>
          <cell r="B128" t="str">
            <v>E.TH.FS-083</v>
          </cell>
          <cell r="C128" t="str">
            <v>Termômetro Digital</v>
          </cell>
          <cell r="D128" t="str">
            <v>Elus</v>
          </cell>
          <cell r="E128" t="str">
            <v>RBC - CAL 0439</v>
          </cell>
          <cell r="F128" t="str">
            <v>E0736/25</v>
          </cell>
          <cell r="G128">
            <v>45958</v>
          </cell>
          <cell r="H128">
            <v>46325</v>
          </cell>
          <cell r="I128" t="str">
            <v>°C</v>
          </cell>
          <cell r="J128" t="str">
            <v>Contato</v>
          </cell>
          <cell r="K128" t="str">
            <v>Termoresisitivo</v>
          </cell>
          <cell r="L128">
            <v>0</v>
          </cell>
          <cell r="M128">
            <v>35</v>
          </cell>
          <cell r="N128">
            <v>0.1</v>
          </cell>
          <cell r="O128">
            <v>0</v>
          </cell>
          <cell r="P128">
            <v>0.1</v>
          </cell>
          <cell r="Q128">
            <v>0</v>
          </cell>
          <cell r="R128">
            <v>0</v>
          </cell>
          <cell r="S128">
            <v>4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-1.372304951927994E-20</v>
          </cell>
          <cell r="Y128">
            <v>1.2442422102669103E-18</v>
          </cell>
          <cell r="Z128">
            <v>-3.4098255198140217E-17</v>
          </cell>
          <cell r="AA128">
            <v>1.0000000000000002</v>
          </cell>
          <cell r="AB128">
            <v>2.1981949867110947E-15</v>
          </cell>
          <cell r="AC128">
            <v>0</v>
          </cell>
          <cell r="AD128">
            <v>0.1</v>
          </cell>
          <cell r="AE128">
            <v>2</v>
          </cell>
          <cell r="AF128">
            <v>1000000</v>
          </cell>
          <cell r="AG128">
            <v>15</v>
          </cell>
          <cell r="AH128">
            <v>0.1</v>
          </cell>
          <cell r="AI128">
            <v>2</v>
          </cell>
          <cell r="AJ128">
            <v>1000000</v>
          </cell>
          <cell r="AK128">
            <v>20</v>
          </cell>
          <cell r="AL128">
            <v>0.1</v>
          </cell>
          <cell r="AM128">
            <v>2</v>
          </cell>
          <cell r="AN128">
            <v>1000000</v>
          </cell>
          <cell r="AO128">
            <v>25</v>
          </cell>
          <cell r="AP128">
            <v>0.1</v>
          </cell>
          <cell r="AQ128">
            <v>2</v>
          </cell>
          <cell r="AR128">
            <v>1000000</v>
          </cell>
          <cell r="AS128">
            <v>30</v>
          </cell>
          <cell r="AT128">
            <v>0.1</v>
          </cell>
          <cell r="AU128">
            <v>2</v>
          </cell>
          <cell r="AV128">
            <v>1000000</v>
          </cell>
          <cell r="AW128">
            <v>35</v>
          </cell>
          <cell r="AX128">
            <v>0.1</v>
          </cell>
          <cell r="AY128">
            <v>2</v>
          </cell>
          <cell r="AZ128">
            <v>1000000</v>
          </cell>
          <cell r="BA128" t="str">
            <v>-</v>
          </cell>
          <cell r="BB128" t="str">
            <v>-</v>
          </cell>
          <cell r="BC128" t="str">
            <v>-</v>
          </cell>
          <cell r="BD128" t="str">
            <v>-</v>
          </cell>
          <cell r="BE128" t="str">
            <v>-</v>
          </cell>
          <cell r="BF128" t="str">
            <v>-</v>
          </cell>
          <cell r="BG128" t="str">
            <v>-</v>
          </cell>
          <cell r="BH128" t="str">
            <v>-</v>
          </cell>
          <cell r="BI128" t="str">
            <v>-</v>
          </cell>
          <cell r="BJ128" t="str">
            <v>-</v>
          </cell>
          <cell r="BK128" t="str">
            <v>-</v>
          </cell>
          <cell r="BL128" t="str">
            <v>-</v>
          </cell>
          <cell r="BM128" t="str">
            <v>-</v>
          </cell>
          <cell r="BN128" t="str">
            <v>-</v>
          </cell>
          <cell r="BO128" t="str">
            <v>-</v>
          </cell>
          <cell r="BP128" t="str">
            <v>-</v>
          </cell>
        </row>
        <row r="129">
          <cell r="A129">
            <v>124</v>
          </cell>
          <cell r="B129" t="str">
            <v>E.TH.FS-084</v>
          </cell>
          <cell r="C129" t="str">
            <v>Termômetro Digital</v>
          </cell>
          <cell r="D129" t="str">
            <v>Elus</v>
          </cell>
          <cell r="E129" t="str">
            <v>RBC - CAL 0439</v>
          </cell>
          <cell r="F129" t="str">
            <v>E0737/25</v>
          </cell>
          <cell r="G129">
            <v>45958</v>
          </cell>
          <cell r="H129">
            <v>46325</v>
          </cell>
          <cell r="I129" t="str">
            <v>°C</v>
          </cell>
          <cell r="J129" t="str">
            <v>Contato</v>
          </cell>
          <cell r="K129" t="str">
            <v>Termoresisitivo</v>
          </cell>
          <cell r="L129">
            <v>0</v>
          </cell>
          <cell r="M129">
            <v>35</v>
          </cell>
          <cell r="N129">
            <v>0.1</v>
          </cell>
          <cell r="O129">
            <v>0</v>
          </cell>
          <cell r="P129">
            <v>0.1</v>
          </cell>
          <cell r="Q129">
            <v>0</v>
          </cell>
          <cell r="R129">
            <v>0</v>
          </cell>
          <cell r="S129">
            <v>4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-1.372304951927994E-20</v>
          </cell>
          <cell r="Y129">
            <v>1.2442422102669103E-18</v>
          </cell>
          <cell r="Z129">
            <v>-3.4098255198140217E-17</v>
          </cell>
          <cell r="AA129">
            <v>1.0000000000000002</v>
          </cell>
          <cell r="AB129">
            <v>2.1981949867110947E-15</v>
          </cell>
          <cell r="AC129">
            <v>0</v>
          </cell>
          <cell r="AD129">
            <v>0.1</v>
          </cell>
          <cell r="AE129">
            <v>2</v>
          </cell>
          <cell r="AF129">
            <v>1000000</v>
          </cell>
          <cell r="AG129">
            <v>15</v>
          </cell>
          <cell r="AH129">
            <v>0.1</v>
          </cell>
          <cell r="AI129">
            <v>2</v>
          </cell>
          <cell r="AJ129">
            <v>1000000</v>
          </cell>
          <cell r="AK129">
            <v>20</v>
          </cell>
          <cell r="AL129">
            <v>0.1</v>
          </cell>
          <cell r="AM129">
            <v>2</v>
          </cell>
          <cell r="AN129">
            <v>1000000</v>
          </cell>
          <cell r="AO129">
            <v>25</v>
          </cell>
          <cell r="AP129">
            <v>0.1</v>
          </cell>
          <cell r="AQ129">
            <v>2</v>
          </cell>
          <cell r="AR129">
            <v>1000000</v>
          </cell>
          <cell r="AS129">
            <v>30</v>
          </cell>
          <cell r="AT129">
            <v>0.1</v>
          </cell>
          <cell r="AU129">
            <v>2</v>
          </cell>
          <cell r="AV129">
            <v>1000000</v>
          </cell>
          <cell r="AW129">
            <v>35</v>
          </cell>
          <cell r="AX129">
            <v>0.1</v>
          </cell>
          <cell r="AY129">
            <v>2</v>
          </cell>
          <cell r="AZ129">
            <v>1000000</v>
          </cell>
          <cell r="BA129" t="str">
            <v>-</v>
          </cell>
          <cell r="BB129" t="str">
            <v>-</v>
          </cell>
          <cell r="BC129" t="str">
            <v>-</v>
          </cell>
          <cell r="BD129" t="str">
            <v>-</v>
          </cell>
          <cell r="BE129" t="str">
            <v>-</v>
          </cell>
          <cell r="BF129" t="str">
            <v>-</v>
          </cell>
          <cell r="BG129" t="str">
            <v>-</v>
          </cell>
          <cell r="BH129" t="str">
            <v>-</v>
          </cell>
          <cell r="BI129" t="str">
            <v>-</v>
          </cell>
          <cell r="BJ129" t="str">
            <v>-</v>
          </cell>
          <cell r="BK129" t="str">
            <v>-</v>
          </cell>
          <cell r="BL129" t="str">
            <v>-</v>
          </cell>
          <cell r="BM129" t="str">
            <v>-</v>
          </cell>
          <cell r="BN129" t="str">
            <v>-</v>
          </cell>
          <cell r="BO129" t="str">
            <v>-</v>
          </cell>
          <cell r="BP129" t="str">
            <v>-</v>
          </cell>
        </row>
        <row r="130">
          <cell r="A130">
            <v>125</v>
          </cell>
          <cell r="B130" t="str">
            <v>E.TH.FS-085</v>
          </cell>
          <cell r="C130" t="str">
            <v>Termômetro Digital</v>
          </cell>
          <cell r="D130" t="str">
            <v>Elus</v>
          </cell>
          <cell r="E130" t="str">
            <v>RBC - CAL 0439</v>
          </cell>
          <cell r="F130" t="str">
            <v>E0738/25</v>
          </cell>
          <cell r="G130">
            <v>45958</v>
          </cell>
          <cell r="H130">
            <v>46325</v>
          </cell>
          <cell r="I130" t="str">
            <v>°C</v>
          </cell>
          <cell r="J130" t="str">
            <v>Contato</v>
          </cell>
          <cell r="K130" t="str">
            <v>Termoresisitivo</v>
          </cell>
          <cell r="L130">
            <v>0</v>
          </cell>
          <cell r="M130">
            <v>35</v>
          </cell>
          <cell r="N130">
            <v>0.1</v>
          </cell>
          <cell r="O130">
            <v>0</v>
          </cell>
          <cell r="P130">
            <v>0.1</v>
          </cell>
          <cell r="Q130">
            <v>0</v>
          </cell>
          <cell r="R130">
            <v>0</v>
          </cell>
          <cell r="S130">
            <v>4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-1.372304951927994E-20</v>
          </cell>
          <cell r="Y130">
            <v>1.2442422102669103E-18</v>
          </cell>
          <cell r="Z130">
            <v>-3.4098255198140217E-17</v>
          </cell>
          <cell r="AA130">
            <v>1.0000000000000002</v>
          </cell>
          <cell r="AB130">
            <v>2.1981949867110947E-15</v>
          </cell>
          <cell r="AC130">
            <v>0</v>
          </cell>
          <cell r="AD130">
            <v>0.1</v>
          </cell>
          <cell r="AE130">
            <v>2</v>
          </cell>
          <cell r="AF130">
            <v>1000000</v>
          </cell>
          <cell r="AG130">
            <v>15</v>
          </cell>
          <cell r="AH130">
            <v>0.1</v>
          </cell>
          <cell r="AI130">
            <v>2</v>
          </cell>
          <cell r="AJ130">
            <v>1000000</v>
          </cell>
          <cell r="AK130">
            <v>20</v>
          </cell>
          <cell r="AL130">
            <v>0.1</v>
          </cell>
          <cell r="AM130">
            <v>2</v>
          </cell>
          <cell r="AN130">
            <v>1000000</v>
          </cell>
          <cell r="AO130">
            <v>25</v>
          </cell>
          <cell r="AP130">
            <v>0.1</v>
          </cell>
          <cell r="AQ130">
            <v>2</v>
          </cell>
          <cell r="AR130">
            <v>1000000</v>
          </cell>
          <cell r="AS130">
            <v>30</v>
          </cell>
          <cell r="AT130">
            <v>0.1</v>
          </cell>
          <cell r="AU130">
            <v>2</v>
          </cell>
          <cell r="AV130">
            <v>1000000</v>
          </cell>
          <cell r="AW130">
            <v>35</v>
          </cell>
          <cell r="AX130">
            <v>0.1</v>
          </cell>
          <cell r="AY130">
            <v>2</v>
          </cell>
          <cell r="AZ130">
            <v>1000000</v>
          </cell>
          <cell r="BA130" t="str">
            <v>-</v>
          </cell>
          <cell r="BB130" t="str">
            <v>-</v>
          </cell>
          <cell r="BC130" t="str">
            <v>-</v>
          </cell>
          <cell r="BD130" t="str">
            <v>-</v>
          </cell>
          <cell r="BE130" t="str">
            <v>-</v>
          </cell>
          <cell r="BF130" t="str">
            <v>-</v>
          </cell>
          <cell r="BG130" t="str">
            <v>-</v>
          </cell>
          <cell r="BH130" t="str">
            <v>-</v>
          </cell>
          <cell r="BI130" t="str">
            <v>-</v>
          </cell>
          <cell r="BJ130" t="str">
            <v>-</v>
          </cell>
          <cell r="BK130" t="str">
            <v>-</v>
          </cell>
          <cell r="BL130" t="str">
            <v>-</v>
          </cell>
          <cell r="BM130" t="str">
            <v>-</v>
          </cell>
          <cell r="BN130" t="str">
            <v>-</v>
          </cell>
          <cell r="BO130" t="str">
            <v>-</v>
          </cell>
          <cell r="BP130" t="str">
            <v>-</v>
          </cell>
        </row>
        <row r="131">
          <cell r="A131">
            <v>126</v>
          </cell>
          <cell r="B131" t="str">
            <v>E.TH.FS-086</v>
          </cell>
          <cell r="C131" t="str">
            <v>Termômetro Digital</v>
          </cell>
          <cell r="D131" t="str">
            <v>Elus</v>
          </cell>
          <cell r="E131" t="str">
            <v>RBC - CAL 0439</v>
          </cell>
          <cell r="F131" t="str">
            <v>E0739/25</v>
          </cell>
          <cell r="G131">
            <v>45958</v>
          </cell>
          <cell r="H131">
            <v>46325</v>
          </cell>
          <cell r="I131" t="str">
            <v>°C</v>
          </cell>
          <cell r="J131" t="str">
            <v>Contato</v>
          </cell>
          <cell r="K131" t="str">
            <v>Termoresisitivo</v>
          </cell>
          <cell r="L131">
            <v>0</v>
          </cell>
          <cell r="M131">
            <v>35</v>
          </cell>
          <cell r="N131">
            <v>0.1</v>
          </cell>
          <cell r="O131">
            <v>0</v>
          </cell>
          <cell r="P131">
            <v>0.1</v>
          </cell>
          <cell r="Q131">
            <v>0</v>
          </cell>
          <cell r="R131">
            <v>0</v>
          </cell>
          <cell r="S131">
            <v>4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-1.372304951927994E-20</v>
          </cell>
          <cell r="Y131">
            <v>1.2442422102669103E-18</v>
          </cell>
          <cell r="Z131">
            <v>-3.4098255198140217E-17</v>
          </cell>
          <cell r="AA131">
            <v>1.0000000000000002</v>
          </cell>
          <cell r="AB131">
            <v>2.1981949867110947E-15</v>
          </cell>
          <cell r="AC131">
            <v>0</v>
          </cell>
          <cell r="AD131">
            <v>0.1</v>
          </cell>
          <cell r="AE131">
            <v>2</v>
          </cell>
          <cell r="AF131">
            <v>1000000</v>
          </cell>
          <cell r="AG131">
            <v>15</v>
          </cell>
          <cell r="AH131">
            <v>0.1</v>
          </cell>
          <cell r="AI131">
            <v>2</v>
          </cell>
          <cell r="AJ131">
            <v>1000000</v>
          </cell>
          <cell r="AK131">
            <v>20</v>
          </cell>
          <cell r="AL131">
            <v>0.1</v>
          </cell>
          <cell r="AM131">
            <v>2</v>
          </cell>
          <cell r="AN131">
            <v>1000000</v>
          </cell>
          <cell r="AO131">
            <v>25</v>
          </cell>
          <cell r="AP131">
            <v>0.1</v>
          </cell>
          <cell r="AQ131">
            <v>2</v>
          </cell>
          <cell r="AR131">
            <v>1000000</v>
          </cell>
          <cell r="AS131">
            <v>30</v>
          </cell>
          <cell r="AT131">
            <v>0.1</v>
          </cell>
          <cell r="AU131">
            <v>2</v>
          </cell>
          <cell r="AV131">
            <v>1000000</v>
          </cell>
          <cell r="AW131">
            <v>35</v>
          </cell>
          <cell r="AX131">
            <v>0.1</v>
          </cell>
          <cell r="AY131">
            <v>2</v>
          </cell>
          <cell r="AZ131">
            <v>1000000</v>
          </cell>
          <cell r="BA131" t="str">
            <v>-</v>
          </cell>
          <cell r="BB131" t="str">
            <v>-</v>
          </cell>
          <cell r="BC131" t="str">
            <v>-</v>
          </cell>
          <cell r="BD131" t="str">
            <v>-</v>
          </cell>
          <cell r="BE131" t="str">
            <v>-</v>
          </cell>
          <cell r="BF131" t="str">
            <v>-</v>
          </cell>
          <cell r="BG131" t="str">
            <v>-</v>
          </cell>
          <cell r="BH131" t="str">
            <v>-</v>
          </cell>
          <cell r="BI131" t="str">
            <v>-</v>
          </cell>
          <cell r="BJ131" t="str">
            <v>-</v>
          </cell>
          <cell r="BK131" t="str">
            <v>-</v>
          </cell>
          <cell r="BL131" t="str">
            <v>-</v>
          </cell>
          <cell r="BM131" t="str">
            <v>-</v>
          </cell>
          <cell r="BN131" t="str">
            <v>-</v>
          </cell>
          <cell r="BO131" t="str">
            <v>-</v>
          </cell>
          <cell r="BP131" t="str">
            <v>-</v>
          </cell>
        </row>
        <row r="132">
          <cell r="A132">
            <v>127</v>
          </cell>
          <cell r="B132" t="str">
            <v>E.TH.FS-087</v>
          </cell>
          <cell r="C132" t="str">
            <v>Termômetro Digital</v>
          </cell>
          <cell r="D132" t="str">
            <v>Elus</v>
          </cell>
          <cell r="E132" t="str">
            <v>RBC - CAL 0439</v>
          </cell>
          <cell r="F132" t="str">
            <v>E0740/25</v>
          </cell>
          <cell r="G132">
            <v>45958</v>
          </cell>
          <cell r="H132">
            <v>46325</v>
          </cell>
          <cell r="I132" t="str">
            <v>°C</v>
          </cell>
          <cell r="J132" t="str">
            <v>Contato</v>
          </cell>
          <cell r="K132" t="str">
            <v>Termoresisitivo</v>
          </cell>
          <cell r="L132">
            <v>0</v>
          </cell>
          <cell r="M132">
            <v>35</v>
          </cell>
          <cell r="N132">
            <v>0.1</v>
          </cell>
          <cell r="O132">
            <v>0</v>
          </cell>
          <cell r="P132">
            <v>0.1</v>
          </cell>
          <cell r="Q132">
            <v>0</v>
          </cell>
          <cell r="R132">
            <v>0</v>
          </cell>
          <cell r="S132">
            <v>4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-1.372304951927994E-20</v>
          </cell>
          <cell r="Y132">
            <v>1.2442422102669103E-18</v>
          </cell>
          <cell r="Z132">
            <v>-3.4098255198140217E-17</v>
          </cell>
          <cell r="AA132">
            <v>1.0000000000000002</v>
          </cell>
          <cell r="AB132">
            <v>2.1981949867110947E-15</v>
          </cell>
          <cell r="AC132">
            <v>0</v>
          </cell>
          <cell r="AD132">
            <v>0.1</v>
          </cell>
          <cell r="AE132">
            <v>2</v>
          </cell>
          <cell r="AF132">
            <v>1000000</v>
          </cell>
          <cell r="AG132">
            <v>15</v>
          </cell>
          <cell r="AH132">
            <v>0.1</v>
          </cell>
          <cell r="AI132">
            <v>2</v>
          </cell>
          <cell r="AJ132">
            <v>1000000</v>
          </cell>
          <cell r="AK132">
            <v>20</v>
          </cell>
          <cell r="AL132">
            <v>0.1</v>
          </cell>
          <cell r="AM132">
            <v>2</v>
          </cell>
          <cell r="AN132">
            <v>1000000</v>
          </cell>
          <cell r="AO132">
            <v>25</v>
          </cell>
          <cell r="AP132">
            <v>0.1</v>
          </cell>
          <cell r="AQ132">
            <v>2</v>
          </cell>
          <cell r="AR132">
            <v>1000000</v>
          </cell>
          <cell r="AS132">
            <v>30</v>
          </cell>
          <cell r="AT132">
            <v>0.1</v>
          </cell>
          <cell r="AU132">
            <v>2</v>
          </cell>
          <cell r="AV132">
            <v>1000000</v>
          </cell>
          <cell r="AW132">
            <v>35</v>
          </cell>
          <cell r="AX132">
            <v>0.1</v>
          </cell>
          <cell r="AY132">
            <v>2</v>
          </cell>
          <cell r="AZ132">
            <v>1000000</v>
          </cell>
          <cell r="BA132" t="str">
            <v>-</v>
          </cell>
          <cell r="BB132" t="str">
            <v>-</v>
          </cell>
          <cell r="BC132" t="str">
            <v>-</v>
          </cell>
          <cell r="BD132" t="str">
            <v>-</v>
          </cell>
          <cell r="BE132" t="str">
            <v>-</v>
          </cell>
          <cell r="BF132" t="str">
            <v>-</v>
          </cell>
          <cell r="BG132" t="str">
            <v>-</v>
          </cell>
          <cell r="BH132" t="str">
            <v>-</v>
          </cell>
          <cell r="BI132" t="str">
            <v>-</v>
          </cell>
          <cell r="BJ132" t="str">
            <v>-</v>
          </cell>
          <cell r="BK132" t="str">
            <v>-</v>
          </cell>
          <cell r="BL132" t="str">
            <v>-</v>
          </cell>
          <cell r="BM132" t="str">
            <v>-</v>
          </cell>
          <cell r="BN132" t="str">
            <v>-</v>
          </cell>
          <cell r="BO132" t="str">
            <v>-</v>
          </cell>
          <cell r="BP132" t="str">
            <v>-</v>
          </cell>
        </row>
        <row r="133">
          <cell r="A133">
            <v>128</v>
          </cell>
          <cell r="B133" t="str">
            <v>-</v>
          </cell>
          <cell r="C133" t="str">
            <v>-</v>
          </cell>
          <cell r="D133" t="str">
            <v>-</v>
          </cell>
          <cell r="E133" t="str">
            <v>-</v>
          </cell>
          <cell r="F133" t="str">
            <v>-</v>
          </cell>
          <cell r="G133" t="str">
            <v>-</v>
          </cell>
          <cell r="H133" t="str">
            <v>-</v>
          </cell>
          <cell r="I133" t="str">
            <v>-</v>
          </cell>
          <cell r="J133" t="str">
            <v>-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-</v>
          </cell>
          <cell r="O133" t="str">
            <v>-</v>
          </cell>
          <cell r="P133" t="str">
            <v>-</v>
          </cell>
          <cell r="Q133" t="str">
            <v>-</v>
          </cell>
          <cell r="R133" t="str">
            <v>-</v>
          </cell>
          <cell r="S133" t="str">
            <v>-</v>
          </cell>
          <cell r="T133" t="str">
            <v>-</v>
          </cell>
          <cell r="U133" t="str">
            <v>-</v>
          </cell>
          <cell r="V133" t="str">
            <v>-</v>
          </cell>
          <cell r="W133" t="str">
            <v>-</v>
          </cell>
          <cell r="X133" t="str">
            <v>-</v>
          </cell>
          <cell r="Y133" t="str">
            <v>-</v>
          </cell>
          <cell r="Z133" t="str">
            <v>-</v>
          </cell>
          <cell r="AA133" t="str">
            <v>-</v>
          </cell>
          <cell r="AB133" t="str">
            <v>-</v>
          </cell>
          <cell r="AC133" t="str">
            <v>-</v>
          </cell>
          <cell r="AD133" t="str">
            <v>-</v>
          </cell>
          <cell r="AE133" t="str">
            <v>-</v>
          </cell>
          <cell r="AF133" t="str">
            <v>-</v>
          </cell>
          <cell r="AG133" t="str">
            <v>-</v>
          </cell>
          <cell r="AH133" t="str">
            <v>-</v>
          </cell>
          <cell r="AI133" t="str">
            <v>-</v>
          </cell>
          <cell r="AJ133" t="str">
            <v>-</v>
          </cell>
          <cell r="AK133" t="str">
            <v>-</v>
          </cell>
          <cell r="AL133" t="str">
            <v>-</v>
          </cell>
          <cell r="AM133" t="str">
            <v>-</v>
          </cell>
          <cell r="AN133" t="str">
            <v>-</v>
          </cell>
          <cell r="AO133" t="str">
            <v>-</v>
          </cell>
          <cell r="AP133" t="str">
            <v>-</v>
          </cell>
          <cell r="AQ133" t="str">
            <v>-</v>
          </cell>
          <cell r="AR133" t="str">
            <v>-</v>
          </cell>
          <cell r="AS133" t="str">
            <v>-</v>
          </cell>
          <cell r="AT133" t="str">
            <v>-</v>
          </cell>
          <cell r="AU133" t="str">
            <v>-</v>
          </cell>
          <cell r="AV133" t="str">
            <v>-</v>
          </cell>
          <cell r="AW133" t="str">
            <v>-</v>
          </cell>
          <cell r="AX133" t="str">
            <v>-</v>
          </cell>
          <cell r="AY133" t="str">
            <v>-</v>
          </cell>
          <cell r="AZ133" t="str">
            <v>-</v>
          </cell>
          <cell r="BA133" t="str">
            <v>-</v>
          </cell>
          <cell r="BB133" t="str">
            <v>-</v>
          </cell>
          <cell r="BC133" t="str">
            <v>-</v>
          </cell>
          <cell r="BD133" t="str">
            <v>-</v>
          </cell>
          <cell r="BE133" t="str">
            <v>-</v>
          </cell>
          <cell r="BF133" t="str">
            <v>-</v>
          </cell>
          <cell r="BG133" t="str">
            <v>-</v>
          </cell>
          <cell r="BH133" t="str">
            <v>-</v>
          </cell>
          <cell r="BI133" t="str">
            <v>-</v>
          </cell>
          <cell r="BJ133" t="str">
            <v>-</v>
          </cell>
          <cell r="BK133" t="str">
            <v>-</v>
          </cell>
          <cell r="BL133" t="str">
            <v>-</v>
          </cell>
          <cell r="BM133" t="str">
            <v>-</v>
          </cell>
          <cell r="BN133" t="str">
            <v>-</v>
          </cell>
          <cell r="BO133" t="str">
            <v>-</v>
          </cell>
          <cell r="BP133" t="str">
            <v>-</v>
          </cell>
        </row>
        <row r="134">
          <cell r="A134">
            <v>129</v>
          </cell>
          <cell r="B134" t="str">
            <v>-</v>
          </cell>
          <cell r="C134" t="str">
            <v>-</v>
          </cell>
          <cell r="D134" t="str">
            <v>-</v>
          </cell>
          <cell r="E134" t="str">
            <v>-</v>
          </cell>
          <cell r="F134" t="str">
            <v>-</v>
          </cell>
          <cell r="G134" t="str">
            <v>-</v>
          </cell>
          <cell r="H134" t="str">
            <v>-</v>
          </cell>
          <cell r="I134" t="str">
            <v>-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-</v>
          </cell>
          <cell r="O134" t="str">
            <v>-</v>
          </cell>
          <cell r="P134" t="str">
            <v>-</v>
          </cell>
          <cell r="Q134" t="str">
            <v>-</v>
          </cell>
          <cell r="R134" t="str">
            <v>-</v>
          </cell>
          <cell r="S134" t="str">
            <v>-</v>
          </cell>
          <cell r="T134" t="str">
            <v>-</v>
          </cell>
          <cell r="U134" t="str">
            <v>-</v>
          </cell>
          <cell r="V134" t="str">
            <v>-</v>
          </cell>
          <cell r="W134" t="str">
            <v>-</v>
          </cell>
          <cell r="X134" t="str">
            <v>-</v>
          </cell>
          <cell r="Y134" t="str">
            <v>-</v>
          </cell>
          <cell r="Z134" t="str">
            <v>-</v>
          </cell>
          <cell r="AA134" t="str">
            <v>-</v>
          </cell>
          <cell r="AB134" t="str">
            <v>-</v>
          </cell>
          <cell r="AC134" t="str">
            <v>-</v>
          </cell>
          <cell r="AD134" t="str">
            <v>-</v>
          </cell>
          <cell r="AE134" t="str">
            <v>-</v>
          </cell>
          <cell r="AF134" t="str">
            <v>-</v>
          </cell>
          <cell r="AG134" t="str">
            <v>-</v>
          </cell>
          <cell r="AH134" t="str">
            <v>-</v>
          </cell>
          <cell r="AI134" t="str">
            <v>-</v>
          </cell>
          <cell r="AJ134" t="str">
            <v>-</v>
          </cell>
          <cell r="AK134" t="str">
            <v>-</v>
          </cell>
          <cell r="AL134" t="str">
            <v>-</v>
          </cell>
          <cell r="AM134" t="str">
            <v>-</v>
          </cell>
          <cell r="AN134" t="str">
            <v>-</v>
          </cell>
          <cell r="AO134" t="str">
            <v>-</v>
          </cell>
          <cell r="AP134" t="str">
            <v>-</v>
          </cell>
          <cell r="AQ134" t="str">
            <v>-</v>
          </cell>
          <cell r="AR134" t="str">
            <v>-</v>
          </cell>
          <cell r="AS134" t="str">
            <v>-</v>
          </cell>
          <cell r="AT134" t="str">
            <v>-</v>
          </cell>
          <cell r="AU134" t="str">
            <v>-</v>
          </cell>
          <cell r="AV134" t="str">
            <v>-</v>
          </cell>
          <cell r="AW134" t="str">
            <v>-</v>
          </cell>
          <cell r="AX134" t="str">
            <v>-</v>
          </cell>
          <cell r="AY134" t="str">
            <v>-</v>
          </cell>
          <cell r="AZ134" t="str">
            <v>-</v>
          </cell>
          <cell r="BA134" t="str">
            <v>-</v>
          </cell>
          <cell r="BB134" t="str">
            <v>-</v>
          </cell>
          <cell r="BC134" t="str">
            <v>-</v>
          </cell>
          <cell r="BD134" t="str">
            <v>-</v>
          </cell>
          <cell r="BE134" t="str">
            <v>-</v>
          </cell>
          <cell r="BF134" t="str">
            <v>-</v>
          </cell>
          <cell r="BG134" t="str">
            <v>-</v>
          </cell>
          <cell r="BH134" t="str">
            <v>-</v>
          </cell>
          <cell r="BI134" t="str">
            <v>-</v>
          </cell>
          <cell r="BJ134" t="str">
            <v>-</v>
          </cell>
          <cell r="BK134" t="str">
            <v>-</v>
          </cell>
          <cell r="BL134" t="str">
            <v>-</v>
          </cell>
          <cell r="BM134" t="str">
            <v>-</v>
          </cell>
          <cell r="BN134" t="str">
            <v>-</v>
          </cell>
          <cell r="BO134" t="str">
            <v>-</v>
          </cell>
          <cell r="BP134" t="str">
            <v>-</v>
          </cell>
        </row>
        <row r="135">
          <cell r="A135">
            <v>130</v>
          </cell>
          <cell r="B135" t="str">
            <v>-</v>
          </cell>
          <cell r="C135" t="str">
            <v>-</v>
          </cell>
          <cell r="D135" t="str">
            <v>-</v>
          </cell>
          <cell r="E135" t="str">
            <v>-</v>
          </cell>
          <cell r="F135" t="str">
            <v>-</v>
          </cell>
          <cell r="G135" t="str">
            <v>-</v>
          </cell>
          <cell r="H135" t="str">
            <v>-</v>
          </cell>
          <cell r="I135" t="str">
            <v>-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-</v>
          </cell>
          <cell r="O135" t="str">
            <v>-</v>
          </cell>
          <cell r="P135" t="str">
            <v>-</v>
          </cell>
          <cell r="Q135" t="str">
            <v>-</v>
          </cell>
          <cell r="R135" t="str">
            <v>-</v>
          </cell>
          <cell r="S135" t="str">
            <v>-</v>
          </cell>
          <cell r="T135" t="str">
            <v>-</v>
          </cell>
          <cell r="U135" t="str">
            <v>-</v>
          </cell>
          <cell r="V135" t="str">
            <v>-</v>
          </cell>
          <cell r="W135" t="str">
            <v>-</v>
          </cell>
          <cell r="X135" t="str">
            <v>-</v>
          </cell>
          <cell r="Y135" t="str">
            <v>-</v>
          </cell>
          <cell r="Z135" t="str">
            <v>-</v>
          </cell>
          <cell r="AA135" t="str">
            <v>-</v>
          </cell>
          <cell r="AB135" t="str">
            <v>-</v>
          </cell>
          <cell r="AC135" t="str">
            <v>-</v>
          </cell>
          <cell r="AD135" t="str">
            <v>-</v>
          </cell>
          <cell r="AE135" t="str">
            <v>-</v>
          </cell>
          <cell r="AF135" t="str">
            <v>-</v>
          </cell>
          <cell r="AG135" t="str">
            <v>-</v>
          </cell>
          <cell r="AH135" t="str">
            <v>-</v>
          </cell>
          <cell r="AI135" t="str">
            <v>-</v>
          </cell>
          <cell r="AJ135" t="str">
            <v>-</v>
          </cell>
          <cell r="AK135" t="str">
            <v>-</v>
          </cell>
          <cell r="AL135" t="str">
            <v>-</v>
          </cell>
          <cell r="AM135" t="str">
            <v>-</v>
          </cell>
          <cell r="AN135" t="str">
            <v>-</v>
          </cell>
          <cell r="AO135" t="str">
            <v>-</v>
          </cell>
          <cell r="AP135" t="str">
            <v>-</v>
          </cell>
          <cell r="AQ135" t="str">
            <v>-</v>
          </cell>
          <cell r="AR135" t="str">
            <v>-</v>
          </cell>
          <cell r="AS135" t="str">
            <v>-</v>
          </cell>
          <cell r="AT135" t="str">
            <v>-</v>
          </cell>
          <cell r="AU135" t="str">
            <v>-</v>
          </cell>
          <cell r="AV135" t="str">
            <v>-</v>
          </cell>
          <cell r="AW135" t="str">
            <v>-</v>
          </cell>
          <cell r="AX135" t="str">
            <v>-</v>
          </cell>
          <cell r="AY135" t="str">
            <v>-</v>
          </cell>
          <cell r="AZ135" t="str">
            <v>-</v>
          </cell>
          <cell r="BA135" t="str">
            <v>-</v>
          </cell>
          <cell r="BB135" t="str">
            <v>-</v>
          </cell>
          <cell r="BC135" t="str">
            <v>-</v>
          </cell>
          <cell r="BD135" t="str">
            <v>-</v>
          </cell>
          <cell r="BE135" t="str">
            <v>-</v>
          </cell>
          <cell r="BF135" t="str">
            <v>-</v>
          </cell>
          <cell r="BG135" t="str">
            <v>-</v>
          </cell>
          <cell r="BH135" t="str">
            <v>-</v>
          </cell>
          <cell r="BI135" t="str">
            <v>-</v>
          </cell>
          <cell r="BJ135" t="str">
            <v>-</v>
          </cell>
          <cell r="BK135" t="str">
            <v>-</v>
          </cell>
          <cell r="BL135" t="str">
            <v>-</v>
          </cell>
          <cell r="BM135" t="str">
            <v>-</v>
          </cell>
          <cell r="BN135" t="str">
            <v>-</v>
          </cell>
          <cell r="BO135" t="str">
            <v>-</v>
          </cell>
          <cell r="BP135" t="str">
            <v>-</v>
          </cell>
        </row>
        <row r="136">
          <cell r="A136">
            <v>131</v>
          </cell>
          <cell r="B136" t="str">
            <v>-</v>
          </cell>
          <cell r="C136" t="str">
            <v>-</v>
          </cell>
          <cell r="D136" t="str">
            <v>-</v>
          </cell>
          <cell r="E136" t="str">
            <v>-</v>
          </cell>
          <cell r="F136" t="str">
            <v>-</v>
          </cell>
          <cell r="G136" t="str">
            <v>-</v>
          </cell>
          <cell r="H136" t="str">
            <v>-</v>
          </cell>
          <cell r="I136" t="str">
            <v>-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-</v>
          </cell>
          <cell r="O136" t="str">
            <v>-</v>
          </cell>
          <cell r="P136" t="str">
            <v>-</v>
          </cell>
          <cell r="Q136" t="str">
            <v>-</v>
          </cell>
          <cell r="R136" t="str">
            <v>-</v>
          </cell>
          <cell r="S136" t="str">
            <v>-</v>
          </cell>
          <cell r="T136" t="str">
            <v>-</v>
          </cell>
          <cell r="U136" t="str">
            <v>-</v>
          </cell>
          <cell r="V136" t="str">
            <v>-</v>
          </cell>
          <cell r="W136" t="str">
            <v>-</v>
          </cell>
          <cell r="X136" t="str">
            <v>-</v>
          </cell>
          <cell r="Y136" t="str">
            <v>-</v>
          </cell>
          <cell r="Z136" t="str">
            <v>-</v>
          </cell>
          <cell r="AA136" t="str">
            <v>-</v>
          </cell>
          <cell r="AB136" t="str">
            <v>-</v>
          </cell>
          <cell r="AC136" t="str">
            <v>-</v>
          </cell>
          <cell r="AD136" t="str">
            <v>-</v>
          </cell>
          <cell r="AE136" t="str">
            <v>-</v>
          </cell>
          <cell r="AF136" t="str">
            <v>-</v>
          </cell>
          <cell r="AG136" t="str">
            <v>-</v>
          </cell>
          <cell r="AH136" t="str">
            <v>-</v>
          </cell>
          <cell r="AI136" t="str">
            <v>-</v>
          </cell>
          <cell r="AJ136" t="str">
            <v>-</v>
          </cell>
          <cell r="AK136" t="str">
            <v>-</v>
          </cell>
          <cell r="AL136" t="str">
            <v>-</v>
          </cell>
          <cell r="AM136" t="str">
            <v>-</v>
          </cell>
          <cell r="AN136" t="str">
            <v>-</v>
          </cell>
          <cell r="AO136" t="str">
            <v>-</v>
          </cell>
          <cell r="AP136" t="str">
            <v>-</v>
          </cell>
          <cell r="AQ136" t="str">
            <v>-</v>
          </cell>
          <cell r="AR136" t="str">
            <v>-</v>
          </cell>
          <cell r="AS136" t="str">
            <v>-</v>
          </cell>
          <cell r="AT136" t="str">
            <v>-</v>
          </cell>
          <cell r="AU136" t="str">
            <v>-</v>
          </cell>
          <cell r="AV136" t="str">
            <v>-</v>
          </cell>
          <cell r="AW136" t="str">
            <v>-</v>
          </cell>
          <cell r="AX136" t="str">
            <v>-</v>
          </cell>
          <cell r="AY136" t="str">
            <v>-</v>
          </cell>
          <cell r="AZ136" t="str">
            <v>-</v>
          </cell>
          <cell r="BA136" t="str">
            <v>-</v>
          </cell>
          <cell r="BB136" t="str">
            <v>-</v>
          </cell>
          <cell r="BC136" t="str">
            <v>-</v>
          </cell>
          <cell r="BD136" t="str">
            <v>-</v>
          </cell>
          <cell r="BE136" t="str">
            <v>-</v>
          </cell>
          <cell r="BF136" t="str">
            <v>-</v>
          </cell>
          <cell r="BG136" t="str">
            <v>-</v>
          </cell>
          <cell r="BH136" t="str">
            <v>-</v>
          </cell>
          <cell r="BI136" t="str">
            <v>-</v>
          </cell>
          <cell r="BJ136" t="str">
            <v>-</v>
          </cell>
          <cell r="BK136" t="str">
            <v>-</v>
          </cell>
          <cell r="BL136" t="str">
            <v>-</v>
          </cell>
          <cell r="BM136" t="str">
            <v>-</v>
          </cell>
          <cell r="BN136" t="str">
            <v>-</v>
          </cell>
          <cell r="BO136" t="str">
            <v>-</v>
          </cell>
          <cell r="BP136" t="str">
            <v>-</v>
          </cell>
        </row>
        <row r="137">
          <cell r="A137">
            <v>132</v>
          </cell>
          <cell r="B137" t="str">
            <v>-</v>
          </cell>
          <cell r="C137" t="str">
            <v>-</v>
          </cell>
          <cell r="D137" t="str">
            <v>-</v>
          </cell>
          <cell r="E137" t="str">
            <v>-</v>
          </cell>
          <cell r="F137" t="str">
            <v>-</v>
          </cell>
          <cell r="G137" t="str">
            <v>-</v>
          </cell>
          <cell r="H137" t="str">
            <v>-</v>
          </cell>
          <cell r="I137" t="str">
            <v>-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-</v>
          </cell>
          <cell r="O137" t="str">
            <v>-</v>
          </cell>
          <cell r="P137" t="str">
            <v>-</v>
          </cell>
          <cell r="Q137" t="str">
            <v>-</v>
          </cell>
          <cell r="R137" t="str">
            <v>-</v>
          </cell>
          <cell r="S137" t="str">
            <v>-</v>
          </cell>
          <cell r="T137" t="str">
            <v>-</v>
          </cell>
          <cell r="U137" t="str">
            <v>-</v>
          </cell>
          <cell r="V137" t="str">
            <v>-</v>
          </cell>
          <cell r="W137" t="str">
            <v>-</v>
          </cell>
          <cell r="X137" t="str">
            <v>-</v>
          </cell>
          <cell r="Y137" t="str">
            <v>-</v>
          </cell>
          <cell r="Z137" t="str">
            <v>-</v>
          </cell>
          <cell r="AA137" t="str">
            <v>-</v>
          </cell>
          <cell r="AB137" t="str">
            <v>-</v>
          </cell>
          <cell r="AC137" t="str">
            <v>-</v>
          </cell>
          <cell r="AD137" t="str">
            <v>-</v>
          </cell>
          <cell r="AE137" t="str">
            <v>-</v>
          </cell>
          <cell r="AF137" t="str">
            <v>-</v>
          </cell>
          <cell r="AG137" t="str">
            <v>-</v>
          </cell>
          <cell r="AH137" t="str">
            <v>-</v>
          </cell>
          <cell r="AI137" t="str">
            <v>-</v>
          </cell>
          <cell r="AJ137" t="str">
            <v>-</v>
          </cell>
          <cell r="AK137" t="str">
            <v>-</v>
          </cell>
          <cell r="AL137" t="str">
            <v>-</v>
          </cell>
          <cell r="AM137" t="str">
            <v>-</v>
          </cell>
          <cell r="AN137" t="str">
            <v>-</v>
          </cell>
          <cell r="AO137" t="str">
            <v>-</v>
          </cell>
          <cell r="AP137" t="str">
            <v>-</v>
          </cell>
          <cell r="AQ137" t="str">
            <v>-</v>
          </cell>
          <cell r="AR137" t="str">
            <v>-</v>
          </cell>
          <cell r="AS137" t="str">
            <v>-</v>
          </cell>
          <cell r="AT137" t="str">
            <v>-</v>
          </cell>
          <cell r="AU137" t="str">
            <v>-</v>
          </cell>
          <cell r="AV137" t="str">
            <v>-</v>
          </cell>
          <cell r="AW137" t="str">
            <v>-</v>
          </cell>
          <cell r="AX137" t="str">
            <v>-</v>
          </cell>
          <cell r="AY137" t="str">
            <v>-</v>
          </cell>
          <cell r="AZ137" t="str">
            <v>-</v>
          </cell>
          <cell r="BA137" t="str">
            <v>-</v>
          </cell>
          <cell r="BB137" t="str">
            <v>-</v>
          </cell>
          <cell r="BC137" t="str">
            <v>-</v>
          </cell>
          <cell r="BD137" t="str">
            <v>-</v>
          </cell>
          <cell r="BE137" t="str">
            <v>-</v>
          </cell>
          <cell r="BF137" t="str">
            <v>-</v>
          </cell>
          <cell r="BG137" t="str">
            <v>-</v>
          </cell>
          <cell r="BH137" t="str">
            <v>-</v>
          </cell>
          <cell r="BI137" t="str">
            <v>-</v>
          </cell>
          <cell r="BJ137" t="str">
            <v>-</v>
          </cell>
          <cell r="BK137" t="str">
            <v>-</v>
          </cell>
          <cell r="BL137" t="str">
            <v>-</v>
          </cell>
          <cell r="BM137" t="str">
            <v>-</v>
          </cell>
          <cell r="BN137" t="str">
            <v>-</v>
          </cell>
          <cell r="BO137" t="str">
            <v>-</v>
          </cell>
          <cell r="BP137" t="str">
            <v>-</v>
          </cell>
        </row>
        <row r="138">
          <cell r="A138">
            <v>133</v>
          </cell>
          <cell r="B138" t="str">
            <v>-</v>
          </cell>
          <cell r="C138" t="str">
            <v>-</v>
          </cell>
          <cell r="D138" t="str">
            <v>-</v>
          </cell>
          <cell r="E138" t="str">
            <v>-</v>
          </cell>
          <cell r="F138" t="str">
            <v>-</v>
          </cell>
          <cell r="G138" t="str">
            <v>-</v>
          </cell>
          <cell r="H138" t="str">
            <v>-</v>
          </cell>
          <cell r="I138" t="str">
            <v>-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-</v>
          </cell>
          <cell r="O138" t="str">
            <v>-</v>
          </cell>
          <cell r="P138" t="str">
            <v>-</v>
          </cell>
          <cell r="Q138" t="str">
            <v>-</v>
          </cell>
          <cell r="R138" t="str">
            <v>-</v>
          </cell>
          <cell r="S138" t="str">
            <v>-</v>
          </cell>
          <cell r="T138" t="str">
            <v>-</v>
          </cell>
          <cell r="U138" t="str">
            <v>-</v>
          </cell>
          <cell r="V138" t="str">
            <v>-</v>
          </cell>
          <cell r="W138" t="str">
            <v>-</v>
          </cell>
          <cell r="X138" t="str">
            <v>-</v>
          </cell>
          <cell r="Y138" t="str">
            <v>-</v>
          </cell>
          <cell r="Z138" t="str">
            <v>-</v>
          </cell>
          <cell r="AA138" t="str">
            <v>-</v>
          </cell>
          <cell r="AB138" t="str">
            <v>-</v>
          </cell>
          <cell r="AC138" t="str">
            <v>-</v>
          </cell>
          <cell r="AD138" t="str">
            <v>-</v>
          </cell>
          <cell r="AE138" t="str">
            <v>-</v>
          </cell>
          <cell r="AF138" t="str">
            <v>-</v>
          </cell>
          <cell r="AG138" t="str">
            <v>-</v>
          </cell>
          <cell r="AH138" t="str">
            <v>-</v>
          </cell>
          <cell r="AI138" t="str">
            <v>-</v>
          </cell>
          <cell r="AJ138" t="str">
            <v>-</v>
          </cell>
          <cell r="AK138" t="str">
            <v>-</v>
          </cell>
          <cell r="AL138" t="str">
            <v>-</v>
          </cell>
          <cell r="AM138" t="str">
            <v>-</v>
          </cell>
          <cell r="AN138" t="str">
            <v>-</v>
          </cell>
          <cell r="AO138" t="str">
            <v>-</v>
          </cell>
          <cell r="AP138" t="str">
            <v>-</v>
          </cell>
          <cell r="AQ138" t="str">
            <v>-</v>
          </cell>
          <cell r="AR138" t="str">
            <v>-</v>
          </cell>
          <cell r="AS138" t="str">
            <v>-</v>
          </cell>
          <cell r="AT138" t="str">
            <v>-</v>
          </cell>
          <cell r="AU138" t="str">
            <v>-</v>
          </cell>
          <cell r="AV138" t="str">
            <v>-</v>
          </cell>
          <cell r="AW138" t="str">
            <v>-</v>
          </cell>
          <cell r="AX138" t="str">
            <v>-</v>
          </cell>
          <cell r="AY138" t="str">
            <v>-</v>
          </cell>
          <cell r="AZ138" t="str">
            <v>-</v>
          </cell>
          <cell r="BA138" t="str">
            <v>-</v>
          </cell>
          <cell r="BB138" t="str">
            <v>-</v>
          </cell>
          <cell r="BC138" t="str">
            <v>-</v>
          </cell>
          <cell r="BD138" t="str">
            <v>-</v>
          </cell>
          <cell r="BE138" t="str">
            <v>-</v>
          </cell>
          <cell r="BF138" t="str">
            <v>-</v>
          </cell>
          <cell r="BG138" t="str">
            <v>-</v>
          </cell>
          <cell r="BH138" t="str">
            <v>-</v>
          </cell>
          <cell r="BI138" t="str">
            <v>-</v>
          </cell>
          <cell r="BJ138" t="str">
            <v>-</v>
          </cell>
          <cell r="BK138" t="str">
            <v>-</v>
          </cell>
          <cell r="BL138" t="str">
            <v>-</v>
          </cell>
          <cell r="BM138" t="str">
            <v>-</v>
          </cell>
          <cell r="BN138" t="str">
            <v>-</v>
          </cell>
          <cell r="BO138" t="str">
            <v>-</v>
          </cell>
          <cell r="BP138" t="str">
            <v>-</v>
          </cell>
        </row>
        <row r="139">
          <cell r="A139">
            <v>134</v>
          </cell>
          <cell r="B139" t="str">
            <v>-</v>
          </cell>
          <cell r="C139" t="str">
            <v>-</v>
          </cell>
          <cell r="D139" t="str">
            <v>-</v>
          </cell>
          <cell r="E139" t="str">
            <v>-</v>
          </cell>
          <cell r="F139" t="str">
            <v>-</v>
          </cell>
          <cell r="G139" t="str">
            <v>-</v>
          </cell>
          <cell r="H139" t="str">
            <v>-</v>
          </cell>
          <cell r="I139" t="str">
            <v>-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-</v>
          </cell>
          <cell r="O139" t="str">
            <v>-</v>
          </cell>
          <cell r="P139" t="str">
            <v>-</v>
          </cell>
          <cell r="Q139" t="str">
            <v>-</v>
          </cell>
          <cell r="R139" t="str">
            <v>-</v>
          </cell>
          <cell r="S139" t="str">
            <v>-</v>
          </cell>
          <cell r="T139" t="str">
            <v>-</v>
          </cell>
          <cell r="U139" t="str">
            <v>-</v>
          </cell>
          <cell r="V139" t="str">
            <v>-</v>
          </cell>
          <cell r="W139" t="str">
            <v>-</v>
          </cell>
          <cell r="X139" t="str">
            <v>-</v>
          </cell>
          <cell r="Y139" t="str">
            <v>-</v>
          </cell>
          <cell r="Z139" t="str">
            <v>-</v>
          </cell>
          <cell r="AA139" t="str">
            <v>-</v>
          </cell>
          <cell r="AB139" t="str">
            <v>-</v>
          </cell>
          <cell r="AC139" t="str">
            <v>-</v>
          </cell>
          <cell r="AD139" t="str">
            <v>-</v>
          </cell>
          <cell r="AE139" t="str">
            <v>-</v>
          </cell>
          <cell r="AF139" t="str">
            <v>-</v>
          </cell>
          <cell r="AG139" t="str">
            <v>-</v>
          </cell>
          <cell r="AH139" t="str">
            <v>-</v>
          </cell>
          <cell r="AI139" t="str">
            <v>-</v>
          </cell>
          <cell r="AJ139" t="str">
            <v>-</v>
          </cell>
          <cell r="AK139" t="str">
            <v>-</v>
          </cell>
          <cell r="AL139" t="str">
            <v>-</v>
          </cell>
          <cell r="AM139" t="str">
            <v>-</v>
          </cell>
          <cell r="AN139" t="str">
            <v>-</v>
          </cell>
          <cell r="AO139" t="str">
            <v>-</v>
          </cell>
          <cell r="AP139" t="str">
            <v>-</v>
          </cell>
          <cell r="AQ139" t="str">
            <v>-</v>
          </cell>
          <cell r="AR139" t="str">
            <v>-</v>
          </cell>
          <cell r="AS139" t="str">
            <v>-</v>
          </cell>
          <cell r="AT139" t="str">
            <v>-</v>
          </cell>
          <cell r="AU139" t="str">
            <v>-</v>
          </cell>
          <cell r="AV139" t="str">
            <v>-</v>
          </cell>
          <cell r="AW139" t="str">
            <v>-</v>
          </cell>
          <cell r="AX139" t="str">
            <v>-</v>
          </cell>
          <cell r="AY139" t="str">
            <v>-</v>
          </cell>
          <cell r="AZ139" t="str">
            <v>-</v>
          </cell>
          <cell r="BA139" t="str">
            <v>-</v>
          </cell>
          <cell r="BB139" t="str">
            <v>-</v>
          </cell>
          <cell r="BC139" t="str">
            <v>-</v>
          </cell>
          <cell r="BD139" t="str">
            <v>-</v>
          </cell>
          <cell r="BE139" t="str">
            <v>-</v>
          </cell>
          <cell r="BF139" t="str">
            <v>-</v>
          </cell>
          <cell r="BG139" t="str">
            <v>-</v>
          </cell>
          <cell r="BH139" t="str">
            <v>-</v>
          </cell>
          <cell r="BI139" t="str">
            <v>-</v>
          </cell>
          <cell r="BJ139" t="str">
            <v>-</v>
          </cell>
          <cell r="BK139" t="str">
            <v>-</v>
          </cell>
          <cell r="BL139" t="str">
            <v>-</v>
          </cell>
          <cell r="BM139" t="str">
            <v>-</v>
          </cell>
          <cell r="BN139" t="str">
            <v>-</v>
          </cell>
          <cell r="BO139" t="str">
            <v>-</v>
          </cell>
          <cell r="BP139" t="str">
            <v>-</v>
          </cell>
        </row>
        <row r="140">
          <cell r="A140">
            <v>135</v>
          </cell>
          <cell r="B140" t="str">
            <v>-</v>
          </cell>
          <cell r="C140" t="str">
            <v>-</v>
          </cell>
          <cell r="D140" t="str">
            <v>-</v>
          </cell>
          <cell r="E140" t="str">
            <v>-</v>
          </cell>
          <cell r="F140" t="str">
            <v>-</v>
          </cell>
          <cell r="G140" t="str">
            <v>-</v>
          </cell>
          <cell r="H140" t="str">
            <v>-</v>
          </cell>
          <cell r="I140" t="str">
            <v>-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-</v>
          </cell>
          <cell r="O140" t="str">
            <v>-</v>
          </cell>
          <cell r="P140" t="str">
            <v>-</v>
          </cell>
          <cell r="Q140" t="str">
            <v>-</v>
          </cell>
          <cell r="R140" t="str">
            <v>-</v>
          </cell>
          <cell r="S140" t="str">
            <v>-</v>
          </cell>
          <cell r="T140" t="str">
            <v>-</v>
          </cell>
          <cell r="U140" t="str">
            <v>-</v>
          </cell>
          <cell r="V140" t="str">
            <v>-</v>
          </cell>
          <cell r="W140" t="str">
            <v>-</v>
          </cell>
          <cell r="X140" t="str">
            <v>-</v>
          </cell>
          <cell r="Y140" t="str">
            <v>-</v>
          </cell>
          <cell r="Z140" t="str">
            <v>-</v>
          </cell>
          <cell r="AA140" t="str">
            <v>-</v>
          </cell>
          <cell r="AB140" t="str">
            <v>-</v>
          </cell>
          <cell r="AC140" t="str">
            <v>-</v>
          </cell>
          <cell r="AD140" t="str">
            <v>-</v>
          </cell>
          <cell r="AE140" t="str">
            <v>-</v>
          </cell>
          <cell r="AF140" t="str">
            <v>-</v>
          </cell>
          <cell r="AG140" t="str">
            <v>-</v>
          </cell>
          <cell r="AH140" t="str">
            <v>-</v>
          </cell>
          <cell r="AI140" t="str">
            <v>-</v>
          </cell>
          <cell r="AJ140" t="str">
            <v>-</v>
          </cell>
          <cell r="AK140" t="str">
            <v>-</v>
          </cell>
          <cell r="AL140" t="str">
            <v>-</v>
          </cell>
          <cell r="AM140" t="str">
            <v>-</v>
          </cell>
          <cell r="AN140" t="str">
            <v>-</v>
          </cell>
          <cell r="AO140" t="str">
            <v>-</v>
          </cell>
          <cell r="AP140" t="str">
            <v>-</v>
          </cell>
          <cell r="AQ140" t="str">
            <v>-</v>
          </cell>
          <cell r="AR140" t="str">
            <v>-</v>
          </cell>
          <cell r="AS140" t="str">
            <v>-</v>
          </cell>
          <cell r="AT140" t="str">
            <v>-</v>
          </cell>
          <cell r="AU140" t="str">
            <v>-</v>
          </cell>
          <cell r="AV140" t="str">
            <v>-</v>
          </cell>
          <cell r="AW140" t="str">
            <v>-</v>
          </cell>
          <cell r="AX140" t="str">
            <v>-</v>
          </cell>
          <cell r="AY140" t="str">
            <v>-</v>
          </cell>
          <cell r="AZ140" t="str">
            <v>-</v>
          </cell>
          <cell r="BA140" t="str">
            <v>-</v>
          </cell>
          <cell r="BB140" t="str">
            <v>-</v>
          </cell>
          <cell r="BC140" t="str">
            <v>-</v>
          </cell>
          <cell r="BD140" t="str">
            <v>-</v>
          </cell>
          <cell r="BE140" t="str">
            <v>-</v>
          </cell>
          <cell r="BF140" t="str">
            <v>-</v>
          </cell>
          <cell r="BG140" t="str">
            <v>-</v>
          </cell>
          <cell r="BH140" t="str">
            <v>-</v>
          </cell>
          <cell r="BI140" t="str">
            <v>-</v>
          </cell>
          <cell r="BJ140" t="str">
            <v>-</v>
          </cell>
          <cell r="BK140" t="str">
            <v>-</v>
          </cell>
          <cell r="BL140" t="str">
            <v>-</v>
          </cell>
          <cell r="BM140" t="str">
            <v>-</v>
          </cell>
          <cell r="BN140" t="str">
            <v>-</v>
          </cell>
          <cell r="BO140" t="str">
            <v>-</v>
          </cell>
          <cell r="BP140" t="str">
            <v>-</v>
          </cell>
        </row>
        <row r="141">
          <cell r="A141">
            <v>136</v>
          </cell>
          <cell r="B141" t="str">
            <v>-</v>
          </cell>
          <cell r="C141" t="str">
            <v>-</v>
          </cell>
          <cell r="D141" t="str">
            <v>-</v>
          </cell>
          <cell r="E141" t="str">
            <v>-</v>
          </cell>
          <cell r="F141" t="str">
            <v>-</v>
          </cell>
          <cell r="G141" t="str">
            <v>-</v>
          </cell>
          <cell r="H141" t="str">
            <v>-</v>
          </cell>
          <cell r="I141" t="str">
            <v>-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-</v>
          </cell>
          <cell r="O141" t="str">
            <v>-</v>
          </cell>
          <cell r="P141" t="str">
            <v>-</v>
          </cell>
          <cell r="Q141" t="str">
            <v>-</v>
          </cell>
          <cell r="R141" t="str">
            <v>-</v>
          </cell>
          <cell r="S141" t="str">
            <v>-</v>
          </cell>
          <cell r="T141" t="str">
            <v>-</v>
          </cell>
          <cell r="U141" t="str">
            <v>-</v>
          </cell>
          <cell r="V141" t="str">
            <v>-</v>
          </cell>
          <cell r="W141" t="str">
            <v>-</v>
          </cell>
          <cell r="X141" t="str">
            <v>-</v>
          </cell>
          <cell r="Y141" t="str">
            <v>-</v>
          </cell>
          <cell r="Z141" t="str">
            <v>-</v>
          </cell>
          <cell r="AA141" t="str">
            <v>-</v>
          </cell>
          <cell r="AB141" t="str">
            <v>-</v>
          </cell>
          <cell r="AC141" t="str">
            <v>-</v>
          </cell>
          <cell r="AD141" t="str">
            <v>-</v>
          </cell>
          <cell r="AE141" t="str">
            <v>-</v>
          </cell>
          <cell r="AF141" t="str">
            <v>-</v>
          </cell>
          <cell r="AG141" t="str">
            <v>-</v>
          </cell>
          <cell r="AH141" t="str">
            <v>-</v>
          </cell>
          <cell r="AI141" t="str">
            <v>-</v>
          </cell>
          <cell r="AJ141" t="str">
            <v>-</v>
          </cell>
          <cell r="AK141" t="str">
            <v>-</v>
          </cell>
          <cell r="AL141" t="str">
            <v>-</v>
          </cell>
          <cell r="AM141" t="str">
            <v>-</v>
          </cell>
          <cell r="AN141" t="str">
            <v>-</v>
          </cell>
          <cell r="AO141" t="str">
            <v>-</v>
          </cell>
          <cell r="AP141" t="str">
            <v>-</v>
          </cell>
          <cell r="AQ141" t="str">
            <v>-</v>
          </cell>
          <cell r="AR141" t="str">
            <v>-</v>
          </cell>
          <cell r="AS141" t="str">
            <v>-</v>
          </cell>
          <cell r="AT141" t="str">
            <v>-</v>
          </cell>
          <cell r="AU141" t="str">
            <v>-</v>
          </cell>
          <cell r="AV141" t="str">
            <v>-</v>
          </cell>
          <cell r="AW141" t="str">
            <v>-</v>
          </cell>
          <cell r="AX141" t="str">
            <v>-</v>
          </cell>
          <cell r="AY141" t="str">
            <v>-</v>
          </cell>
          <cell r="AZ141" t="str">
            <v>-</v>
          </cell>
          <cell r="BA141" t="str">
            <v>-</v>
          </cell>
          <cell r="BB141" t="str">
            <v>-</v>
          </cell>
          <cell r="BC141" t="str">
            <v>-</v>
          </cell>
          <cell r="BD141" t="str">
            <v>-</v>
          </cell>
          <cell r="BE141" t="str">
            <v>-</v>
          </cell>
          <cell r="BF141" t="str">
            <v>-</v>
          </cell>
          <cell r="BG141" t="str">
            <v>-</v>
          </cell>
          <cell r="BH141" t="str">
            <v>-</v>
          </cell>
          <cell r="BI141" t="str">
            <v>-</v>
          </cell>
          <cell r="BJ141" t="str">
            <v>-</v>
          </cell>
          <cell r="BK141" t="str">
            <v>-</v>
          </cell>
          <cell r="BL141" t="str">
            <v>-</v>
          </cell>
          <cell r="BM141" t="str">
            <v>-</v>
          </cell>
          <cell r="BN141" t="str">
            <v>-</v>
          </cell>
          <cell r="BO141" t="str">
            <v>-</v>
          </cell>
          <cell r="BP141" t="str">
            <v>-</v>
          </cell>
        </row>
        <row r="142">
          <cell r="A142">
            <v>137</v>
          </cell>
          <cell r="B142" t="str">
            <v>-</v>
          </cell>
          <cell r="C142" t="str">
            <v>-</v>
          </cell>
          <cell r="D142" t="str">
            <v>-</v>
          </cell>
          <cell r="E142" t="str">
            <v>-</v>
          </cell>
          <cell r="F142" t="str">
            <v>-</v>
          </cell>
          <cell r="G142" t="str">
            <v>-</v>
          </cell>
          <cell r="H142" t="str">
            <v>-</v>
          </cell>
          <cell r="I142" t="str">
            <v>-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N142" t="str">
            <v>-</v>
          </cell>
          <cell r="O142" t="str">
            <v>-</v>
          </cell>
          <cell r="P142" t="str">
            <v>-</v>
          </cell>
          <cell r="Q142" t="str">
            <v>-</v>
          </cell>
          <cell r="R142" t="str">
            <v>-</v>
          </cell>
          <cell r="S142" t="str">
            <v>-</v>
          </cell>
          <cell r="T142" t="str">
            <v>-</v>
          </cell>
          <cell r="U142" t="str">
            <v>-</v>
          </cell>
          <cell r="V142" t="str">
            <v>-</v>
          </cell>
          <cell r="W142" t="str">
            <v>-</v>
          </cell>
          <cell r="X142" t="str">
            <v>-</v>
          </cell>
          <cell r="Y142" t="str">
            <v>-</v>
          </cell>
          <cell r="Z142" t="str">
            <v>-</v>
          </cell>
          <cell r="AA142" t="str">
            <v>-</v>
          </cell>
          <cell r="AB142" t="str">
            <v>-</v>
          </cell>
          <cell r="AC142" t="str">
            <v>-</v>
          </cell>
          <cell r="AD142" t="str">
            <v>-</v>
          </cell>
          <cell r="AE142" t="str">
            <v>-</v>
          </cell>
          <cell r="AF142" t="str">
            <v>-</v>
          </cell>
          <cell r="AG142" t="str">
            <v>-</v>
          </cell>
          <cell r="AH142" t="str">
            <v>-</v>
          </cell>
          <cell r="AI142" t="str">
            <v>-</v>
          </cell>
          <cell r="AJ142" t="str">
            <v>-</v>
          </cell>
          <cell r="AK142" t="str">
            <v>-</v>
          </cell>
          <cell r="AL142" t="str">
            <v>-</v>
          </cell>
          <cell r="AM142" t="str">
            <v>-</v>
          </cell>
          <cell r="AN142" t="str">
            <v>-</v>
          </cell>
          <cell r="AO142" t="str">
            <v>-</v>
          </cell>
          <cell r="AP142" t="str">
            <v>-</v>
          </cell>
          <cell r="AQ142" t="str">
            <v>-</v>
          </cell>
          <cell r="AR142" t="str">
            <v>-</v>
          </cell>
          <cell r="AS142" t="str">
            <v>-</v>
          </cell>
          <cell r="AT142" t="str">
            <v>-</v>
          </cell>
          <cell r="AU142" t="str">
            <v>-</v>
          </cell>
          <cell r="AV142" t="str">
            <v>-</v>
          </cell>
          <cell r="AW142" t="str">
            <v>-</v>
          </cell>
          <cell r="AX142" t="str">
            <v>-</v>
          </cell>
          <cell r="AY142" t="str">
            <v>-</v>
          </cell>
          <cell r="AZ142" t="str">
            <v>-</v>
          </cell>
          <cell r="BA142" t="str">
            <v>-</v>
          </cell>
          <cell r="BB142" t="str">
            <v>-</v>
          </cell>
          <cell r="BC142" t="str">
            <v>-</v>
          </cell>
          <cell r="BD142" t="str">
            <v>-</v>
          </cell>
          <cell r="BE142" t="str">
            <v>-</v>
          </cell>
          <cell r="BF142" t="str">
            <v>-</v>
          </cell>
          <cell r="BG142" t="str">
            <v>-</v>
          </cell>
          <cell r="BH142" t="str">
            <v>-</v>
          </cell>
          <cell r="BI142" t="str">
            <v>-</v>
          </cell>
          <cell r="BJ142" t="str">
            <v>-</v>
          </cell>
          <cell r="BK142" t="str">
            <v>-</v>
          </cell>
          <cell r="BL142" t="str">
            <v>-</v>
          </cell>
          <cell r="BM142" t="str">
            <v>-</v>
          </cell>
          <cell r="BN142" t="str">
            <v>-</v>
          </cell>
          <cell r="BO142" t="str">
            <v>-</v>
          </cell>
          <cell r="BP142" t="str">
            <v>-</v>
          </cell>
        </row>
        <row r="143">
          <cell r="A143">
            <v>138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-</v>
          </cell>
          <cell r="I143" t="str">
            <v>-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-</v>
          </cell>
          <cell r="O143" t="str">
            <v>-</v>
          </cell>
          <cell r="P143" t="str">
            <v>-</v>
          </cell>
          <cell r="Q143" t="str">
            <v>-</v>
          </cell>
          <cell r="R143" t="str">
            <v>-</v>
          </cell>
          <cell r="S143" t="str">
            <v>-</v>
          </cell>
          <cell r="T143" t="str">
            <v>-</v>
          </cell>
          <cell r="U143" t="str">
            <v>-</v>
          </cell>
          <cell r="V143" t="str">
            <v>-</v>
          </cell>
          <cell r="W143" t="str">
            <v>-</v>
          </cell>
          <cell r="X143" t="str">
            <v>-</v>
          </cell>
          <cell r="Y143" t="str">
            <v>-</v>
          </cell>
          <cell r="Z143" t="str">
            <v>-</v>
          </cell>
          <cell r="AA143" t="str">
            <v>-</v>
          </cell>
          <cell r="AB143" t="str">
            <v>-</v>
          </cell>
          <cell r="AC143" t="str">
            <v>-</v>
          </cell>
          <cell r="AD143" t="str">
            <v>-</v>
          </cell>
          <cell r="AE143" t="str">
            <v>-</v>
          </cell>
          <cell r="AF143" t="str">
            <v>-</v>
          </cell>
          <cell r="AG143" t="str">
            <v>-</v>
          </cell>
          <cell r="AH143" t="str">
            <v>-</v>
          </cell>
          <cell r="AI143" t="str">
            <v>-</v>
          </cell>
          <cell r="AJ143" t="str">
            <v>-</v>
          </cell>
          <cell r="AK143" t="str">
            <v>-</v>
          </cell>
          <cell r="AL143" t="str">
            <v>-</v>
          </cell>
          <cell r="AM143" t="str">
            <v>-</v>
          </cell>
          <cell r="AN143" t="str">
            <v>-</v>
          </cell>
          <cell r="AO143" t="str">
            <v>-</v>
          </cell>
          <cell r="AP143" t="str">
            <v>-</v>
          </cell>
          <cell r="AQ143" t="str">
            <v>-</v>
          </cell>
          <cell r="AR143" t="str">
            <v>-</v>
          </cell>
          <cell r="AS143" t="str">
            <v>-</v>
          </cell>
          <cell r="AT143" t="str">
            <v>-</v>
          </cell>
          <cell r="AU143" t="str">
            <v>-</v>
          </cell>
          <cell r="AV143" t="str">
            <v>-</v>
          </cell>
          <cell r="AW143" t="str">
            <v>-</v>
          </cell>
          <cell r="AX143" t="str">
            <v>-</v>
          </cell>
          <cell r="AY143" t="str">
            <v>-</v>
          </cell>
          <cell r="AZ143" t="str">
            <v>-</v>
          </cell>
          <cell r="BA143" t="str">
            <v>-</v>
          </cell>
          <cell r="BB143" t="str">
            <v>-</v>
          </cell>
          <cell r="BC143" t="str">
            <v>-</v>
          </cell>
          <cell r="BD143" t="str">
            <v>-</v>
          </cell>
          <cell r="BE143" t="str">
            <v>-</v>
          </cell>
          <cell r="BF143" t="str">
            <v>-</v>
          </cell>
          <cell r="BG143" t="str">
            <v>-</v>
          </cell>
          <cell r="BH143" t="str">
            <v>-</v>
          </cell>
          <cell r="BI143" t="str">
            <v>-</v>
          </cell>
          <cell r="BJ143" t="str">
            <v>-</v>
          </cell>
          <cell r="BK143" t="str">
            <v>-</v>
          </cell>
          <cell r="BL143" t="str">
            <v>-</v>
          </cell>
          <cell r="BM143" t="str">
            <v>-</v>
          </cell>
          <cell r="BN143" t="str">
            <v>-</v>
          </cell>
          <cell r="BO143" t="str">
            <v>-</v>
          </cell>
          <cell r="BP143" t="str">
            <v>-</v>
          </cell>
        </row>
        <row r="144">
          <cell r="A144">
            <v>139</v>
          </cell>
          <cell r="B144" t="str">
            <v>-</v>
          </cell>
          <cell r="C144" t="str">
            <v>-</v>
          </cell>
          <cell r="D144" t="str">
            <v>-</v>
          </cell>
          <cell r="E144" t="str">
            <v>-</v>
          </cell>
          <cell r="F144" t="str">
            <v>-</v>
          </cell>
          <cell r="G144" t="str">
            <v>-</v>
          </cell>
          <cell r="H144" t="str">
            <v>-</v>
          </cell>
          <cell r="I144" t="str">
            <v>-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-</v>
          </cell>
          <cell r="O144" t="str">
            <v>-</v>
          </cell>
          <cell r="P144" t="str">
            <v>-</v>
          </cell>
          <cell r="Q144" t="str">
            <v>-</v>
          </cell>
          <cell r="R144" t="str">
            <v>-</v>
          </cell>
          <cell r="S144" t="str">
            <v>-</v>
          </cell>
          <cell r="T144" t="str">
            <v>-</v>
          </cell>
          <cell r="U144" t="str">
            <v>-</v>
          </cell>
          <cell r="V144" t="str">
            <v>-</v>
          </cell>
          <cell r="W144" t="str">
            <v>-</v>
          </cell>
          <cell r="X144" t="str">
            <v>-</v>
          </cell>
          <cell r="Y144" t="str">
            <v>-</v>
          </cell>
          <cell r="Z144" t="str">
            <v>-</v>
          </cell>
          <cell r="AA144" t="str">
            <v>-</v>
          </cell>
          <cell r="AB144" t="str">
            <v>-</v>
          </cell>
          <cell r="AC144" t="str">
            <v>-</v>
          </cell>
          <cell r="AD144" t="str">
            <v>-</v>
          </cell>
          <cell r="AE144" t="str">
            <v>-</v>
          </cell>
          <cell r="AF144" t="str">
            <v>-</v>
          </cell>
          <cell r="AG144" t="str">
            <v>-</v>
          </cell>
          <cell r="AH144" t="str">
            <v>-</v>
          </cell>
          <cell r="AI144" t="str">
            <v>-</v>
          </cell>
          <cell r="AJ144" t="str">
            <v>-</v>
          </cell>
          <cell r="AK144" t="str">
            <v>-</v>
          </cell>
          <cell r="AL144" t="str">
            <v>-</v>
          </cell>
          <cell r="AM144" t="str">
            <v>-</v>
          </cell>
          <cell r="AN144" t="str">
            <v>-</v>
          </cell>
          <cell r="AO144" t="str">
            <v>-</v>
          </cell>
          <cell r="AP144" t="str">
            <v>-</v>
          </cell>
          <cell r="AQ144" t="str">
            <v>-</v>
          </cell>
          <cell r="AR144" t="str">
            <v>-</v>
          </cell>
          <cell r="AS144" t="str">
            <v>-</v>
          </cell>
          <cell r="AT144" t="str">
            <v>-</v>
          </cell>
          <cell r="AU144" t="str">
            <v>-</v>
          </cell>
          <cell r="AV144" t="str">
            <v>-</v>
          </cell>
          <cell r="AW144" t="str">
            <v>-</v>
          </cell>
          <cell r="AX144" t="str">
            <v>-</v>
          </cell>
          <cell r="AY144" t="str">
            <v>-</v>
          </cell>
          <cell r="AZ144" t="str">
            <v>-</v>
          </cell>
          <cell r="BA144" t="str">
            <v>-</v>
          </cell>
          <cell r="BB144" t="str">
            <v>-</v>
          </cell>
          <cell r="BC144" t="str">
            <v>-</v>
          </cell>
          <cell r="BD144" t="str">
            <v>-</v>
          </cell>
          <cell r="BE144" t="str">
            <v>-</v>
          </cell>
          <cell r="BF144" t="str">
            <v>-</v>
          </cell>
          <cell r="BG144" t="str">
            <v>-</v>
          </cell>
          <cell r="BH144" t="str">
            <v>-</v>
          </cell>
          <cell r="BI144" t="str">
            <v>-</v>
          </cell>
          <cell r="BJ144" t="str">
            <v>-</v>
          </cell>
          <cell r="BK144" t="str">
            <v>-</v>
          </cell>
          <cell r="BL144" t="str">
            <v>-</v>
          </cell>
          <cell r="BM144" t="str">
            <v>-</v>
          </cell>
          <cell r="BN144" t="str">
            <v>-</v>
          </cell>
          <cell r="BO144" t="str">
            <v>-</v>
          </cell>
          <cell r="BP144" t="str">
            <v>-</v>
          </cell>
        </row>
        <row r="145">
          <cell r="A145">
            <v>140</v>
          </cell>
          <cell r="B145" t="str">
            <v>-</v>
          </cell>
          <cell r="C145" t="str">
            <v>-</v>
          </cell>
          <cell r="D145" t="str">
            <v>-</v>
          </cell>
          <cell r="E145" t="str">
            <v>-</v>
          </cell>
          <cell r="F145" t="str">
            <v>-</v>
          </cell>
          <cell r="G145" t="str">
            <v>-</v>
          </cell>
          <cell r="H145" t="str">
            <v>-</v>
          </cell>
          <cell r="I145" t="str">
            <v>-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-</v>
          </cell>
          <cell r="O145" t="str">
            <v>-</v>
          </cell>
          <cell r="P145" t="str">
            <v>-</v>
          </cell>
          <cell r="Q145" t="str">
            <v>-</v>
          </cell>
          <cell r="R145" t="str">
            <v>-</v>
          </cell>
          <cell r="S145" t="str">
            <v>-</v>
          </cell>
          <cell r="T145" t="str">
            <v>-</v>
          </cell>
          <cell r="U145" t="str">
            <v>-</v>
          </cell>
          <cell r="V145" t="str">
            <v>-</v>
          </cell>
          <cell r="W145" t="str">
            <v>-</v>
          </cell>
          <cell r="X145" t="str">
            <v>-</v>
          </cell>
          <cell r="Y145" t="str">
            <v>-</v>
          </cell>
          <cell r="Z145" t="str">
            <v>-</v>
          </cell>
          <cell r="AA145" t="str">
            <v>-</v>
          </cell>
          <cell r="AB145" t="str">
            <v>-</v>
          </cell>
          <cell r="AC145" t="str">
            <v>-</v>
          </cell>
          <cell r="AD145" t="str">
            <v>-</v>
          </cell>
          <cell r="AE145" t="str">
            <v>-</v>
          </cell>
          <cell r="AF145" t="str">
            <v>-</v>
          </cell>
          <cell r="AG145" t="str">
            <v>-</v>
          </cell>
          <cell r="AH145" t="str">
            <v>-</v>
          </cell>
          <cell r="AI145" t="str">
            <v>-</v>
          </cell>
          <cell r="AJ145" t="str">
            <v>-</v>
          </cell>
          <cell r="AK145" t="str">
            <v>-</v>
          </cell>
          <cell r="AL145" t="str">
            <v>-</v>
          </cell>
          <cell r="AM145" t="str">
            <v>-</v>
          </cell>
          <cell r="AN145" t="str">
            <v>-</v>
          </cell>
          <cell r="AO145" t="str">
            <v>-</v>
          </cell>
          <cell r="AP145" t="str">
            <v>-</v>
          </cell>
          <cell r="AQ145" t="str">
            <v>-</v>
          </cell>
          <cell r="AR145" t="str">
            <v>-</v>
          </cell>
          <cell r="AS145" t="str">
            <v>-</v>
          </cell>
          <cell r="AT145" t="str">
            <v>-</v>
          </cell>
          <cell r="AU145" t="str">
            <v>-</v>
          </cell>
          <cell r="AV145" t="str">
            <v>-</v>
          </cell>
          <cell r="AW145" t="str">
            <v>-</v>
          </cell>
          <cell r="AX145" t="str">
            <v>-</v>
          </cell>
          <cell r="AY145" t="str">
            <v>-</v>
          </cell>
          <cell r="AZ145" t="str">
            <v>-</v>
          </cell>
          <cell r="BA145" t="str">
            <v>-</v>
          </cell>
          <cell r="BB145" t="str">
            <v>-</v>
          </cell>
          <cell r="BC145" t="str">
            <v>-</v>
          </cell>
          <cell r="BD145" t="str">
            <v>-</v>
          </cell>
          <cell r="BE145" t="str">
            <v>-</v>
          </cell>
          <cell r="BF145" t="str">
            <v>-</v>
          </cell>
          <cell r="BG145" t="str">
            <v>-</v>
          </cell>
          <cell r="BH145" t="str">
            <v>-</v>
          </cell>
          <cell r="BI145" t="str">
            <v>-</v>
          </cell>
          <cell r="BJ145" t="str">
            <v>-</v>
          </cell>
          <cell r="BK145" t="str">
            <v>-</v>
          </cell>
          <cell r="BL145" t="str">
            <v>-</v>
          </cell>
          <cell r="BM145" t="str">
            <v>-</v>
          </cell>
          <cell r="BN145" t="str">
            <v>-</v>
          </cell>
          <cell r="BO145" t="str">
            <v>-</v>
          </cell>
          <cell r="BP145" t="str">
            <v>-</v>
          </cell>
        </row>
        <row r="146">
          <cell r="A146">
            <v>141</v>
          </cell>
          <cell r="B146" t="str">
            <v>-</v>
          </cell>
          <cell r="C146" t="str">
            <v>-</v>
          </cell>
          <cell r="D146" t="str">
            <v>-</v>
          </cell>
          <cell r="E146" t="str">
            <v>-</v>
          </cell>
          <cell r="F146" t="str">
            <v>-</v>
          </cell>
          <cell r="G146" t="str">
            <v>-</v>
          </cell>
          <cell r="H146" t="str">
            <v>-</v>
          </cell>
          <cell r="I146" t="str">
            <v>-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-</v>
          </cell>
          <cell r="O146" t="str">
            <v>-</v>
          </cell>
          <cell r="P146" t="str">
            <v>-</v>
          </cell>
          <cell r="Q146" t="str">
            <v>-</v>
          </cell>
          <cell r="R146" t="str">
            <v>-</v>
          </cell>
          <cell r="S146" t="str">
            <v>-</v>
          </cell>
          <cell r="T146" t="str">
            <v>-</v>
          </cell>
          <cell r="U146" t="str">
            <v>-</v>
          </cell>
          <cell r="V146" t="str">
            <v>-</v>
          </cell>
          <cell r="W146" t="str">
            <v>-</v>
          </cell>
          <cell r="X146" t="str">
            <v>-</v>
          </cell>
          <cell r="Y146" t="str">
            <v>-</v>
          </cell>
          <cell r="Z146" t="str">
            <v>-</v>
          </cell>
          <cell r="AA146" t="str">
            <v>-</v>
          </cell>
          <cell r="AB146" t="str">
            <v>-</v>
          </cell>
          <cell r="AC146" t="str">
            <v>-</v>
          </cell>
          <cell r="AD146" t="str">
            <v>-</v>
          </cell>
          <cell r="AE146" t="str">
            <v>-</v>
          </cell>
          <cell r="AF146" t="str">
            <v>-</v>
          </cell>
          <cell r="AG146" t="str">
            <v>-</v>
          </cell>
          <cell r="AH146" t="str">
            <v>-</v>
          </cell>
          <cell r="AI146" t="str">
            <v>-</v>
          </cell>
          <cell r="AJ146" t="str">
            <v>-</v>
          </cell>
          <cell r="AK146" t="str">
            <v>-</v>
          </cell>
          <cell r="AL146" t="str">
            <v>-</v>
          </cell>
          <cell r="AM146" t="str">
            <v>-</v>
          </cell>
          <cell r="AN146" t="str">
            <v>-</v>
          </cell>
          <cell r="AO146" t="str">
            <v>-</v>
          </cell>
          <cell r="AP146" t="str">
            <v>-</v>
          </cell>
          <cell r="AQ146" t="str">
            <v>-</v>
          </cell>
          <cell r="AR146" t="str">
            <v>-</v>
          </cell>
          <cell r="AS146" t="str">
            <v>-</v>
          </cell>
          <cell r="AT146" t="str">
            <v>-</v>
          </cell>
          <cell r="AU146" t="str">
            <v>-</v>
          </cell>
          <cell r="AV146" t="str">
            <v>-</v>
          </cell>
          <cell r="AW146" t="str">
            <v>-</v>
          </cell>
          <cell r="AX146" t="str">
            <v>-</v>
          </cell>
          <cell r="AY146" t="str">
            <v>-</v>
          </cell>
          <cell r="AZ146" t="str">
            <v>-</v>
          </cell>
          <cell r="BA146" t="str">
            <v>-</v>
          </cell>
          <cell r="BB146" t="str">
            <v>-</v>
          </cell>
          <cell r="BC146" t="str">
            <v>-</v>
          </cell>
          <cell r="BD146" t="str">
            <v>-</v>
          </cell>
          <cell r="BE146" t="str">
            <v>-</v>
          </cell>
          <cell r="BF146" t="str">
            <v>-</v>
          </cell>
          <cell r="BG146" t="str">
            <v>-</v>
          </cell>
          <cell r="BH146" t="str">
            <v>-</v>
          </cell>
          <cell r="BI146" t="str">
            <v>-</v>
          </cell>
          <cell r="BJ146" t="str">
            <v>-</v>
          </cell>
          <cell r="BK146" t="str">
            <v>-</v>
          </cell>
          <cell r="BL146" t="str">
            <v>-</v>
          </cell>
          <cell r="BM146" t="str">
            <v>-</v>
          </cell>
          <cell r="BN146" t="str">
            <v>-</v>
          </cell>
          <cell r="BO146" t="str">
            <v>-</v>
          </cell>
          <cell r="BP146" t="str">
            <v>-</v>
          </cell>
        </row>
        <row r="147">
          <cell r="A147">
            <v>142</v>
          </cell>
          <cell r="B147" t="str">
            <v>-</v>
          </cell>
          <cell r="C147" t="str">
            <v>-</v>
          </cell>
          <cell r="D147" t="str">
            <v>-</v>
          </cell>
          <cell r="E147" t="str">
            <v>-</v>
          </cell>
          <cell r="F147" t="str">
            <v>-</v>
          </cell>
          <cell r="G147" t="str">
            <v>-</v>
          </cell>
          <cell r="H147" t="str">
            <v>-</v>
          </cell>
          <cell r="I147" t="str">
            <v>-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-</v>
          </cell>
          <cell r="O147" t="str">
            <v>-</v>
          </cell>
          <cell r="P147" t="str">
            <v>-</v>
          </cell>
          <cell r="Q147" t="str">
            <v>-</v>
          </cell>
          <cell r="R147" t="str">
            <v>-</v>
          </cell>
          <cell r="S147" t="str">
            <v>-</v>
          </cell>
          <cell r="T147" t="str">
            <v>-</v>
          </cell>
          <cell r="U147" t="str">
            <v>-</v>
          </cell>
          <cell r="V147" t="str">
            <v>-</v>
          </cell>
          <cell r="W147" t="str">
            <v>-</v>
          </cell>
          <cell r="X147" t="str">
            <v>-</v>
          </cell>
          <cell r="Y147" t="str">
            <v>-</v>
          </cell>
          <cell r="Z147" t="str">
            <v>-</v>
          </cell>
          <cell r="AA147" t="str">
            <v>-</v>
          </cell>
          <cell r="AB147" t="str">
            <v>-</v>
          </cell>
          <cell r="AC147" t="str">
            <v>-</v>
          </cell>
          <cell r="AD147" t="str">
            <v>-</v>
          </cell>
          <cell r="AE147" t="str">
            <v>-</v>
          </cell>
          <cell r="AF147" t="str">
            <v>-</v>
          </cell>
          <cell r="AG147" t="str">
            <v>-</v>
          </cell>
          <cell r="AH147" t="str">
            <v>-</v>
          </cell>
          <cell r="AI147" t="str">
            <v>-</v>
          </cell>
          <cell r="AJ147" t="str">
            <v>-</v>
          </cell>
          <cell r="AK147" t="str">
            <v>-</v>
          </cell>
          <cell r="AL147" t="str">
            <v>-</v>
          </cell>
          <cell r="AM147" t="str">
            <v>-</v>
          </cell>
          <cell r="AN147" t="str">
            <v>-</v>
          </cell>
          <cell r="AO147" t="str">
            <v>-</v>
          </cell>
          <cell r="AP147" t="str">
            <v>-</v>
          </cell>
          <cell r="AQ147" t="str">
            <v>-</v>
          </cell>
          <cell r="AR147" t="str">
            <v>-</v>
          </cell>
          <cell r="AS147" t="str">
            <v>-</v>
          </cell>
          <cell r="AT147" t="str">
            <v>-</v>
          </cell>
          <cell r="AU147" t="str">
            <v>-</v>
          </cell>
          <cell r="AV147" t="str">
            <v>-</v>
          </cell>
          <cell r="AW147" t="str">
            <v>-</v>
          </cell>
          <cell r="AX147" t="str">
            <v>-</v>
          </cell>
          <cell r="AY147" t="str">
            <v>-</v>
          </cell>
          <cell r="AZ147" t="str">
            <v>-</v>
          </cell>
          <cell r="BA147" t="str">
            <v>-</v>
          </cell>
          <cell r="BB147" t="str">
            <v>-</v>
          </cell>
          <cell r="BC147" t="str">
            <v>-</v>
          </cell>
          <cell r="BD147" t="str">
            <v>-</v>
          </cell>
          <cell r="BE147" t="str">
            <v>-</v>
          </cell>
          <cell r="BF147" t="str">
            <v>-</v>
          </cell>
          <cell r="BG147" t="str">
            <v>-</v>
          </cell>
          <cell r="BH147" t="str">
            <v>-</v>
          </cell>
          <cell r="BI147" t="str">
            <v>-</v>
          </cell>
          <cell r="BJ147" t="str">
            <v>-</v>
          </cell>
          <cell r="BK147" t="str">
            <v>-</v>
          </cell>
          <cell r="BL147" t="str">
            <v>-</v>
          </cell>
          <cell r="BM147" t="str">
            <v>-</v>
          </cell>
          <cell r="BN147" t="str">
            <v>-</v>
          </cell>
          <cell r="BO147" t="str">
            <v>-</v>
          </cell>
          <cell r="BP147" t="str">
            <v>-</v>
          </cell>
        </row>
        <row r="148">
          <cell r="A148">
            <v>143</v>
          </cell>
          <cell r="B148" t="str">
            <v>-</v>
          </cell>
          <cell r="C148" t="str">
            <v>-</v>
          </cell>
          <cell r="D148" t="str">
            <v>-</v>
          </cell>
          <cell r="E148" t="str">
            <v>-</v>
          </cell>
          <cell r="F148" t="str">
            <v>-</v>
          </cell>
          <cell r="G148" t="str">
            <v>-</v>
          </cell>
          <cell r="H148" t="str">
            <v>-</v>
          </cell>
          <cell r="I148" t="str">
            <v>-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-</v>
          </cell>
          <cell r="O148" t="str">
            <v>-</v>
          </cell>
          <cell r="P148" t="str">
            <v>-</v>
          </cell>
          <cell r="Q148" t="str">
            <v>-</v>
          </cell>
          <cell r="R148" t="str">
            <v>-</v>
          </cell>
          <cell r="S148" t="str">
            <v>-</v>
          </cell>
          <cell r="T148" t="str">
            <v>-</v>
          </cell>
          <cell r="U148" t="str">
            <v>-</v>
          </cell>
          <cell r="V148" t="str">
            <v>-</v>
          </cell>
          <cell r="W148" t="str">
            <v>-</v>
          </cell>
          <cell r="X148" t="str">
            <v>-</v>
          </cell>
          <cell r="Y148" t="str">
            <v>-</v>
          </cell>
          <cell r="Z148" t="str">
            <v>-</v>
          </cell>
          <cell r="AA148" t="str">
            <v>-</v>
          </cell>
          <cell r="AB148" t="str">
            <v>-</v>
          </cell>
          <cell r="AC148" t="str">
            <v>-</v>
          </cell>
          <cell r="AD148" t="str">
            <v>-</v>
          </cell>
          <cell r="AE148" t="str">
            <v>-</v>
          </cell>
          <cell r="AF148" t="str">
            <v>-</v>
          </cell>
          <cell r="AG148" t="str">
            <v>-</v>
          </cell>
          <cell r="AH148" t="str">
            <v>-</v>
          </cell>
          <cell r="AI148" t="str">
            <v>-</v>
          </cell>
          <cell r="AJ148" t="str">
            <v>-</v>
          </cell>
          <cell r="AK148" t="str">
            <v>-</v>
          </cell>
          <cell r="AL148" t="str">
            <v>-</v>
          </cell>
          <cell r="AM148" t="str">
            <v>-</v>
          </cell>
          <cell r="AN148" t="str">
            <v>-</v>
          </cell>
          <cell r="AO148" t="str">
            <v>-</v>
          </cell>
          <cell r="AP148" t="str">
            <v>-</v>
          </cell>
          <cell r="AQ148" t="str">
            <v>-</v>
          </cell>
          <cell r="AR148" t="str">
            <v>-</v>
          </cell>
          <cell r="AS148" t="str">
            <v>-</v>
          </cell>
          <cell r="AT148" t="str">
            <v>-</v>
          </cell>
          <cell r="AU148" t="str">
            <v>-</v>
          </cell>
          <cell r="AV148" t="str">
            <v>-</v>
          </cell>
          <cell r="AW148" t="str">
            <v>-</v>
          </cell>
          <cell r="AX148" t="str">
            <v>-</v>
          </cell>
          <cell r="AY148" t="str">
            <v>-</v>
          </cell>
          <cell r="AZ148" t="str">
            <v>-</v>
          </cell>
          <cell r="BA148" t="str">
            <v>-</v>
          </cell>
          <cell r="BB148" t="str">
            <v>-</v>
          </cell>
          <cell r="BC148" t="str">
            <v>-</v>
          </cell>
          <cell r="BD148" t="str">
            <v>-</v>
          </cell>
          <cell r="BE148" t="str">
            <v>-</v>
          </cell>
          <cell r="BF148" t="str">
            <v>-</v>
          </cell>
          <cell r="BG148" t="str">
            <v>-</v>
          </cell>
          <cell r="BH148" t="str">
            <v>-</v>
          </cell>
          <cell r="BI148" t="str">
            <v>-</v>
          </cell>
          <cell r="BJ148" t="str">
            <v>-</v>
          </cell>
          <cell r="BK148" t="str">
            <v>-</v>
          </cell>
          <cell r="BL148" t="str">
            <v>-</v>
          </cell>
          <cell r="BM148" t="str">
            <v>-</v>
          </cell>
          <cell r="BN148" t="str">
            <v>-</v>
          </cell>
          <cell r="BO148" t="str">
            <v>-</v>
          </cell>
          <cell r="BP148" t="str">
            <v>-</v>
          </cell>
        </row>
        <row r="149">
          <cell r="A149">
            <v>144</v>
          </cell>
          <cell r="B149" t="str">
            <v>-</v>
          </cell>
          <cell r="C149" t="str">
            <v>-</v>
          </cell>
          <cell r="D149" t="str">
            <v>-</v>
          </cell>
          <cell r="E149" t="str">
            <v>-</v>
          </cell>
          <cell r="F149" t="str">
            <v>-</v>
          </cell>
          <cell r="G149" t="str">
            <v>-</v>
          </cell>
          <cell r="H149" t="str">
            <v>-</v>
          </cell>
          <cell r="I149" t="str">
            <v>-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-</v>
          </cell>
          <cell r="O149" t="str">
            <v>-</v>
          </cell>
          <cell r="P149" t="str">
            <v>-</v>
          </cell>
          <cell r="Q149" t="str">
            <v>-</v>
          </cell>
          <cell r="R149" t="str">
            <v>-</v>
          </cell>
          <cell r="S149" t="str">
            <v>-</v>
          </cell>
          <cell r="T149" t="str">
            <v>-</v>
          </cell>
          <cell r="U149" t="str">
            <v>-</v>
          </cell>
          <cell r="V149" t="str">
            <v>-</v>
          </cell>
          <cell r="W149" t="str">
            <v>-</v>
          </cell>
          <cell r="X149" t="str">
            <v>-</v>
          </cell>
          <cell r="Y149" t="str">
            <v>-</v>
          </cell>
          <cell r="Z149" t="str">
            <v>-</v>
          </cell>
          <cell r="AA149" t="str">
            <v>-</v>
          </cell>
          <cell r="AB149" t="str">
            <v>-</v>
          </cell>
          <cell r="AC149" t="str">
            <v>-</v>
          </cell>
          <cell r="AD149" t="str">
            <v>-</v>
          </cell>
          <cell r="AE149" t="str">
            <v>-</v>
          </cell>
          <cell r="AF149" t="str">
            <v>-</v>
          </cell>
          <cell r="AG149" t="str">
            <v>-</v>
          </cell>
          <cell r="AH149" t="str">
            <v>-</v>
          </cell>
          <cell r="AI149" t="str">
            <v>-</v>
          </cell>
          <cell r="AJ149" t="str">
            <v>-</v>
          </cell>
          <cell r="AK149" t="str">
            <v>-</v>
          </cell>
          <cell r="AL149" t="str">
            <v>-</v>
          </cell>
          <cell r="AM149" t="str">
            <v>-</v>
          </cell>
          <cell r="AN149" t="str">
            <v>-</v>
          </cell>
          <cell r="AO149" t="str">
            <v>-</v>
          </cell>
          <cell r="AP149" t="str">
            <v>-</v>
          </cell>
          <cell r="AQ149" t="str">
            <v>-</v>
          </cell>
          <cell r="AR149" t="str">
            <v>-</v>
          </cell>
          <cell r="AS149" t="str">
            <v>-</v>
          </cell>
          <cell r="AT149" t="str">
            <v>-</v>
          </cell>
          <cell r="AU149" t="str">
            <v>-</v>
          </cell>
          <cell r="AV149" t="str">
            <v>-</v>
          </cell>
          <cell r="AW149" t="str">
            <v>-</v>
          </cell>
          <cell r="AX149" t="str">
            <v>-</v>
          </cell>
          <cell r="AY149" t="str">
            <v>-</v>
          </cell>
          <cell r="AZ149" t="str">
            <v>-</v>
          </cell>
          <cell r="BA149" t="str">
            <v>-</v>
          </cell>
          <cell r="BB149" t="str">
            <v>-</v>
          </cell>
          <cell r="BC149" t="str">
            <v>-</v>
          </cell>
          <cell r="BD149" t="str">
            <v>-</v>
          </cell>
          <cell r="BE149" t="str">
            <v>-</v>
          </cell>
          <cell r="BF149" t="str">
            <v>-</v>
          </cell>
          <cell r="BG149" t="str">
            <v>-</v>
          </cell>
          <cell r="BH149" t="str">
            <v>-</v>
          </cell>
          <cell r="BI149" t="str">
            <v>-</v>
          </cell>
          <cell r="BJ149" t="str">
            <v>-</v>
          </cell>
          <cell r="BK149" t="str">
            <v>-</v>
          </cell>
          <cell r="BL149" t="str">
            <v>-</v>
          </cell>
          <cell r="BM149" t="str">
            <v>-</v>
          </cell>
          <cell r="BN149" t="str">
            <v>-</v>
          </cell>
          <cell r="BO149" t="str">
            <v>-</v>
          </cell>
          <cell r="BP149" t="str">
            <v>-</v>
          </cell>
        </row>
        <row r="150">
          <cell r="A150">
            <v>145</v>
          </cell>
          <cell r="B150" t="str">
            <v>-</v>
          </cell>
          <cell r="C150" t="str">
            <v>-</v>
          </cell>
          <cell r="D150" t="str">
            <v>-</v>
          </cell>
          <cell r="E150" t="str">
            <v>-</v>
          </cell>
          <cell r="F150" t="str">
            <v>-</v>
          </cell>
          <cell r="G150" t="str">
            <v>-</v>
          </cell>
          <cell r="H150" t="str">
            <v>-</v>
          </cell>
          <cell r="I150" t="str">
            <v>-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 t="str">
            <v>-</v>
          </cell>
          <cell r="O150" t="str">
            <v>-</v>
          </cell>
          <cell r="P150" t="str">
            <v>-</v>
          </cell>
          <cell r="Q150" t="str">
            <v>-</v>
          </cell>
          <cell r="R150" t="str">
            <v>-</v>
          </cell>
          <cell r="S150" t="str">
            <v>-</v>
          </cell>
          <cell r="T150" t="str">
            <v>-</v>
          </cell>
          <cell r="U150" t="str">
            <v>-</v>
          </cell>
          <cell r="V150" t="str">
            <v>-</v>
          </cell>
          <cell r="W150" t="str">
            <v>-</v>
          </cell>
          <cell r="X150" t="str">
            <v>-</v>
          </cell>
          <cell r="Y150" t="str">
            <v>-</v>
          </cell>
          <cell r="Z150" t="str">
            <v>-</v>
          </cell>
          <cell r="AA150" t="str">
            <v>-</v>
          </cell>
          <cell r="AB150" t="str">
            <v>-</v>
          </cell>
          <cell r="AC150" t="str">
            <v>-</v>
          </cell>
          <cell r="AD150" t="str">
            <v>-</v>
          </cell>
          <cell r="AE150" t="str">
            <v>-</v>
          </cell>
          <cell r="AF150" t="str">
            <v>-</v>
          </cell>
          <cell r="AG150" t="str">
            <v>-</v>
          </cell>
          <cell r="AH150" t="str">
            <v>-</v>
          </cell>
          <cell r="AI150" t="str">
            <v>-</v>
          </cell>
          <cell r="AJ150" t="str">
            <v>-</v>
          </cell>
          <cell r="AK150" t="str">
            <v>-</v>
          </cell>
          <cell r="AL150" t="str">
            <v>-</v>
          </cell>
          <cell r="AM150" t="str">
            <v>-</v>
          </cell>
          <cell r="AN150" t="str">
            <v>-</v>
          </cell>
          <cell r="AO150" t="str">
            <v>-</v>
          </cell>
          <cell r="AP150" t="str">
            <v>-</v>
          </cell>
          <cell r="AQ150" t="str">
            <v>-</v>
          </cell>
          <cell r="AR150" t="str">
            <v>-</v>
          </cell>
          <cell r="AS150" t="str">
            <v>-</v>
          </cell>
          <cell r="AT150" t="str">
            <v>-</v>
          </cell>
          <cell r="AU150" t="str">
            <v>-</v>
          </cell>
          <cell r="AV150" t="str">
            <v>-</v>
          </cell>
          <cell r="AW150" t="str">
            <v>-</v>
          </cell>
          <cell r="AX150" t="str">
            <v>-</v>
          </cell>
          <cell r="AY150" t="str">
            <v>-</v>
          </cell>
          <cell r="AZ150" t="str">
            <v>-</v>
          </cell>
          <cell r="BA150" t="str">
            <v>-</v>
          </cell>
          <cell r="BB150" t="str">
            <v>-</v>
          </cell>
          <cell r="BC150" t="str">
            <v>-</v>
          </cell>
          <cell r="BD150" t="str">
            <v>-</v>
          </cell>
          <cell r="BE150" t="str">
            <v>-</v>
          </cell>
          <cell r="BF150" t="str">
            <v>-</v>
          </cell>
          <cell r="BG150" t="str">
            <v>-</v>
          </cell>
          <cell r="BH150" t="str">
            <v>-</v>
          </cell>
          <cell r="BI150" t="str">
            <v>-</v>
          </cell>
          <cell r="BJ150" t="str">
            <v>-</v>
          </cell>
          <cell r="BK150" t="str">
            <v>-</v>
          </cell>
          <cell r="BL150" t="str">
            <v>-</v>
          </cell>
          <cell r="BM150" t="str">
            <v>-</v>
          </cell>
          <cell r="BN150" t="str">
            <v>-</v>
          </cell>
          <cell r="BO150" t="str">
            <v>-</v>
          </cell>
          <cell r="BP150" t="str">
            <v>-</v>
          </cell>
        </row>
        <row r="151">
          <cell r="A151">
            <v>146</v>
          </cell>
          <cell r="B151" t="str">
            <v>-</v>
          </cell>
          <cell r="C151" t="str">
            <v>-</v>
          </cell>
          <cell r="D151" t="str">
            <v>-</v>
          </cell>
          <cell r="E151" t="str">
            <v>-</v>
          </cell>
          <cell r="F151" t="str">
            <v>-</v>
          </cell>
          <cell r="G151" t="str">
            <v>-</v>
          </cell>
          <cell r="H151" t="str">
            <v>-</v>
          </cell>
          <cell r="I151" t="str">
            <v>-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N151" t="str">
            <v>-</v>
          </cell>
          <cell r="O151" t="str">
            <v>-</v>
          </cell>
          <cell r="P151" t="str">
            <v>-</v>
          </cell>
          <cell r="Q151" t="str">
            <v>-</v>
          </cell>
          <cell r="R151" t="str">
            <v>-</v>
          </cell>
          <cell r="S151" t="str">
            <v>-</v>
          </cell>
          <cell r="T151" t="str">
            <v>-</v>
          </cell>
          <cell r="U151" t="str">
            <v>-</v>
          </cell>
          <cell r="V151" t="str">
            <v>-</v>
          </cell>
          <cell r="W151" t="str">
            <v>-</v>
          </cell>
          <cell r="X151" t="str">
            <v>-</v>
          </cell>
          <cell r="Y151" t="str">
            <v>-</v>
          </cell>
          <cell r="Z151" t="str">
            <v>-</v>
          </cell>
          <cell r="AA151" t="str">
            <v>-</v>
          </cell>
          <cell r="AB151" t="str">
            <v>-</v>
          </cell>
          <cell r="AC151" t="str">
            <v>-</v>
          </cell>
          <cell r="AD151" t="str">
            <v>-</v>
          </cell>
          <cell r="AE151" t="str">
            <v>-</v>
          </cell>
          <cell r="AF151" t="str">
            <v>-</v>
          </cell>
          <cell r="AG151" t="str">
            <v>-</v>
          </cell>
          <cell r="AH151" t="str">
            <v>-</v>
          </cell>
          <cell r="AI151" t="str">
            <v>-</v>
          </cell>
          <cell r="AJ151" t="str">
            <v>-</v>
          </cell>
          <cell r="AK151" t="str">
            <v>-</v>
          </cell>
          <cell r="AL151" t="str">
            <v>-</v>
          </cell>
          <cell r="AM151" t="str">
            <v>-</v>
          </cell>
          <cell r="AN151" t="str">
            <v>-</v>
          </cell>
          <cell r="AO151" t="str">
            <v>-</v>
          </cell>
          <cell r="AP151" t="str">
            <v>-</v>
          </cell>
          <cell r="AQ151" t="str">
            <v>-</v>
          </cell>
          <cell r="AR151" t="str">
            <v>-</v>
          </cell>
          <cell r="AS151" t="str">
            <v>-</v>
          </cell>
          <cell r="AT151" t="str">
            <v>-</v>
          </cell>
          <cell r="AU151" t="str">
            <v>-</v>
          </cell>
          <cell r="AV151" t="str">
            <v>-</v>
          </cell>
          <cell r="AW151" t="str">
            <v>-</v>
          </cell>
          <cell r="AX151" t="str">
            <v>-</v>
          </cell>
          <cell r="AY151" t="str">
            <v>-</v>
          </cell>
          <cell r="AZ151" t="str">
            <v>-</v>
          </cell>
          <cell r="BA151" t="str">
            <v>-</v>
          </cell>
          <cell r="BB151" t="str">
            <v>-</v>
          </cell>
          <cell r="BC151" t="str">
            <v>-</v>
          </cell>
          <cell r="BD151" t="str">
            <v>-</v>
          </cell>
          <cell r="BE151" t="str">
            <v>-</v>
          </cell>
          <cell r="BF151" t="str">
            <v>-</v>
          </cell>
          <cell r="BG151" t="str">
            <v>-</v>
          </cell>
          <cell r="BH151" t="str">
            <v>-</v>
          </cell>
          <cell r="BI151" t="str">
            <v>-</v>
          </cell>
          <cell r="BJ151" t="str">
            <v>-</v>
          </cell>
          <cell r="BK151" t="str">
            <v>-</v>
          </cell>
          <cell r="BL151" t="str">
            <v>-</v>
          </cell>
          <cell r="BM151" t="str">
            <v>-</v>
          </cell>
          <cell r="BN151" t="str">
            <v>-</v>
          </cell>
          <cell r="BO151" t="str">
            <v>-</v>
          </cell>
          <cell r="BP151" t="str">
            <v>-</v>
          </cell>
        </row>
        <row r="152">
          <cell r="A152">
            <v>147</v>
          </cell>
          <cell r="B152" t="str">
            <v>-</v>
          </cell>
          <cell r="C152" t="str">
            <v>-</v>
          </cell>
          <cell r="D152" t="str">
            <v>-</v>
          </cell>
          <cell r="E152" t="str">
            <v>-</v>
          </cell>
          <cell r="F152" t="str">
            <v>-</v>
          </cell>
          <cell r="G152" t="str">
            <v>-</v>
          </cell>
          <cell r="H152" t="str">
            <v>-</v>
          </cell>
          <cell r="I152" t="str">
            <v>-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 t="str">
            <v>-</v>
          </cell>
          <cell r="O152" t="str">
            <v>-</v>
          </cell>
          <cell r="P152" t="str">
            <v>-</v>
          </cell>
          <cell r="Q152" t="str">
            <v>-</v>
          </cell>
          <cell r="R152" t="str">
            <v>-</v>
          </cell>
          <cell r="S152" t="str">
            <v>-</v>
          </cell>
          <cell r="T152" t="str">
            <v>-</v>
          </cell>
          <cell r="U152" t="str">
            <v>-</v>
          </cell>
          <cell r="V152" t="str">
            <v>-</v>
          </cell>
          <cell r="W152" t="str">
            <v>-</v>
          </cell>
          <cell r="X152" t="str">
            <v>-</v>
          </cell>
          <cell r="Y152" t="str">
            <v>-</v>
          </cell>
          <cell r="Z152" t="str">
            <v>-</v>
          </cell>
          <cell r="AA152" t="str">
            <v>-</v>
          </cell>
          <cell r="AB152" t="str">
            <v>-</v>
          </cell>
          <cell r="AC152" t="str">
            <v>-</v>
          </cell>
          <cell r="AD152" t="str">
            <v>-</v>
          </cell>
          <cell r="AE152" t="str">
            <v>-</v>
          </cell>
          <cell r="AF152" t="str">
            <v>-</v>
          </cell>
          <cell r="AG152" t="str">
            <v>-</v>
          </cell>
          <cell r="AH152" t="str">
            <v>-</v>
          </cell>
          <cell r="AI152" t="str">
            <v>-</v>
          </cell>
          <cell r="AJ152" t="str">
            <v>-</v>
          </cell>
          <cell r="AK152" t="str">
            <v>-</v>
          </cell>
          <cell r="AL152" t="str">
            <v>-</v>
          </cell>
          <cell r="AM152" t="str">
            <v>-</v>
          </cell>
          <cell r="AN152" t="str">
            <v>-</v>
          </cell>
          <cell r="AO152" t="str">
            <v>-</v>
          </cell>
          <cell r="AP152" t="str">
            <v>-</v>
          </cell>
          <cell r="AQ152" t="str">
            <v>-</v>
          </cell>
          <cell r="AR152" t="str">
            <v>-</v>
          </cell>
          <cell r="AS152" t="str">
            <v>-</v>
          </cell>
          <cell r="AT152" t="str">
            <v>-</v>
          </cell>
          <cell r="AU152" t="str">
            <v>-</v>
          </cell>
          <cell r="AV152" t="str">
            <v>-</v>
          </cell>
          <cell r="AW152" t="str">
            <v>-</v>
          </cell>
          <cell r="AX152" t="str">
            <v>-</v>
          </cell>
          <cell r="AY152" t="str">
            <v>-</v>
          </cell>
          <cell r="AZ152" t="str">
            <v>-</v>
          </cell>
          <cell r="BA152" t="str">
            <v>-</v>
          </cell>
          <cell r="BB152" t="str">
            <v>-</v>
          </cell>
          <cell r="BC152" t="str">
            <v>-</v>
          </cell>
          <cell r="BD152" t="str">
            <v>-</v>
          </cell>
          <cell r="BE152" t="str">
            <v>-</v>
          </cell>
          <cell r="BF152" t="str">
            <v>-</v>
          </cell>
          <cell r="BG152" t="str">
            <v>-</v>
          </cell>
          <cell r="BH152" t="str">
            <v>-</v>
          </cell>
          <cell r="BI152" t="str">
            <v>-</v>
          </cell>
          <cell r="BJ152" t="str">
            <v>-</v>
          </cell>
          <cell r="BK152" t="str">
            <v>-</v>
          </cell>
          <cell r="BL152" t="str">
            <v>-</v>
          </cell>
          <cell r="BM152" t="str">
            <v>-</v>
          </cell>
          <cell r="BN152" t="str">
            <v>-</v>
          </cell>
          <cell r="BO152" t="str">
            <v>-</v>
          </cell>
          <cell r="BP152" t="str">
            <v>-</v>
          </cell>
        </row>
        <row r="153">
          <cell r="A153">
            <v>148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-</v>
          </cell>
          <cell r="I153" t="str">
            <v>-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 t="str">
            <v>-</v>
          </cell>
          <cell r="O153" t="str">
            <v>-</v>
          </cell>
          <cell r="P153" t="str">
            <v>-</v>
          </cell>
          <cell r="Q153" t="str">
            <v>-</v>
          </cell>
          <cell r="R153" t="str">
            <v>-</v>
          </cell>
          <cell r="S153" t="str">
            <v>-</v>
          </cell>
          <cell r="T153" t="str">
            <v>-</v>
          </cell>
          <cell r="U153" t="str">
            <v>-</v>
          </cell>
          <cell r="V153" t="str">
            <v>-</v>
          </cell>
          <cell r="W153" t="str">
            <v>-</v>
          </cell>
          <cell r="X153" t="str">
            <v>-</v>
          </cell>
          <cell r="Y153" t="str">
            <v>-</v>
          </cell>
          <cell r="Z153" t="str">
            <v>-</v>
          </cell>
          <cell r="AA153" t="str">
            <v>-</v>
          </cell>
          <cell r="AB153" t="str">
            <v>-</v>
          </cell>
          <cell r="AC153" t="str">
            <v>-</v>
          </cell>
          <cell r="AD153" t="str">
            <v>-</v>
          </cell>
          <cell r="AE153" t="str">
            <v>-</v>
          </cell>
          <cell r="AF153" t="str">
            <v>-</v>
          </cell>
          <cell r="AG153" t="str">
            <v>-</v>
          </cell>
          <cell r="AH153" t="str">
            <v>-</v>
          </cell>
          <cell r="AI153" t="str">
            <v>-</v>
          </cell>
          <cell r="AJ153" t="str">
            <v>-</v>
          </cell>
          <cell r="AK153" t="str">
            <v>-</v>
          </cell>
          <cell r="AL153" t="str">
            <v>-</v>
          </cell>
          <cell r="AM153" t="str">
            <v>-</v>
          </cell>
          <cell r="AN153" t="str">
            <v>-</v>
          </cell>
          <cell r="AO153" t="str">
            <v>-</v>
          </cell>
          <cell r="AP153" t="str">
            <v>-</v>
          </cell>
          <cell r="AQ153" t="str">
            <v>-</v>
          </cell>
          <cell r="AR153" t="str">
            <v>-</v>
          </cell>
          <cell r="AS153" t="str">
            <v>-</v>
          </cell>
          <cell r="AT153" t="str">
            <v>-</v>
          </cell>
          <cell r="AU153" t="str">
            <v>-</v>
          </cell>
          <cell r="AV153" t="str">
            <v>-</v>
          </cell>
          <cell r="AW153" t="str">
            <v>-</v>
          </cell>
          <cell r="AX153" t="str">
            <v>-</v>
          </cell>
          <cell r="AY153" t="str">
            <v>-</v>
          </cell>
          <cell r="AZ153" t="str">
            <v>-</v>
          </cell>
          <cell r="BA153" t="str">
            <v>-</v>
          </cell>
          <cell r="BB153" t="str">
            <v>-</v>
          </cell>
          <cell r="BC153" t="str">
            <v>-</v>
          </cell>
          <cell r="BD153" t="str">
            <v>-</v>
          </cell>
          <cell r="BE153" t="str">
            <v>-</v>
          </cell>
          <cell r="BF153" t="str">
            <v>-</v>
          </cell>
          <cell r="BG153" t="str">
            <v>-</v>
          </cell>
          <cell r="BH153" t="str">
            <v>-</v>
          </cell>
          <cell r="BI153" t="str">
            <v>-</v>
          </cell>
          <cell r="BJ153" t="str">
            <v>-</v>
          </cell>
          <cell r="BK153" t="str">
            <v>-</v>
          </cell>
          <cell r="BL153" t="str">
            <v>-</v>
          </cell>
          <cell r="BM153" t="str">
            <v>-</v>
          </cell>
          <cell r="BN153" t="str">
            <v>-</v>
          </cell>
          <cell r="BO153" t="str">
            <v>-</v>
          </cell>
          <cell r="BP153" t="str">
            <v>-</v>
          </cell>
        </row>
        <row r="154">
          <cell r="A154">
            <v>149</v>
          </cell>
          <cell r="B154" t="str">
            <v>-</v>
          </cell>
          <cell r="C154" t="str">
            <v>-</v>
          </cell>
          <cell r="D154" t="str">
            <v>-</v>
          </cell>
          <cell r="E154" t="str">
            <v>-</v>
          </cell>
          <cell r="F154" t="str">
            <v>-</v>
          </cell>
          <cell r="G154" t="str">
            <v>-</v>
          </cell>
          <cell r="H154" t="str">
            <v>-</v>
          </cell>
          <cell r="I154" t="str">
            <v>-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P154" t="str">
            <v>-</v>
          </cell>
          <cell r="Q154" t="str">
            <v>-</v>
          </cell>
          <cell r="R154" t="str">
            <v>-</v>
          </cell>
          <cell r="S154" t="str">
            <v>-</v>
          </cell>
          <cell r="T154" t="str">
            <v>-</v>
          </cell>
          <cell r="U154" t="str">
            <v>-</v>
          </cell>
          <cell r="V154" t="str">
            <v>-</v>
          </cell>
          <cell r="W154" t="str">
            <v>-</v>
          </cell>
          <cell r="X154" t="str">
            <v>-</v>
          </cell>
          <cell r="Y154" t="str">
            <v>-</v>
          </cell>
          <cell r="Z154" t="str">
            <v>-</v>
          </cell>
          <cell r="AA154" t="str">
            <v>-</v>
          </cell>
          <cell r="AB154" t="str">
            <v>-</v>
          </cell>
          <cell r="AC154" t="str">
            <v>-</v>
          </cell>
          <cell r="AD154" t="str">
            <v>-</v>
          </cell>
          <cell r="AE154" t="str">
            <v>-</v>
          </cell>
          <cell r="AF154" t="str">
            <v>-</v>
          </cell>
          <cell r="AG154" t="str">
            <v>-</v>
          </cell>
          <cell r="AH154" t="str">
            <v>-</v>
          </cell>
          <cell r="AI154" t="str">
            <v>-</v>
          </cell>
          <cell r="AJ154" t="str">
            <v>-</v>
          </cell>
          <cell r="AK154" t="str">
            <v>-</v>
          </cell>
          <cell r="AL154" t="str">
            <v>-</v>
          </cell>
          <cell r="AM154" t="str">
            <v>-</v>
          </cell>
          <cell r="AN154" t="str">
            <v>-</v>
          </cell>
          <cell r="AO154" t="str">
            <v>-</v>
          </cell>
          <cell r="AP154" t="str">
            <v>-</v>
          </cell>
          <cell r="AQ154" t="str">
            <v>-</v>
          </cell>
          <cell r="AR154" t="str">
            <v>-</v>
          </cell>
          <cell r="AS154" t="str">
            <v>-</v>
          </cell>
          <cell r="AT154" t="str">
            <v>-</v>
          </cell>
          <cell r="AU154" t="str">
            <v>-</v>
          </cell>
          <cell r="AV154" t="str">
            <v>-</v>
          </cell>
          <cell r="AW154" t="str">
            <v>-</v>
          </cell>
          <cell r="AX154" t="str">
            <v>-</v>
          </cell>
          <cell r="AY154" t="str">
            <v>-</v>
          </cell>
          <cell r="AZ154" t="str">
            <v>-</v>
          </cell>
          <cell r="BA154" t="str">
            <v>-</v>
          </cell>
          <cell r="BB154" t="str">
            <v>-</v>
          </cell>
          <cell r="BC154" t="str">
            <v>-</v>
          </cell>
          <cell r="BD154" t="str">
            <v>-</v>
          </cell>
          <cell r="BE154" t="str">
            <v>-</v>
          </cell>
          <cell r="BF154" t="str">
            <v>-</v>
          </cell>
          <cell r="BG154" t="str">
            <v>-</v>
          </cell>
          <cell r="BH154" t="str">
            <v>-</v>
          </cell>
          <cell r="BI154" t="str">
            <v>-</v>
          </cell>
          <cell r="BJ154" t="str">
            <v>-</v>
          </cell>
          <cell r="BK154" t="str">
            <v>-</v>
          </cell>
          <cell r="BL154" t="str">
            <v>-</v>
          </cell>
          <cell r="BM154" t="str">
            <v>-</v>
          </cell>
          <cell r="BN154" t="str">
            <v>-</v>
          </cell>
          <cell r="BO154" t="str">
            <v>-</v>
          </cell>
          <cell r="BP154" t="str">
            <v>-</v>
          </cell>
        </row>
        <row r="155">
          <cell r="A155">
            <v>150</v>
          </cell>
          <cell r="B155" t="str">
            <v>-</v>
          </cell>
          <cell r="C155" t="str">
            <v>-</v>
          </cell>
          <cell r="D155" t="str">
            <v>-</v>
          </cell>
          <cell r="E155" t="str">
            <v>-</v>
          </cell>
          <cell r="F155" t="str">
            <v>-</v>
          </cell>
          <cell r="G155" t="str">
            <v>-</v>
          </cell>
          <cell r="H155" t="str">
            <v>-</v>
          </cell>
          <cell r="I155" t="str">
            <v>-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P155" t="str">
            <v>-</v>
          </cell>
          <cell r="Q155" t="str">
            <v>-</v>
          </cell>
          <cell r="R155" t="str">
            <v>-</v>
          </cell>
          <cell r="S155" t="str">
            <v>-</v>
          </cell>
          <cell r="T155" t="str">
            <v>-</v>
          </cell>
          <cell r="U155" t="str">
            <v>-</v>
          </cell>
          <cell r="V155" t="str">
            <v>-</v>
          </cell>
          <cell r="W155" t="str">
            <v>-</v>
          </cell>
          <cell r="X155" t="str">
            <v>-</v>
          </cell>
          <cell r="Y155" t="str">
            <v>-</v>
          </cell>
          <cell r="Z155" t="str">
            <v>-</v>
          </cell>
          <cell r="AA155" t="str">
            <v>-</v>
          </cell>
          <cell r="AB155" t="str">
            <v>-</v>
          </cell>
          <cell r="AC155" t="str">
            <v>-</v>
          </cell>
          <cell r="AD155" t="str">
            <v>-</v>
          </cell>
          <cell r="AE155" t="str">
            <v>-</v>
          </cell>
          <cell r="AF155" t="str">
            <v>-</v>
          </cell>
          <cell r="AG155" t="str">
            <v>-</v>
          </cell>
          <cell r="AH155" t="str">
            <v>-</v>
          </cell>
          <cell r="AI155" t="str">
            <v>-</v>
          </cell>
          <cell r="AJ155" t="str">
            <v>-</v>
          </cell>
          <cell r="AK155" t="str">
            <v>-</v>
          </cell>
          <cell r="AL155" t="str">
            <v>-</v>
          </cell>
          <cell r="AM155" t="str">
            <v>-</v>
          </cell>
          <cell r="AN155" t="str">
            <v>-</v>
          </cell>
          <cell r="AO155" t="str">
            <v>-</v>
          </cell>
          <cell r="AP155" t="str">
            <v>-</v>
          </cell>
          <cell r="AQ155" t="str">
            <v>-</v>
          </cell>
          <cell r="AR155" t="str">
            <v>-</v>
          </cell>
          <cell r="AS155" t="str">
            <v>-</v>
          </cell>
          <cell r="AT155" t="str">
            <v>-</v>
          </cell>
          <cell r="AU155" t="str">
            <v>-</v>
          </cell>
          <cell r="AV155" t="str">
            <v>-</v>
          </cell>
          <cell r="AW155" t="str">
            <v>-</v>
          </cell>
          <cell r="AX155" t="str">
            <v>-</v>
          </cell>
          <cell r="AY155" t="str">
            <v>-</v>
          </cell>
          <cell r="AZ155" t="str">
            <v>-</v>
          </cell>
          <cell r="BA155" t="str">
            <v>-</v>
          </cell>
          <cell r="BB155" t="str">
            <v>-</v>
          </cell>
          <cell r="BC155" t="str">
            <v>-</v>
          </cell>
          <cell r="BD155" t="str">
            <v>-</v>
          </cell>
          <cell r="BE155" t="str">
            <v>-</v>
          </cell>
          <cell r="BF155" t="str">
            <v>-</v>
          </cell>
          <cell r="BG155" t="str">
            <v>-</v>
          </cell>
          <cell r="BH155" t="str">
            <v>-</v>
          </cell>
          <cell r="BI155" t="str">
            <v>-</v>
          </cell>
          <cell r="BJ155" t="str">
            <v>-</v>
          </cell>
          <cell r="BK155" t="str">
            <v>-</v>
          </cell>
          <cell r="BL155" t="str">
            <v>-</v>
          </cell>
          <cell r="BM155" t="str">
            <v>-</v>
          </cell>
          <cell r="BN155" t="str">
            <v>-</v>
          </cell>
          <cell r="BO155" t="str">
            <v>-</v>
          </cell>
          <cell r="BP155" t="str">
            <v>-</v>
          </cell>
        </row>
        <row r="156">
          <cell r="A156">
            <v>151</v>
          </cell>
          <cell r="B156" t="str">
            <v>-</v>
          </cell>
          <cell r="C156" t="str">
            <v>-</v>
          </cell>
          <cell r="D156" t="str">
            <v>-</v>
          </cell>
          <cell r="E156" t="str">
            <v>-</v>
          </cell>
          <cell r="F156" t="str">
            <v>-</v>
          </cell>
          <cell r="G156" t="str">
            <v>-</v>
          </cell>
          <cell r="H156" t="str">
            <v>-</v>
          </cell>
          <cell r="I156" t="str">
            <v>-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-</v>
          </cell>
          <cell r="O156" t="str">
            <v>-</v>
          </cell>
          <cell r="P156" t="str">
            <v>-</v>
          </cell>
          <cell r="Q156" t="str">
            <v>-</v>
          </cell>
          <cell r="R156" t="str">
            <v>-</v>
          </cell>
          <cell r="S156" t="str">
            <v>-</v>
          </cell>
          <cell r="T156" t="str">
            <v>-</v>
          </cell>
          <cell r="U156" t="str">
            <v>-</v>
          </cell>
          <cell r="V156" t="str">
            <v>-</v>
          </cell>
          <cell r="W156" t="str">
            <v>-</v>
          </cell>
          <cell r="X156" t="str">
            <v>-</v>
          </cell>
          <cell r="Y156" t="str">
            <v>-</v>
          </cell>
          <cell r="Z156" t="str">
            <v>-</v>
          </cell>
          <cell r="AA156" t="str">
            <v>-</v>
          </cell>
          <cell r="AB156" t="str">
            <v>-</v>
          </cell>
          <cell r="AC156" t="str">
            <v>-</v>
          </cell>
          <cell r="AD156" t="str">
            <v>-</v>
          </cell>
          <cell r="AE156" t="str">
            <v>-</v>
          </cell>
          <cell r="AF156" t="str">
            <v>-</v>
          </cell>
          <cell r="AG156" t="str">
            <v>-</v>
          </cell>
          <cell r="AH156" t="str">
            <v>-</v>
          </cell>
          <cell r="AI156" t="str">
            <v>-</v>
          </cell>
          <cell r="AJ156" t="str">
            <v>-</v>
          </cell>
          <cell r="AK156" t="str">
            <v>-</v>
          </cell>
          <cell r="AL156" t="str">
            <v>-</v>
          </cell>
          <cell r="AM156" t="str">
            <v>-</v>
          </cell>
          <cell r="AN156" t="str">
            <v>-</v>
          </cell>
          <cell r="AO156" t="str">
            <v>-</v>
          </cell>
          <cell r="AP156" t="str">
            <v>-</v>
          </cell>
          <cell r="AQ156" t="str">
            <v>-</v>
          </cell>
          <cell r="AR156" t="str">
            <v>-</v>
          </cell>
          <cell r="AS156" t="str">
            <v>-</v>
          </cell>
          <cell r="AT156" t="str">
            <v>-</v>
          </cell>
          <cell r="AU156" t="str">
            <v>-</v>
          </cell>
          <cell r="AV156" t="str">
            <v>-</v>
          </cell>
          <cell r="AW156" t="str">
            <v>-</v>
          </cell>
          <cell r="AX156" t="str">
            <v>-</v>
          </cell>
          <cell r="AY156" t="str">
            <v>-</v>
          </cell>
          <cell r="AZ156" t="str">
            <v>-</v>
          </cell>
          <cell r="BA156" t="str">
            <v>-</v>
          </cell>
          <cell r="BB156" t="str">
            <v>-</v>
          </cell>
          <cell r="BC156" t="str">
            <v>-</v>
          </cell>
          <cell r="BD156" t="str">
            <v>-</v>
          </cell>
          <cell r="BE156" t="str">
            <v>-</v>
          </cell>
          <cell r="BF156" t="str">
            <v>-</v>
          </cell>
          <cell r="BG156" t="str">
            <v>-</v>
          </cell>
          <cell r="BH156" t="str">
            <v>-</v>
          </cell>
          <cell r="BI156" t="str">
            <v>-</v>
          </cell>
          <cell r="BJ156" t="str">
            <v>-</v>
          </cell>
          <cell r="BK156" t="str">
            <v>-</v>
          </cell>
          <cell r="BL156" t="str">
            <v>-</v>
          </cell>
          <cell r="BM156" t="str">
            <v>-</v>
          </cell>
          <cell r="BN156" t="str">
            <v>-</v>
          </cell>
          <cell r="BO156" t="str">
            <v>-</v>
          </cell>
          <cell r="BP156" t="str">
            <v>-</v>
          </cell>
        </row>
        <row r="157">
          <cell r="A157">
            <v>152</v>
          </cell>
          <cell r="B157" t="str">
            <v>-</v>
          </cell>
          <cell r="C157" t="str">
            <v>-</v>
          </cell>
          <cell r="D157" t="str">
            <v>-</v>
          </cell>
          <cell r="E157" t="str">
            <v>-</v>
          </cell>
          <cell r="F157" t="str">
            <v>-</v>
          </cell>
          <cell r="G157" t="str">
            <v>-</v>
          </cell>
          <cell r="H157" t="str">
            <v>-</v>
          </cell>
          <cell r="I157" t="str">
            <v>-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N157" t="str">
            <v>-</v>
          </cell>
          <cell r="O157" t="str">
            <v>-</v>
          </cell>
          <cell r="P157" t="str">
            <v>-</v>
          </cell>
          <cell r="Q157" t="str">
            <v>-</v>
          </cell>
          <cell r="R157" t="str">
            <v>-</v>
          </cell>
          <cell r="S157" t="str">
            <v>-</v>
          </cell>
          <cell r="T157" t="str">
            <v>-</v>
          </cell>
          <cell r="U157" t="str">
            <v>-</v>
          </cell>
          <cell r="V157" t="str">
            <v>-</v>
          </cell>
          <cell r="W157" t="str">
            <v>-</v>
          </cell>
          <cell r="X157" t="str">
            <v>-</v>
          </cell>
          <cell r="Y157" t="str">
            <v>-</v>
          </cell>
          <cell r="Z157" t="str">
            <v>-</v>
          </cell>
          <cell r="AA157" t="str">
            <v>-</v>
          </cell>
          <cell r="AB157" t="str">
            <v>-</v>
          </cell>
          <cell r="AC157" t="str">
            <v>-</v>
          </cell>
          <cell r="AD157" t="str">
            <v>-</v>
          </cell>
          <cell r="AE157" t="str">
            <v>-</v>
          </cell>
          <cell r="AF157" t="str">
            <v>-</v>
          </cell>
          <cell r="AG157" t="str">
            <v>-</v>
          </cell>
          <cell r="AH157" t="str">
            <v>-</v>
          </cell>
          <cell r="AI157" t="str">
            <v>-</v>
          </cell>
          <cell r="AJ157" t="str">
            <v>-</v>
          </cell>
          <cell r="AK157" t="str">
            <v>-</v>
          </cell>
          <cell r="AL157" t="str">
            <v>-</v>
          </cell>
          <cell r="AM157" t="str">
            <v>-</v>
          </cell>
          <cell r="AN157" t="str">
            <v>-</v>
          </cell>
          <cell r="AO157" t="str">
            <v>-</v>
          </cell>
          <cell r="AP157" t="str">
            <v>-</v>
          </cell>
          <cell r="AQ157" t="str">
            <v>-</v>
          </cell>
          <cell r="AR157" t="str">
            <v>-</v>
          </cell>
          <cell r="AS157" t="str">
            <v>-</v>
          </cell>
          <cell r="AT157" t="str">
            <v>-</v>
          </cell>
          <cell r="AU157" t="str">
            <v>-</v>
          </cell>
          <cell r="AV157" t="str">
            <v>-</v>
          </cell>
          <cell r="AW157" t="str">
            <v>-</v>
          </cell>
          <cell r="AX157" t="str">
            <v>-</v>
          </cell>
          <cell r="AY157" t="str">
            <v>-</v>
          </cell>
          <cell r="AZ157" t="str">
            <v>-</v>
          </cell>
          <cell r="BA157" t="str">
            <v>-</v>
          </cell>
          <cell r="BB157" t="str">
            <v>-</v>
          </cell>
          <cell r="BC157" t="str">
            <v>-</v>
          </cell>
          <cell r="BD157" t="str">
            <v>-</v>
          </cell>
          <cell r="BE157" t="str">
            <v>-</v>
          </cell>
          <cell r="BF157" t="str">
            <v>-</v>
          </cell>
          <cell r="BG157" t="str">
            <v>-</v>
          </cell>
          <cell r="BH157" t="str">
            <v>-</v>
          </cell>
          <cell r="BI157" t="str">
            <v>-</v>
          </cell>
          <cell r="BJ157" t="str">
            <v>-</v>
          </cell>
          <cell r="BK157" t="str">
            <v>-</v>
          </cell>
          <cell r="BL157" t="str">
            <v>-</v>
          </cell>
          <cell r="BM157" t="str">
            <v>-</v>
          </cell>
          <cell r="BN157" t="str">
            <v>-</v>
          </cell>
          <cell r="BO157" t="str">
            <v>-</v>
          </cell>
          <cell r="BP157" t="str">
            <v>-</v>
          </cell>
        </row>
        <row r="158">
          <cell r="A158">
            <v>153</v>
          </cell>
          <cell r="B158" t="str">
            <v>-</v>
          </cell>
          <cell r="C158" t="str">
            <v>-</v>
          </cell>
          <cell r="D158" t="str">
            <v>-</v>
          </cell>
          <cell r="E158" t="str">
            <v>-</v>
          </cell>
          <cell r="F158" t="str">
            <v>-</v>
          </cell>
          <cell r="G158" t="str">
            <v>-</v>
          </cell>
          <cell r="H158" t="str">
            <v>-</v>
          </cell>
          <cell r="I158" t="str">
            <v>-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-</v>
          </cell>
          <cell r="N158" t="str">
            <v>-</v>
          </cell>
          <cell r="O158" t="str">
            <v>-</v>
          </cell>
          <cell r="P158" t="str">
            <v>-</v>
          </cell>
          <cell r="Q158" t="str">
            <v>-</v>
          </cell>
          <cell r="R158" t="str">
            <v>-</v>
          </cell>
          <cell r="S158" t="str">
            <v>-</v>
          </cell>
          <cell r="T158" t="str">
            <v>-</v>
          </cell>
          <cell r="U158" t="str">
            <v>-</v>
          </cell>
          <cell r="V158" t="str">
            <v>-</v>
          </cell>
          <cell r="W158" t="str">
            <v>-</v>
          </cell>
          <cell r="X158" t="str">
            <v>-</v>
          </cell>
          <cell r="Y158" t="str">
            <v>-</v>
          </cell>
          <cell r="Z158" t="str">
            <v>-</v>
          </cell>
          <cell r="AA158" t="str">
            <v>-</v>
          </cell>
          <cell r="AB158" t="str">
            <v>-</v>
          </cell>
          <cell r="AC158" t="str">
            <v>-</v>
          </cell>
          <cell r="AD158" t="str">
            <v>-</v>
          </cell>
          <cell r="AE158" t="str">
            <v>-</v>
          </cell>
          <cell r="AF158" t="str">
            <v>-</v>
          </cell>
          <cell r="AG158" t="str">
            <v>-</v>
          </cell>
          <cell r="AH158" t="str">
            <v>-</v>
          </cell>
          <cell r="AI158" t="str">
            <v>-</v>
          </cell>
          <cell r="AJ158" t="str">
            <v>-</v>
          </cell>
          <cell r="AK158" t="str">
            <v>-</v>
          </cell>
          <cell r="AL158" t="str">
            <v>-</v>
          </cell>
          <cell r="AM158" t="str">
            <v>-</v>
          </cell>
          <cell r="AN158" t="str">
            <v>-</v>
          </cell>
          <cell r="AO158" t="str">
            <v>-</v>
          </cell>
          <cell r="AP158" t="str">
            <v>-</v>
          </cell>
          <cell r="AQ158" t="str">
            <v>-</v>
          </cell>
          <cell r="AR158" t="str">
            <v>-</v>
          </cell>
          <cell r="AS158" t="str">
            <v>-</v>
          </cell>
          <cell r="AT158" t="str">
            <v>-</v>
          </cell>
          <cell r="AU158" t="str">
            <v>-</v>
          </cell>
          <cell r="AV158" t="str">
            <v>-</v>
          </cell>
          <cell r="AW158" t="str">
            <v>-</v>
          </cell>
          <cell r="AX158" t="str">
            <v>-</v>
          </cell>
          <cell r="AY158" t="str">
            <v>-</v>
          </cell>
          <cell r="AZ158" t="str">
            <v>-</v>
          </cell>
          <cell r="BA158" t="str">
            <v>-</v>
          </cell>
          <cell r="BB158" t="str">
            <v>-</v>
          </cell>
          <cell r="BC158" t="str">
            <v>-</v>
          </cell>
          <cell r="BD158" t="str">
            <v>-</v>
          </cell>
          <cell r="BE158" t="str">
            <v>-</v>
          </cell>
          <cell r="BF158" t="str">
            <v>-</v>
          </cell>
          <cell r="BG158" t="str">
            <v>-</v>
          </cell>
          <cell r="BH158" t="str">
            <v>-</v>
          </cell>
          <cell r="BI158" t="str">
            <v>-</v>
          </cell>
          <cell r="BJ158" t="str">
            <v>-</v>
          </cell>
          <cell r="BK158" t="str">
            <v>-</v>
          </cell>
          <cell r="BL158" t="str">
            <v>-</v>
          </cell>
          <cell r="BM158" t="str">
            <v>-</v>
          </cell>
          <cell r="BN158" t="str">
            <v>-</v>
          </cell>
          <cell r="BO158" t="str">
            <v>-</v>
          </cell>
          <cell r="BP158" t="str">
            <v>-</v>
          </cell>
        </row>
        <row r="159">
          <cell r="A159">
            <v>154</v>
          </cell>
          <cell r="B159" t="str">
            <v>-</v>
          </cell>
          <cell r="C159" t="str">
            <v>-</v>
          </cell>
          <cell r="D159" t="str">
            <v>-</v>
          </cell>
          <cell r="E159" t="str">
            <v>-</v>
          </cell>
          <cell r="F159" t="str">
            <v>-</v>
          </cell>
          <cell r="G159" t="str">
            <v>-</v>
          </cell>
          <cell r="H159" t="str">
            <v>-</v>
          </cell>
          <cell r="I159" t="str">
            <v>-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-</v>
          </cell>
          <cell r="N159" t="str">
            <v>-</v>
          </cell>
          <cell r="O159" t="str">
            <v>-</v>
          </cell>
          <cell r="P159" t="str">
            <v>-</v>
          </cell>
          <cell r="Q159" t="str">
            <v>-</v>
          </cell>
          <cell r="R159" t="str">
            <v>-</v>
          </cell>
          <cell r="S159" t="str">
            <v>-</v>
          </cell>
          <cell r="T159" t="str">
            <v>-</v>
          </cell>
          <cell r="U159" t="str">
            <v>-</v>
          </cell>
          <cell r="V159" t="str">
            <v>-</v>
          </cell>
          <cell r="W159" t="str">
            <v>-</v>
          </cell>
          <cell r="X159" t="str">
            <v>-</v>
          </cell>
          <cell r="Y159" t="str">
            <v>-</v>
          </cell>
          <cell r="Z159" t="str">
            <v>-</v>
          </cell>
          <cell r="AA159" t="str">
            <v>-</v>
          </cell>
          <cell r="AB159" t="str">
            <v>-</v>
          </cell>
          <cell r="AC159" t="str">
            <v>-</v>
          </cell>
          <cell r="AD159" t="str">
            <v>-</v>
          </cell>
          <cell r="AE159" t="str">
            <v>-</v>
          </cell>
          <cell r="AF159" t="str">
            <v>-</v>
          </cell>
          <cell r="AG159" t="str">
            <v>-</v>
          </cell>
          <cell r="AH159" t="str">
            <v>-</v>
          </cell>
          <cell r="AI159" t="str">
            <v>-</v>
          </cell>
          <cell r="AJ159" t="str">
            <v>-</v>
          </cell>
          <cell r="AK159" t="str">
            <v>-</v>
          </cell>
          <cell r="AL159" t="str">
            <v>-</v>
          </cell>
          <cell r="AM159" t="str">
            <v>-</v>
          </cell>
          <cell r="AN159" t="str">
            <v>-</v>
          </cell>
          <cell r="AO159" t="str">
            <v>-</v>
          </cell>
          <cell r="AP159" t="str">
            <v>-</v>
          </cell>
          <cell r="AQ159" t="str">
            <v>-</v>
          </cell>
          <cell r="AR159" t="str">
            <v>-</v>
          </cell>
          <cell r="AS159" t="str">
            <v>-</v>
          </cell>
          <cell r="AT159" t="str">
            <v>-</v>
          </cell>
          <cell r="AU159" t="str">
            <v>-</v>
          </cell>
          <cell r="AV159" t="str">
            <v>-</v>
          </cell>
          <cell r="AW159" t="str">
            <v>-</v>
          </cell>
          <cell r="AX159" t="str">
            <v>-</v>
          </cell>
          <cell r="AY159" t="str">
            <v>-</v>
          </cell>
          <cell r="AZ159" t="str">
            <v>-</v>
          </cell>
          <cell r="BA159" t="str">
            <v>-</v>
          </cell>
          <cell r="BB159" t="str">
            <v>-</v>
          </cell>
          <cell r="BC159" t="str">
            <v>-</v>
          </cell>
          <cell r="BD159" t="str">
            <v>-</v>
          </cell>
          <cell r="BE159" t="str">
            <v>-</v>
          </cell>
          <cell r="BF159" t="str">
            <v>-</v>
          </cell>
          <cell r="BG159" t="str">
            <v>-</v>
          </cell>
          <cell r="BH159" t="str">
            <v>-</v>
          </cell>
          <cell r="BI159" t="str">
            <v>-</v>
          </cell>
          <cell r="BJ159" t="str">
            <v>-</v>
          </cell>
          <cell r="BK159" t="str">
            <v>-</v>
          </cell>
          <cell r="BL159" t="str">
            <v>-</v>
          </cell>
          <cell r="BM159" t="str">
            <v>-</v>
          </cell>
          <cell r="BN159" t="str">
            <v>-</v>
          </cell>
          <cell r="BO159" t="str">
            <v>-</v>
          </cell>
          <cell r="BP159" t="str">
            <v>-</v>
          </cell>
        </row>
        <row r="160">
          <cell r="A160">
            <v>155</v>
          </cell>
          <cell r="B160" t="str">
            <v>-</v>
          </cell>
          <cell r="C160" t="str">
            <v>-</v>
          </cell>
          <cell r="D160" t="str">
            <v>-</v>
          </cell>
          <cell r="E160" t="str">
            <v>-</v>
          </cell>
          <cell r="F160" t="str">
            <v>-</v>
          </cell>
          <cell r="G160" t="str">
            <v>-</v>
          </cell>
          <cell r="H160" t="str">
            <v>-</v>
          </cell>
          <cell r="I160" t="str">
            <v>-</v>
          </cell>
          <cell r="J160" t="str">
            <v>-</v>
          </cell>
          <cell r="K160" t="str">
            <v>-</v>
          </cell>
          <cell r="L160" t="str">
            <v>-</v>
          </cell>
          <cell r="M160" t="str">
            <v>-</v>
          </cell>
          <cell r="N160" t="str">
            <v>-</v>
          </cell>
          <cell r="O160" t="str">
            <v>-</v>
          </cell>
          <cell r="P160" t="str">
            <v>-</v>
          </cell>
          <cell r="Q160" t="str">
            <v>-</v>
          </cell>
          <cell r="R160" t="str">
            <v>-</v>
          </cell>
          <cell r="S160" t="str">
            <v>-</v>
          </cell>
          <cell r="T160" t="str">
            <v>-</v>
          </cell>
          <cell r="U160" t="str">
            <v>-</v>
          </cell>
          <cell r="V160" t="str">
            <v>-</v>
          </cell>
          <cell r="W160" t="str">
            <v>-</v>
          </cell>
          <cell r="X160" t="str">
            <v>-</v>
          </cell>
          <cell r="Y160" t="str">
            <v>-</v>
          </cell>
          <cell r="Z160" t="str">
            <v>-</v>
          </cell>
          <cell r="AA160" t="str">
            <v>-</v>
          </cell>
          <cell r="AB160" t="str">
            <v>-</v>
          </cell>
          <cell r="AC160" t="str">
            <v>-</v>
          </cell>
          <cell r="AD160" t="str">
            <v>-</v>
          </cell>
          <cell r="AE160" t="str">
            <v>-</v>
          </cell>
          <cell r="AF160" t="str">
            <v>-</v>
          </cell>
          <cell r="AG160" t="str">
            <v>-</v>
          </cell>
          <cell r="AH160" t="str">
            <v>-</v>
          </cell>
          <cell r="AI160" t="str">
            <v>-</v>
          </cell>
          <cell r="AJ160" t="str">
            <v>-</v>
          </cell>
          <cell r="AK160" t="str">
            <v>-</v>
          </cell>
          <cell r="AL160" t="str">
            <v>-</v>
          </cell>
          <cell r="AM160" t="str">
            <v>-</v>
          </cell>
          <cell r="AN160" t="str">
            <v>-</v>
          </cell>
          <cell r="AO160" t="str">
            <v>-</v>
          </cell>
          <cell r="AP160" t="str">
            <v>-</v>
          </cell>
          <cell r="AQ160" t="str">
            <v>-</v>
          </cell>
          <cell r="AR160" t="str">
            <v>-</v>
          </cell>
          <cell r="AS160" t="str">
            <v>-</v>
          </cell>
          <cell r="AT160" t="str">
            <v>-</v>
          </cell>
          <cell r="AU160" t="str">
            <v>-</v>
          </cell>
          <cell r="AV160" t="str">
            <v>-</v>
          </cell>
          <cell r="AW160" t="str">
            <v>-</v>
          </cell>
          <cell r="AX160" t="str">
            <v>-</v>
          </cell>
          <cell r="AY160" t="str">
            <v>-</v>
          </cell>
          <cell r="AZ160" t="str">
            <v>-</v>
          </cell>
          <cell r="BA160" t="str">
            <v>-</v>
          </cell>
          <cell r="BB160" t="str">
            <v>-</v>
          </cell>
          <cell r="BC160" t="str">
            <v>-</v>
          </cell>
          <cell r="BD160" t="str">
            <v>-</v>
          </cell>
          <cell r="BE160" t="str">
            <v>-</v>
          </cell>
          <cell r="BF160" t="str">
            <v>-</v>
          </cell>
          <cell r="BG160" t="str">
            <v>-</v>
          </cell>
          <cell r="BH160" t="str">
            <v>-</v>
          </cell>
          <cell r="BI160" t="str">
            <v>-</v>
          </cell>
          <cell r="BJ160" t="str">
            <v>-</v>
          </cell>
          <cell r="BK160" t="str">
            <v>-</v>
          </cell>
          <cell r="BL160" t="str">
            <v>-</v>
          </cell>
          <cell r="BM160" t="str">
            <v>-</v>
          </cell>
          <cell r="BN160" t="str">
            <v>-</v>
          </cell>
          <cell r="BO160" t="str">
            <v>-</v>
          </cell>
          <cell r="BP160" t="str">
            <v>-</v>
          </cell>
        </row>
        <row r="161">
          <cell r="A161">
            <v>156</v>
          </cell>
          <cell r="B161" t="str">
            <v>-</v>
          </cell>
          <cell r="C161" t="str">
            <v>-</v>
          </cell>
          <cell r="D161" t="str">
            <v>-</v>
          </cell>
          <cell r="E161" t="str">
            <v>-</v>
          </cell>
          <cell r="F161" t="str">
            <v>-</v>
          </cell>
          <cell r="G161" t="str">
            <v>-</v>
          </cell>
          <cell r="H161" t="str">
            <v>-</v>
          </cell>
          <cell r="I161" t="str">
            <v>-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-</v>
          </cell>
          <cell r="N161" t="str">
            <v>-</v>
          </cell>
          <cell r="O161" t="str">
            <v>-</v>
          </cell>
          <cell r="P161" t="str">
            <v>-</v>
          </cell>
          <cell r="Q161" t="str">
            <v>-</v>
          </cell>
          <cell r="R161" t="str">
            <v>-</v>
          </cell>
          <cell r="S161" t="str">
            <v>-</v>
          </cell>
          <cell r="T161" t="str">
            <v>-</v>
          </cell>
          <cell r="U161" t="str">
            <v>-</v>
          </cell>
          <cell r="V161" t="str">
            <v>-</v>
          </cell>
          <cell r="W161" t="str">
            <v>-</v>
          </cell>
          <cell r="X161" t="str">
            <v>-</v>
          </cell>
          <cell r="Y161" t="str">
            <v>-</v>
          </cell>
          <cell r="Z161" t="str">
            <v>-</v>
          </cell>
          <cell r="AA161" t="str">
            <v>-</v>
          </cell>
          <cell r="AB161" t="str">
            <v>-</v>
          </cell>
          <cell r="AC161" t="str">
            <v>-</v>
          </cell>
          <cell r="AD161" t="str">
            <v>-</v>
          </cell>
          <cell r="AE161" t="str">
            <v>-</v>
          </cell>
          <cell r="AF161" t="str">
            <v>-</v>
          </cell>
          <cell r="AG161" t="str">
            <v>-</v>
          </cell>
          <cell r="AH161" t="str">
            <v>-</v>
          </cell>
          <cell r="AI161" t="str">
            <v>-</v>
          </cell>
          <cell r="AJ161" t="str">
            <v>-</v>
          </cell>
          <cell r="AK161" t="str">
            <v>-</v>
          </cell>
          <cell r="AL161" t="str">
            <v>-</v>
          </cell>
          <cell r="AM161" t="str">
            <v>-</v>
          </cell>
          <cell r="AN161" t="str">
            <v>-</v>
          </cell>
          <cell r="AO161" t="str">
            <v>-</v>
          </cell>
          <cell r="AP161" t="str">
            <v>-</v>
          </cell>
          <cell r="AQ161" t="str">
            <v>-</v>
          </cell>
          <cell r="AR161" t="str">
            <v>-</v>
          </cell>
          <cell r="AS161" t="str">
            <v>-</v>
          </cell>
          <cell r="AT161" t="str">
            <v>-</v>
          </cell>
          <cell r="AU161" t="str">
            <v>-</v>
          </cell>
          <cell r="AV161" t="str">
            <v>-</v>
          </cell>
          <cell r="AW161" t="str">
            <v>-</v>
          </cell>
          <cell r="AX161" t="str">
            <v>-</v>
          </cell>
          <cell r="AY161" t="str">
            <v>-</v>
          </cell>
          <cell r="AZ161" t="str">
            <v>-</v>
          </cell>
          <cell r="BA161" t="str">
            <v>-</v>
          </cell>
          <cell r="BB161" t="str">
            <v>-</v>
          </cell>
          <cell r="BC161" t="str">
            <v>-</v>
          </cell>
          <cell r="BD161" t="str">
            <v>-</v>
          </cell>
          <cell r="BE161" t="str">
            <v>-</v>
          </cell>
          <cell r="BF161" t="str">
            <v>-</v>
          </cell>
          <cell r="BG161" t="str">
            <v>-</v>
          </cell>
          <cell r="BH161" t="str">
            <v>-</v>
          </cell>
          <cell r="BI161" t="str">
            <v>-</v>
          </cell>
          <cell r="BJ161" t="str">
            <v>-</v>
          </cell>
          <cell r="BK161" t="str">
            <v>-</v>
          </cell>
          <cell r="BL161" t="str">
            <v>-</v>
          </cell>
          <cell r="BM161" t="str">
            <v>-</v>
          </cell>
          <cell r="BN161" t="str">
            <v>-</v>
          </cell>
          <cell r="BO161" t="str">
            <v>-</v>
          </cell>
          <cell r="BP161" t="str">
            <v>-</v>
          </cell>
        </row>
        <row r="162">
          <cell r="A162">
            <v>157</v>
          </cell>
          <cell r="B162" t="str">
            <v>-</v>
          </cell>
          <cell r="C162" t="str">
            <v>-</v>
          </cell>
          <cell r="D162" t="str">
            <v>-</v>
          </cell>
          <cell r="E162" t="str">
            <v>-</v>
          </cell>
          <cell r="F162" t="str">
            <v>-</v>
          </cell>
          <cell r="G162" t="str">
            <v>-</v>
          </cell>
          <cell r="H162" t="str">
            <v>-</v>
          </cell>
          <cell r="I162" t="str">
            <v>-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-</v>
          </cell>
          <cell r="N162" t="str">
            <v>-</v>
          </cell>
          <cell r="O162" t="str">
            <v>-</v>
          </cell>
          <cell r="P162" t="str">
            <v>-</v>
          </cell>
          <cell r="Q162" t="str">
            <v>-</v>
          </cell>
          <cell r="R162" t="str">
            <v>-</v>
          </cell>
          <cell r="S162" t="str">
            <v>-</v>
          </cell>
          <cell r="T162" t="str">
            <v>-</v>
          </cell>
          <cell r="U162" t="str">
            <v>-</v>
          </cell>
          <cell r="V162" t="str">
            <v>-</v>
          </cell>
          <cell r="W162" t="str">
            <v>-</v>
          </cell>
          <cell r="X162" t="str">
            <v>-</v>
          </cell>
          <cell r="Y162" t="str">
            <v>-</v>
          </cell>
          <cell r="Z162" t="str">
            <v>-</v>
          </cell>
          <cell r="AA162" t="str">
            <v>-</v>
          </cell>
          <cell r="AB162" t="str">
            <v>-</v>
          </cell>
          <cell r="AC162" t="str">
            <v>-</v>
          </cell>
          <cell r="AD162" t="str">
            <v>-</v>
          </cell>
          <cell r="AE162" t="str">
            <v>-</v>
          </cell>
          <cell r="AF162" t="str">
            <v>-</v>
          </cell>
          <cell r="AG162" t="str">
            <v>-</v>
          </cell>
          <cell r="AH162" t="str">
            <v>-</v>
          </cell>
          <cell r="AI162" t="str">
            <v>-</v>
          </cell>
          <cell r="AJ162" t="str">
            <v>-</v>
          </cell>
          <cell r="AK162" t="str">
            <v>-</v>
          </cell>
          <cell r="AL162" t="str">
            <v>-</v>
          </cell>
          <cell r="AM162" t="str">
            <v>-</v>
          </cell>
          <cell r="AN162" t="str">
            <v>-</v>
          </cell>
          <cell r="AO162" t="str">
            <v>-</v>
          </cell>
          <cell r="AP162" t="str">
            <v>-</v>
          </cell>
          <cell r="AQ162" t="str">
            <v>-</v>
          </cell>
          <cell r="AR162" t="str">
            <v>-</v>
          </cell>
          <cell r="AS162" t="str">
            <v>-</v>
          </cell>
          <cell r="AT162" t="str">
            <v>-</v>
          </cell>
          <cell r="AU162" t="str">
            <v>-</v>
          </cell>
          <cell r="AV162" t="str">
            <v>-</v>
          </cell>
          <cell r="AW162" t="str">
            <v>-</v>
          </cell>
          <cell r="AX162" t="str">
            <v>-</v>
          </cell>
          <cell r="AY162" t="str">
            <v>-</v>
          </cell>
          <cell r="AZ162" t="str">
            <v>-</v>
          </cell>
          <cell r="BA162" t="str">
            <v>-</v>
          </cell>
          <cell r="BB162" t="str">
            <v>-</v>
          </cell>
          <cell r="BC162" t="str">
            <v>-</v>
          </cell>
          <cell r="BD162" t="str">
            <v>-</v>
          </cell>
          <cell r="BE162" t="str">
            <v>-</v>
          </cell>
          <cell r="BF162" t="str">
            <v>-</v>
          </cell>
          <cell r="BG162" t="str">
            <v>-</v>
          </cell>
          <cell r="BH162" t="str">
            <v>-</v>
          </cell>
          <cell r="BI162" t="str">
            <v>-</v>
          </cell>
          <cell r="BJ162" t="str">
            <v>-</v>
          </cell>
          <cell r="BK162" t="str">
            <v>-</v>
          </cell>
          <cell r="BL162" t="str">
            <v>-</v>
          </cell>
          <cell r="BM162" t="str">
            <v>-</v>
          </cell>
          <cell r="BN162" t="str">
            <v>-</v>
          </cell>
          <cell r="BO162" t="str">
            <v>-</v>
          </cell>
          <cell r="BP162" t="str">
            <v>-</v>
          </cell>
        </row>
        <row r="163">
          <cell r="A163">
            <v>158</v>
          </cell>
          <cell r="B163" t="str">
            <v>-</v>
          </cell>
          <cell r="C163" t="str">
            <v>-</v>
          </cell>
          <cell r="D163" t="str">
            <v>-</v>
          </cell>
          <cell r="E163" t="str">
            <v>-</v>
          </cell>
          <cell r="F163" t="str">
            <v>-</v>
          </cell>
          <cell r="G163" t="str">
            <v>-</v>
          </cell>
          <cell r="H163" t="str">
            <v>-</v>
          </cell>
          <cell r="I163" t="str">
            <v>-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-</v>
          </cell>
          <cell r="N163" t="str">
            <v>-</v>
          </cell>
          <cell r="O163" t="str">
            <v>-</v>
          </cell>
          <cell r="P163" t="str">
            <v>-</v>
          </cell>
          <cell r="Q163" t="str">
            <v>-</v>
          </cell>
          <cell r="R163" t="str">
            <v>-</v>
          </cell>
          <cell r="S163" t="str">
            <v>-</v>
          </cell>
          <cell r="T163" t="str">
            <v>-</v>
          </cell>
          <cell r="U163" t="str">
            <v>-</v>
          </cell>
          <cell r="V163" t="str">
            <v>-</v>
          </cell>
          <cell r="W163" t="str">
            <v>-</v>
          </cell>
          <cell r="X163" t="str">
            <v>-</v>
          </cell>
          <cell r="Y163" t="str">
            <v>-</v>
          </cell>
          <cell r="Z163" t="str">
            <v>-</v>
          </cell>
          <cell r="AA163" t="str">
            <v>-</v>
          </cell>
          <cell r="AB163" t="str">
            <v>-</v>
          </cell>
          <cell r="AC163" t="str">
            <v>-</v>
          </cell>
          <cell r="AD163" t="str">
            <v>-</v>
          </cell>
          <cell r="AE163" t="str">
            <v>-</v>
          </cell>
          <cell r="AF163" t="str">
            <v>-</v>
          </cell>
          <cell r="AG163" t="str">
            <v>-</v>
          </cell>
          <cell r="AH163" t="str">
            <v>-</v>
          </cell>
          <cell r="AI163" t="str">
            <v>-</v>
          </cell>
          <cell r="AJ163" t="str">
            <v>-</v>
          </cell>
          <cell r="AK163" t="str">
            <v>-</v>
          </cell>
          <cell r="AL163" t="str">
            <v>-</v>
          </cell>
          <cell r="AM163" t="str">
            <v>-</v>
          </cell>
          <cell r="AN163" t="str">
            <v>-</v>
          </cell>
          <cell r="AO163" t="str">
            <v>-</v>
          </cell>
          <cell r="AP163" t="str">
            <v>-</v>
          </cell>
          <cell r="AQ163" t="str">
            <v>-</v>
          </cell>
          <cell r="AR163" t="str">
            <v>-</v>
          </cell>
          <cell r="AS163" t="str">
            <v>-</v>
          </cell>
          <cell r="AT163" t="str">
            <v>-</v>
          </cell>
          <cell r="AU163" t="str">
            <v>-</v>
          </cell>
          <cell r="AV163" t="str">
            <v>-</v>
          </cell>
          <cell r="AW163" t="str">
            <v>-</v>
          </cell>
          <cell r="AX163" t="str">
            <v>-</v>
          </cell>
          <cell r="AY163" t="str">
            <v>-</v>
          </cell>
          <cell r="AZ163" t="str">
            <v>-</v>
          </cell>
          <cell r="BA163" t="str">
            <v>-</v>
          </cell>
          <cell r="BB163" t="str">
            <v>-</v>
          </cell>
          <cell r="BC163" t="str">
            <v>-</v>
          </cell>
          <cell r="BD163" t="str">
            <v>-</v>
          </cell>
          <cell r="BE163" t="str">
            <v>-</v>
          </cell>
          <cell r="BF163" t="str">
            <v>-</v>
          </cell>
          <cell r="BG163" t="str">
            <v>-</v>
          </cell>
          <cell r="BH163" t="str">
            <v>-</v>
          </cell>
          <cell r="BI163" t="str">
            <v>-</v>
          </cell>
          <cell r="BJ163" t="str">
            <v>-</v>
          </cell>
          <cell r="BK163" t="str">
            <v>-</v>
          </cell>
          <cell r="BL163" t="str">
            <v>-</v>
          </cell>
          <cell r="BM163" t="str">
            <v>-</v>
          </cell>
          <cell r="BN163" t="str">
            <v>-</v>
          </cell>
          <cell r="BO163" t="str">
            <v>-</v>
          </cell>
          <cell r="BP163" t="str">
            <v>-</v>
          </cell>
        </row>
        <row r="164">
          <cell r="A164">
            <v>159</v>
          </cell>
          <cell r="B164" t="str">
            <v>-</v>
          </cell>
          <cell r="C164" t="str">
            <v>-</v>
          </cell>
          <cell r="D164" t="str">
            <v>-</v>
          </cell>
          <cell r="E164" t="str">
            <v>-</v>
          </cell>
          <cell r="F164" t="str">
            <v>-</v>
          </cell>
          <cell r="G164" t="str">
            <v>-</v>
          </cell>
          <cell r="H164" t="str">
            <v>-</v>
          </cell>
          <cell r="I164" t="str">
            <v>-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-</v>
          </cell>
          <cell r="N164" t="str">
            <v>-</v>
          </cell>
          <cell r="O164" t="str">
            <v>-</v>
          </cell>
          <cell r="P164" t="str">
            <v>-</v>
          </cell>
          <cell r="Q164" t="str">
            <v>-</v>
          </cell>
          <cell r="R164" t="str">
            <v>-</v>
          </cell>
          <cell r="S164" t="str">
            <v>-</v>
          </cell>
          <cell r="T164" t="str">
            <v>-</v>
          </cell>
          <cell r="U164" t="str">
            <v>-</v>
          </cell>
          <cell r="V164" t="str">
            <v>-</v>
          </cell>
          <cell r="W164" t="str">
            <v>-</v>
          </cell>
          <cell r="X164" t="str">
            <v>-</v>
          </cell>
          <cell r="Y164" t="str">
            <v>-</v>
          </cell>
          <cell r="Z164" t="str">
            <v>-</v>
          </cell>
          <cell r="AA164" t="str">
            <v>-</v>
          </cell>
          <cell r="AB164" t="str">
            <v>-</v>
          </cell>
          <cell r="AC164" t="str">
            <v>-</v>
          </cell>
          <cell r="AD164" t="str">
            <v>-</v>
          </cell>
          <cell r="AE164" t="str">
            <v>-</v>
          </cell>
          <cell r="AF164" t="str">
            <v>-</v>
          </cell>
          <cell r="AG164" t="str">
            <v>-</v>
          </cell>
          <cell r="AH164" t="str">
            <v>-</v>
          </cell>
          <cell r="AI164" t="str">
            <v>-</v>
          </cell>
          <cell r="AJ164" t="str">
            <v>-</v>
          </cell>
          <cell r="AK164" t="str">
            <v>-</v>
          </cell>
          <cell r="AL164" t="str">
            <v>-</v>
          </cell>
          <cell r="AM164" t="str">
            <v>-</v>
          </cell>
          <cell r="AN164" t="str">
            <v>-</v>
          </cell>
          <cell r="AO164" t="str">
            <v>-</v>
          </cell>
          <cell r="AP164" t="str">
            <v>-</v>
          </cell>
          <cell r="AQ164" t="str">
            <v>-</v>
          </cell>
          <cell r="AR164" t="str">
            <v>-</v>
          </cell>
          <cell r="AS164" t="str">
            <v>-</v>
          </cell>
          <cell r="AT164" t="str">
            <v>-</v>
          </cell>
          <cell r="AU164" t="str">
            <v>-</v>
          </cell>
          <cell r="AV164" t="str">
            <v>-</v>
          </cell>
          <cell r="AW164" t="str">
            <v>-</v>
          </cell>
          <cell r="AX164" t="str">
            <v>-</v>
          </cell>
          <cell r="AY164" t="str">
            <v>-</v>
          </cell>
          <cell r="AZ164" t="str">
            <v>-</v>
          </cell>
          <cell r="BA164" t="str">
            <v>-</v>
          </cell>
          <cell r="BB164" t="str">
            <v>-</v>
          </cell>
          <cell r="BC164" t="str">
            <v>-</v>
          </cell>
          <cell r="BD164" t="str">
            <v>-</v>
          </cell>
          <cell r="BE164" t="str">
            <v>-</v>
          </cell>
          <cell r="BF164" t="str">
            <v>-</v>
          </cell>
          <cell r="BG164" t="str">
            <v>-</v>
          </cell>
          <cell r="BH164" t="str">
            <v>-</v>
          </cell>
          <cell r="BI164" t="str">
            <v>-</v>
          </cell>
          <cell r="BJ164" t="str">
            <v>-</v>
          </cell>
          <cell r="BK164" t="str">
            <v>-</v>
          </cell>
          <cell r="BL164" t="str">
            <v>-</v>
          </cell>
          <cell r="BM164" t="str">
            <v>-</v>
          </cell>
          <cell r="BN164" t="str">
            <v>-</v>
          </cell>
          <cell r="BO164" t="str">
            <v>-</v>
          </cell>
          <cell r="BP164" t="str">
            <v>-</v>
          </cell>
        </row>
        <row r="165">
          <cell r="A165">
            <v>160</v>
          </cell>
          <cell r="B165" t="str">
            <v>-</v>
          </cell>
          <cell r="C165" t="str">
            <v>-</v>
          </cell>
          <cell r="D165" t="str">
            <v>-</v>
          </cell>
          <cell r="E165" t="str">
            <v>-</v>
          </cell>
          <cell r="F165" t="str">
            <v>-</v>
          </cell>
          <cell r="G165" t="str">
            <v>-</v>
          </cell>
          <cell r="H165" t="str">
            <v>-</v>
          </cell>
          <cell r="I165" t="str">
            <v>-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-</v>
          </cell>
          <cell r="N165" t="str">
            <v>-</v>
          </cell>
          <cell r="O165" t="str">
            <v>-</v>
          </cell>
          <cell r="P165" t="str">
            <v>-</v>
          </cell>
          <cell r="Q165" t="str">
            <v>-</v>
          </cell>
          <cell r="R165" t="str">
            <v>-</v>
          </cell>
          <cell r="S165" t="str">
            <v>-</v>
          </cell>
          <cell r="T165" t="str">
            <v>-</v>
          </cell>
          <cell r="U165" t="str">
            <v>-</v>
          </cell>
          <cell r="V165" t="str">
            <v>-</v>
          </cell>
          <cell r="W165" t="str">
            <v>-</v>
          </cell>
          <cell r="X165" t="str">
            <v>-</v>
          </cell>
          <cell r="Y165" t="str">
            <v>-</v>
          </cell>
          <cell r="Z165" t="str">
            <v>-</v>
          </cell>
          <cell r="AA165" t="str">
            <v>-</v>
          </cell>
          <cell r="AB165" t="str">
            <v>-</v>
          </cell>
          <cell r="AC165" t="str">
            <v>-</v>
          </cell>
          <cell r="AD165" t="str">
            <v>-</v>
          </cell>
          <cell r="AE165" t="str">
            <v>-</v>
          </cell>
          <cell r="AF165" t="str">
            <v>-</v>
          </cell>
          <cell r="AG165" t="str">
            <v>-</v>
          </cell>
          <cell r="AH165" t="str">
            <v>-</v>
          </cell>
          <cell r="AI165" t="str">
            <v>-</v>
          </cell>
          <cell r="AJ165" t="str">
            <v>-</v>
          </cell>
          <cell r="AK165" t="str">
            <v>-</v>
          </cell>
          <cell r="AL165" t="str">
            <v>-</v>
          </cell>
          <cell r="AM165" t="str">
            <v>-</v>
          </cell>
          <cell r="AN165" t="str">
            <v>-</v>
          </cell>
          <cell r="AO165" t="str">
            <v>-</v>
          </cell>
          <cell r="AP165" t="str">
            <v>-</v>
          </cell>
          <cell r="AQ165" t="str">
            <v>-</v>
          </cell>
          <cell r="AR165" t="str">
            <v>-</v>
          </cell>
          <cell r="AS165" t="str">
            <v>-</v>
          </cell>
          <cell r="AT165" t="str">
            <v>-</v>
          </cell>
          <cell r="AU165" t="str">
            <v>-</v>
          </cell>
          <cell r="AV165" t="str">
            <v>-</v>
          </cell>
          <cell r="AW165" t="str">
            <v>-</v>
          </cell>
          <cell r="AX165" t="str">
            <v>-</v>
          </cell>
          <cell r="AY165" t="str">
            <v>-</v>
          </cell>
          <cell r="AZ165" t="str">
            <v>-</v>
          </cell>
          <cell r="BA165" t="str">
            <v>-</v>
          </cell>
          <cell r="BB165" t="str">
            <v>-</v>
          </cell>
          <cell r="BC165" t="str">
            <v>-</v>
          </cell>
          <cell r="BD165" t="str">
            <v>-</v>
          </cell>
          <cell r="BE165" t="str">
            <v>-</v>
          </cell>
          <cell r="BF165" t="str">
            <v>-</v>
          </cell>
          <cell r="BG165" t="str">
            <v>-</v>
          </cell>
          <cell r="BH165" t="str">
            <v>-</v>
          </cell>
          <cell r="BI165" t="str">
            <v>-</v>
          </cell>
          <cell r="BJ165" t="str">
            <v>-</v>
          </cell>
          <cell r="BK165" t="str">
            <v>-</v>
          </cell>
          <cell r="BL165" t="str">
            <v>-</v>
          </cell>
          <cell r="BM165" t="str">
            <v>-</v>
          </cell>
          <cell r="BN165" t="str">
            <v>-</v>
          </cell>
          <cell r="BO165" t="str">
            <v>-</v>
          </cell>
          <cell r="BP165" t="str">
            <v>-</v>
          </cell>
        </row>
        <row r="166">
          <cell r="A166">
            <v>161</v>
          </cell>
          <cell r="B166" t="str">
            <v>-</v>
          </cell>
          <cell r="C166" t="str">
            <v>-</v>
          </cell>
          <cell r="D166" t="str">
            <v>-</v>
          </cell>
          <cell r="E166" t="str">
            <v>-</v>
          </cell>
          <cell r="F166" t="str">
            <v>-</v>
          </cell>
          <cell r="G166" t="str">
            <v>-</v>
          </cell>
          <cell r="H166" t="str">
            <v>-</v>
          </cell>
          <cell r="I166" t="str">
            <v>-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-</v>
          </cell>
          <cell r="N166" t="str">
            <v>-</v>
          </cell>
          <cell r="O166" t="str">
            <v>-</v>
          </cell>
          <cell r="P166" t="str">
            <v>-</v>
          </cell>
          <cell r="Q166" t="str">
            <v>-</v>
          </cell>
          <cell r="R166" t="str">
            <v>-</v>
          </cell>
          <cell r="S166" t="str">
            <v>-</v>
          </cell>
          <cell r="T166" t="str">
            <v>-</v>
          </cell>
          <cell r="U166" t="str">
            <v>-</v>
          </cell>
          <cell r="V166" t="str">
            <v>-</v>
          </cell>
          <cell r="W166" t="str">
            <v>-</v>
          </cell>
          <cell r="X166" t="str">
            <v>-</v>
          </cell>
          <cell r="Y166" t="str">
            <v>-</v>
          </cell>
          <cell r="Z166" t="str">
            <v>-</v>
          </cell>
          <cell r="AA166" t="str">
            <v>-</v>
          </cell>
          <cell r="AB166" t="str">
            <v>-</v>
          </cell>
          <cell r="AC166" t="str">
            <v>-</v>
          </cell>
          <cell r="AD166" t="str">
            <v>-</v>
          </cell>
          <cell r="AE166" t="str">
            <v>-</v>
          </cell>
          <cell r="AF166" t="str">
            <v>-</v>
          </cell>
          <cell r="AG166" t="str">
            <v>-</v>
          </cell>
          <cell r="AH166" t="str">
            <v>-</v>
          </cell>
          <cell r="AI166" t="str">
            <v>-</v>
          </cell>
          <cell r="AJ166" t="str">
            <v>-</v>
          </cell>
          <cell r="AK166" t="str">
            <v>-</v>
          </cell>
          <cell r="AL166" t="str">
            <v>-</v>
          </cell>
          <cell r="AM166" t="str">
            <v>-</v>
          </cell>
          <cell r="AN166" t="str">
            <v>-</v>
          </cell>
          <cell r="AO166" t="str">
            <v>-</v>
          </cell>
          <cell r="AP166" t="str">
            <v>-</v>
          </cell>
          <cell r="AQ166" t="str">
            <v>-</v>
          </cell>
          <cell r="AR166" t="str">
            <v>-</v>
          </cell>
          <cell r="AS166" t="str">
            <v>-</v>
          </cell>
          <cell r="AT166" t="str">
            <v>-</v>
          </cell>
          <cell r="AU166" t="str">
            <v>-</v>
          </cell>
          <cell r="AV166" t="str">
            <v>-</v>
          </cell>
          <cell r="AW166" t="str">
            <v>-</v>
          </cell>
          <cell r="AX166" t="str">
            <v>-</v>
          </cell>
          <cell r="AY166" t="str">
            <v>-</v>
          </cell>
          <cell r="AZ166" t="str">
            <v>-</v>
          </cell>
          <cell r="BA166" t="str">
            <v>-</v>
          </cell>
          <cell r="BB166" t="str">
            <v>-</v>
          </cell>
          <cell r="BC166" t="str">
            <v>-</v>
          </cell>
          <cell r="BD166" t="str">
            <v>-</v>
          </cell>
          <cell r="BE166" t="str">
            <v>-</v>
          </cell>
          <cell r="BF166" t="str">
            <v>-</v>
          </cell>
          <cell r="BG166" t="str">
            <v>-</v>
          </cell>
          <cell r="BH166" t="str">
            <v>-</v>
          </cell>
          <cell r="BI166" t="str">
            <v>-</v>
          </cell>
          <cell r="BJ166" t="str">
            <v>-</v>
          </cell>
          <cell r="BK166" t="str">
            <v>-</v>
          </cell>
          <cell r="BL166" t="str">
            <v>-</v>
          </cell>
          <cell r="BM166" t="str">
            <v>-</v>
          </cell>
          <cell r="BN166" t="str">
            <v>-</v>
          </cell>
          <cell r="BO166" t="str">
            <v>-</v>
          </cell>
          <cell r="BP166" t="str">
            <v>-</v>
          </cell>
        </row>
        <row r="167">
          <cell r="A167">
            <v>162</v>
          </cell>
          <cell r="B167" t="str">
            <v>-</v>
          </cell>
          <cell r="C167" t="str">
            <v>-</v>
          </cell>
          <cell r="D167" t="str">
            <v>-</v>
          </cell>
          <cell r="E167" t="str">
            <v>-</v>
          </cell>
          <cell r="F167" t="str">
            <v>-</v>
          </cell>
          <cell r="G167" t="str">
            <v>-</v>
          </cell>
          <cell r="H167" t="str">
            <v>-</v>
          </cell>
          <cell r="I167" t="str">
            <v>-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-</v>
          </cell>
          <cell r="N167" t="str">
            <v>-</v>
          </cell>
          <cell r="O167" t="str">
            <v>-</v>
          </cell>
          <cell r="P167" t="str">
            <v>-</v>
          </cell>
          <cell r="Q167" t="str">
            <v>-</v>
          </cell>
          <cell r="R167" t="str">
            <v>-</v>
          </cell>
          <cell r="S167" t="str">
            <v>-</v>
          </cell>
          <cell r="T167" t="str">
            <v>-</v>
          </cell>
          <cell r="U167" t="str">
            <v>-</v>
          </cell>
          <cell r="V167" t="str">
            <v>-</v>
          </cell>
          <cell r="W167" t="str">
            <v>-</v>
          </cell>
          <cell r="X167" t="str">
            <v>-</v>
          </cell>
          <cell r="Y167" t="str">
            <v>-</v>
          </cell>
          <cell r="Z167" t="str">
            <v>-</v>
          </cell>
          <cell r="AA167" t="str">
            <v>-</v>
          </cell>
          <cell r="AB167" t="str">
            <v>-</v>
          </cell>
          <cell r="AC167" t="str">
            <v>-</v>
          </cell>
          <cell r="AD167" t="str">
            <v>-</v>
          </cell>
          <cell r="AE167" t="str">
            <v>-</v>
          </cell>
          <cell r="AF167" t="str">
            <v>-</v>
          </cell>
          <cell r="AG167" t="str">
            <v>-</v>
          </cell>
          <cell r="AH167" t="str">
            <v>-</v>
          </cell>
          <cell r="AI167" t="str">
            <v>-</v>
          </cell>
          <cell r="AJ167" t="str">
            <v>-</v>
          </cell>
          <cell r="AK167" t="str">
            <v>-</v>
          </cell>
          <cell r="AL167" t="str">
            <v>-</v>
          </cell>
          <cell r="AM167" t="str">
            <v>-</v>
          </cell>
          <cell r="AN167" t="str">
            <v>-</v>
          </cell>
          <cell r="AO167" t="str">
            <v>-</v>
          </cell>
          <cell r="AP167" t="str">
            <v>-</v>
          </cell>
          <cell r="AQ167" t="str">
            <v>-</v>
          </cell>
          <cell r="AR167" t="str">
            <v>-</v>
          </cell>
          <cell r="AS167" t="str">
            <v>-</v>
          </cell>
          <cell r="AT167" t="str">
            <v>-</v>
          </cell>
          <cell r="AU167" t="str">
            <v>-</v>
          </cell>
          <cell r="AV167" t="str">
            <v>-</v>
          </cell>
          <cell r="AW167" t="str">
            <v>-</v>
          </cell>
          <cell r="AX167" t="str">
            <v>-</v>
          </cell>
          <cell r="AY167" t="str">
            <v>-</v>
          </cell>
          <cell r="AZ167" t="str">
            <v>-</v>
          </cell>
          <cell r="BA167" t="str">
            <v>-</v>
          </cell>
          <cell r="BB167" t="str">
            <v>-</v>
          </cell>
          <cell r="BC167" t="str">
            <v>-</v>
          </cell>
          <cell r="BD167" t="str">
            <v>-</v>
          </cell>
          <cell r="BE167" t="str">
            <v>-</v>
          </cell>
          <cell r="BF167" t="str">
            <v>-</v>
          </cell>
          <cell r="BG167" t="str">
            <v>-</v>
          </cell>
          <cell r="BH167" t="str">
            <v>-</v>
          </cell>
          <cell r="BI167" t="str">
            <v>-</v>
          </cell>
          <cell r="BJ167" t="str">
            <v>-</v>
          </cell>
          <cell r="BK167" t="str">
            <v>-</v>
          </cell>
          <cell r="BL167" t="str">
            <v>-</v>
          </cell>
          <cell r="BM167" t="str">
            <v>-</v>
          </cell>
          <cell r="BN167" t="str">
            <v>-</v>
          </cell>
          <cell r="BO167" t="str">
            <v>-</v>
          </cell>
          <cell r="BP167" t="str">
            <v>-</v>
          </cell>
        </row>
        <row r="168">
          <cell r="A168">
            <v>163</v>
          </cell>
          <cell r="B168" t="str">
            <v>-</v>
          </cell>
          <cell r="C168" t="str">
            <v>-</v>
          </cell>
          <cell r="D168" t="str">
            <v>-</v>
          </cell>
          <cell r="E168" t="str">
            <v>-</v>
          </cell>
          <cell r="F168" t="str">
            <v>-</v>
          </cell>
          <cell r="G168" t="str">
            <v>-</v>
          </cell>
          <cell r="H168" t="str">
            <v>-</v>
          </cell>
          <cell r="I168" t="str">
            <v>-</v>
          </cell>
          <cell r="J168" t="str">
            <v>-</v>
          </cell>
          <cell r="K168" t="str">
            <v>-</v>
          </cell>
          <cell r="L168" t="str">
            <v>-</v>
          </cell>
          <cell r="M168" t="str">
            <v>-</v>
          </cell>
          <cell r="N168" t="str">
            <v>-</v>
          </cell>
          <cell r="O168" t="str">
            <v>-</v>
          </cell>
          <cell r="P168" t="str">
            <v>-</v>
          </cell>
          <cell r="Q168" t="str">
            <v>-</v>
          </cell>
          <cell r="R168" t="str">
            <v>-</v>
          </cell>
          <cell r="S168" t="str">
            <v>-</v>
          </cell>
          <cell r="T168" t="str">
            <v>-</v>
          </cell>
          <cell r="U168" t="str">
            <v>-</v>
          </cell>
          <cell r="V168" t="str">
            <v>-</v>
          </cell>
          <cell r="W168" t="str">
            <v>-</v>
          </cell>
          <cell r="X168" t="str">
            <v>-</v>
          </cell>
          <cell r="Y168" t="str">
            <v>-</v>
          </cell>
          <cell r="Z168" t="str">
            <v>-</v>
          </cell>
          <cell r="AA168" t="str">
            <v>-</v>
          </cell>
          <cell r="AB168" t="str">
            <v>-</v>
          </cell>
          <cell r="AC168" t="str">
            <v>-</v>
          </cell>
          <cell r="AD168" t="str">
            <v>-</v>
          </cell>
          <cell r="AE168" t="str">
            <v>-</v>
          </cell>
          <cell r="AF168" t="str">
            <v>-</v>
          </cell>
          <cell r="AG168" t="str">
            <v>-</v>
          </cell>
          <cell r="AH168" t="str">
            <v>-</v>
          </cell>
          <cell r="AI168" t="str">
            <v>-</v>
          </cell>
          <cell r="AJ168" t="str">
            <v>-</v>
          </cell>
          <cell r="AK168" t="str">
            <v>-</v>
          </cell>
          <cell r="AL168" t="str">
            <v>-</v>
          </cell>
          <cell r="AM168" t="str">
            <v>-</v>
          </cell>
          <cell r="AN168" t="str">
            <v>-</v>
          </cell>
          <cell r="AO168" t="str">
            <v>-</v>
          </cell>
          <cell r="AP168" t="str">
            <v>-</v>
          </cell>
          <cell r="AQ168" t="str">
            <v>-</v>
          </cell>
          <cell r="AR168" t="str">
            <v>-</v>
          </cell>
          <cell r="AS168" t="str">
            <v>-</v>
          </cell>
          <cell r="AT168" t="str">
            <v>-</v>
          </cell>
          <cell r="AU168" t="str">
            <v>-</v>
          </cell>
          <cell r="AV168" t="str">
            <v>-</v>
          </cell>
          <cell r="AW168" t="str">
            <v>-</v>
          </cell>
          <cell r="AX168" t="str">
            <v>-</v>
          </cell>
          <cell r="AY168" t="str">
            <v>-</v>
          </cell>
          <cell r="AZ168" t="str">
            <v>-</v>
          </cell>
          <cell r="BA168" t="str">
            <v>-</v>
          </cell>
          <cell r="BB168" t="str">
            <v>-</v>
          </cell>
          <cell r="BC168" t="str">
            <v>-</v>
          </cell>
          <cell r="BD168" t="str">
            <v>-</v>
          </cell>
          <cell r="BE168" t="str">
            <v>-</v>
          </cell>
          <cell r="BF168" t="str">
            <v>-</v>
          </cell>
          <cell r="BG168" t="str">
            <v>-</v>
          </cell>
          <cell r="BH168" t="str">
            <v>-</v>
          </cell>
          <cell r="BI168" t="str">
            <v>-</v>
          </cell>
          <cell r="BJ168" t="str">
            <v>-</v>
          </cell>
          <cell r="BK168" t="str">
            <v>-</v>
          </cell>
          <cell r="BL168" t="str">
            <v>-</v>
          </cell>
          <cell r="BM168" t="str">
            <v>-</v>
          </cell>
          <cell r="BN168" t="str">
            <v>-</v>
          </cell>
          <cell r="BO168" t="str">
            <v>-</v>
          </cell>
          <cell r="BP168" t="str">
            <v>-</v>
          </cell>
        </row>
        <row r="169">
          <cell r="A169">
            <v>164</v>
          </cell>
          <cell r="B169" t="str">
            <v>-</v>
          </cell>
          <cell r="C169" t="str">
            <v>-</v>
          </cell>
          <cell r="D169" t="str">
            <v>-</v>
          </cell>
          <cell r="E169" t="str">
            <v>-</v>
          </cell>
          <cell r="F169" t="str">
            <v>-</v>
          </cell>
          <cell r="G169" t="str">
            <v>-</v>
          </cell>
          <cell r="H169" t="str">
            <v>-</v>
          </cell>
          <cell r="I169" t="str">
            <v>-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-</v>
          </cell>
          <cell r="N169" t="str">
            <v>-</v>
          </cell>
          <cell r="O169" t="str">
            <v>-</v>
          </cell>
          <cell r="P169" t="str">
            <v>-</v>
          </cell>
          <cell r="Q169" t="str">
            <v>-</v>
          </cell>
          <cell r="R169" t="str">
            <v>-</v>
          </cell>
          <cell r="S169" t="str">
            <v>-</v>
          </cell>
          <cell r="T169" t="str">
            <v>-</v>
          </cell>
          <cell r="U169" t="str">
            <v>-</v>
          </cell>
          <cell r="V169" t="str">
            <v>-</v>
          </cell>
          <cell r="W169" t="str">
            <v>-</v>
          </cell>
          <cell r="X169" t="str">
            <v>-</v>
          </cell>
          <cell r="Y169" t="str">
            <v>-</v>
          </cell>
          <cell r="Z169" t="str">
            <v>-</v>
          </cell>
          <cell r="AA169" t="str">
            <v>-</v>
          </cell>
          <cell r="AB169" t="str">
            <v>-</v>
          </cell>
          <cell r="AC169" t="str">
            <v>-</v>
          </cell>
          <cell r="AD169" t="str">
            <v>-</v>
          </cell>
          <cell r="AE169" t="str">
            <v>-</v>
          </cell>
          <cell r="AF169" t="str">
            <v>-</v>
          </cell>
          <cell r="AG169" t="str">
            <v>-</v>
          </cell>
          <cell r="AH169" t="str">
            <v>-</v>
          </cell>
          <cell r="AI169" t="str">
            <v>-</v>
          </cell>
          <cell r="AJ169" t="str">
            <v>-</v>
          </cell>
          <cell r="AK169" t="str">
            <v>-</v>
          </cell>
          <cell r="AL169" t="str">
            <v>-</v>
          </cell>
          <cell r="AM169" t="str">
            <v>-</v>
          </cell>
          <cell r="AN169" t="str">
            <v>-</v>
          </cell>
          <cell r="AO169" t="str">
            <v>-</v>
          </cell>
          <cell r="AP169" t="str">
            <v>-</v>
          </cell>
          <cell r="AQ169" t="str">
            <v>-</v>
          </cell>
          <cell r="AR169" t="str">
            <v>-</v>
          </cell>
          <cell r="AS169" t="str">
            <v>-</v>
          </cell>
          <cell r="AT169" t="str">
            <v>-</v>
          </cell>
          <cell r="AU169" t="str">
            <v>-</v>
          </cell>
          <cell r="AV169" t="str">
            <v>-</v>
          </cell>
          <cell r="AW169" t="str">
            <v>-</v>
          </cell>
          <cell r="AX169" t="str">
            <v>-</v>
          </cell>
          <cell r="AY169" t="str">
            <v>-</v>
          </cell>
          <cell r="AZ169" t="str">
            <v>-</v>
          </cell>
          <cell r="BA169" t="str">
            <v>-</v>
          </cell>
          <cell r="BB169" t="str">
            <v>-</v>
          </cell>
          <cell r="BC169" t="str">
            <v>-</v>
          </cell>
          <cell r="BD169" t="str">
            <v>-</v>
          </cell>
          <cell r="BE169" t="str">
            <v>-</v>
          </cell>
          <cell r="BF169" t="str">
            <v>-</v>
          </cell>
          <cell r="BG169" t="str">
            <v>-</v>
          </cell>
          <cell r="BH169" t="str">
            <v>-</v>
          </cell>
          <cell r="BI169" t="str">
            <v>-</v>
          </cell>
          <cell r="BJ169" t="str">
            <v>-</v>
          </cell>
          <cell r="BK169" t="str">
            <v>-</v>
          </cell>
          <cell r="BL169" t="str">
            <v>-</v>
          </cell>
          <cell r="BM169" t="str">
            <v>-</v>
          </cell>
          <cell r="BN169" t="str">
            <v>-</v>
          </cell>
          <cell r="BO169" t="str">
            <v>-</v>
          </cell>
          <cell r="BP169" t="str">
            <v>-</v>
          </cell>
        </row>
        <row r="170">
          <cell r="A170">
            <v>165</v>
          </cell>
          <cell r="B170" t="str">
            <v>-</v>
          </cell>
          <cell r="C170" t="str">
            <v>-</v>
          </cell>
          <cell r="D170" t="str">
            <v>-</v>
          </cell>
          <cell r="E170" t="str">
            <v>-</v>
          </cell>
          <cell r="F170" t="str">
            <v>-</v>
          </cell>
          <cell r="G170" t="str">
            <v>-</v>
          </cell>
          <cell r="H170" t="str">
            <v>-</v>
          </cell>
          <cell r="I170" t="str">
            <v>-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-</v>
          </cell>
          <cell r="N170" t="str">
            <v>-</v>
          </cell>
          <cell r="O170" t="str">
            <v>-</v>
          </cell>
          <cell r="P170" t="str">
            <v>-</v>
          </cell>
          <cell r="Q170" t="str">
            <v>-</v>
          </cell>
          <cell r="R170" t="str">
            <v>-</v>
          </cell>
          <cell r="S170" t="str">
            <v>-</v>
          </cell>
          <cell r="T170" t="str">
            <v>-</v>
          </cell>
          <cell r="U170" t="str">
            <v>-</v>
          </cell>
          <cell r="V170" t="str">
            <v>-</v>
          </cell>
          <cell r="W170" t="str">
            <v>-</v>
          </cell>
          <cell r="X170" t="str">
            <v>-</v>
          </cell>
          <cell r="Y170" t="str">
            <v>-</v>
          </cell>
          <cell r="Z170" t="str">
            <v>-</v>
          </cell>
          <cell r="AA170" t="str">
            <v>-</v>
          </cell>
          <cell r="AB170" t="str">
            <v>-</v>
          </cell>
          <cell r="AC170" t="str">
            <v>-</v>
          </cell>
          <cell r="AD170" t="str">
            <v>-</v>
          </cell>
          <cell r="AE170" t="str">
            <v>-</v>
          </cell>
          <cell r="AF170" t="str">
            <v>-</v>
          </cell>
          <cell r="AG170" t="str">
            <v>-</v>
          </cell>
          <cell r="AH170" t="str">
            <v>-</v>
          </cell>
          <cell r="AI170" t="str">
            <v>-</v>
          </cell>
          <cell r="AJ170" t="str">
            <v>-</v>
          </cell>
          <cell r="AK170" t="str">
            <v>-</v>
          </cell>
          <cell r="AL170" t="str">
            <v>-</v>
          </cell>
          <cell r="AM170" t="str">
            <v>-</v>
          </cell>
          <cell r="AN170" t="str">
            <v>-</v>
          </cell>
          <cell r="AO170" t="str">
            <v>-</v>
          </cell>
          <cell r="AP170" t="str">
            <v>-</v>
          </cell>
          <cell r="AQ170" t="str">
            <v>-</v>
          </cell>
          <cell r="AR170" t="str">
            <v>-</v>
          </cell>
          <cell r="AS170" t="str">
            <v>-</v>
          </cell>
          <cell r="AT170" t="str">
            <v>-</v>
          </cell>
          <cell r="AU170" t="str">
            <v>-</v>
          </cell>
          <cell r="AV170" t="str">
            <v>-</v>
          </cell>
          <cell r="AW170" t="str">
            <v>-</v>
          </cell>
          <cell r="AX170" t="str">
            <v>-</v>
          </cell>
          <cell r="AY170" t="str">
            <v>-</v>
          </cell>
          <cell r="AZ170" t="str">
            <v>-</v>
          </cell>
          <cell r="BA170" t="str">
            <v>-</v>
          </cell>
          <cell r="BB170" t="str">
            <v>-</v>
          </cell>
          <cell r="BC170" t="str">
            <v>-</v>
          </cell>
          <cell r="BD170" t="str">
            <v>-</v>
          </cell>
          <cell r="BE170" t="str">
            <v>-</v>
          </cell>
          <cell r="BF170" t="str">
            <v>-</v>
          </cell>
          <cell r="BG170" t="str">
            <v>-</v>
          </cell>
          <cell r="BH170" t="str">
            <v>-</v>
          </cell>
          <cell r="BI170" t="str">
            <v>-</v>
          </cell>
          <cell r="BJ170" t="str">
            <v>-</v>
          </cell>
          <cell r="BK170" t="str">
            <v>-</v>
          </cell>
          <cell r="BL170" t="str">
            <v>-</v>
          </cell>
          <cell r="BM170" t="str">
            <v>-</v>
          </cell>
          <cell r="BN170" t="str">
            <v>-</v>
          </cell>
          <cell r="BO170" t="str">
            <v>-</v>
          </cell>
          <cell r="BP170" t="str">
            <v>-</v>
          </cell>
        </row>
        <row r="171">
          <cell r="A171">
            <v>166</v>
          </cell>
          <cell r="B171" t="str">
            <v>-</v>
          </cell>
          <cell r="C171" t="str">
            <v>-</v>
          </cell>
          <cell r="D171" t="str">
            <v>-</v>
          </cell>
          <cell r="E171" t="str">
            <v>-</v>
          </cell>
          <cell r="F171" t="str">
            <v>-</v>
          </cell>
          <cell r="G171" t="str">
            <v>-</v>
          </cell>
          <cell r="H171" t="str">
            <v>-</v>
          </cell>
          <cell r="I171" t="str">
            <v>-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-</v>
          </cell>
          <cell r="N171" t="str">
            <v>-</v>
          </cell>
          <cell r="O171" t="str">
            <v>-</v>
          </cell>
          <cell r="P171" t="str">
            <v>-</v>
          </cell>
          <cell r="Q171" t="str">
            <v>-</v>
          </cell>
          <cell r="R171" t="str">
            <v>-</v>
          </cell>
          <cell r="S171" t="str">
            <v>-</v>
          </cell>
          <cell r="T171" t="str">
            <v>-</v>
          </cell>
          <cell r="U171" t="str">
            <v>-</v>
          </cell>
          <cell r="V171" t="str">
            <v>-</v>
          </cell>
          <cell r="W171" t="str">
            <v>-</v>
          </cell>
          <cell r="X171" t="str">
            <v>-</v>
          </cell>
          <cell r="Y171" t="str">
            <v>-</v>
          </cell>
          <cell r="Z171" t="str">
            <v>-</v>
          </cell>
          <cell r="AA171" t="str">
            <v>-</v>
          </cell>
          <cell r="AB171" t="str">
            <v>-</v>
          </cell>
          <cell r="AC171" t="str">
            <v>-</v>
          </cell>
          <cell r="AD171" t="str">
            <v>-</v>
          </cell>
          <cell r="AE171" t="str">
            <v>-</v>
          </cell>
          <cell r="AF171" t="str">
            <v>-</v>
          </cell>
          <cell r="AG171" t="str">
            <v>-</v>
          </cell>
          <cell r="AH171" t="str">
            <v>-</v>
          </cell>
          <cell r="AI171" t="str">
            <v>-</v>
          </cell>
          <cell r="AJ171" t="str">
            <v>-</v>
          </cell>
          <cell r="AK171" t="str">
            <v>-</v>
          </cell>
          <cell r="AL171" t="str">
            <v>-</v>
          </cell>
          <cell r="AM171" t="str">
            <v>-</v>
          </cell>
          <cell r="AN171" t="str">
            <v>-</v>
          </cell>
          <cell r="AO171" t="str">
            <v>-</v>
          </cell>
          <cell r="AP171" t="str">
            <v>-</v>
          </cell>
          <cell r="AQ171" t="str">
            <v>-</v>
          </cell>
          <cell r="AR171" t="str">
            <v>-</v>
          </cell>
          <cell r="AS171" t="str">
            <v>-</v>
          </cell>
          <cell r="AT171" t="str">
            <v>-</v>
          </cell>
          <cell r="AU171" t="str">
            <v>-</v>
          </cell>
          <cell r="AV171" t="str">
            <v>-</v>
          </cell>
          <cell r="AW171" t="str">
            <v>-</v>
          </cell>
          <cell r="AX171" t="str">
            <v>-</v>
          </cell>
          <cell r="AY171" t="str">
            <v>-</v>
          </cell>
          <cell r="AZ171" t="str">
            <v>-</v>
          </cell>
          <cell r="BA171" t="str">
            <v>-</v>
          </cell>
          <cell r="BB171" t="str">
            <v>-</v>
          </cell>
          <cell r="BC171" t="str">
            <v>-</v>
          </cell>
          <cell r="BD171" t="str">
            <v>-</v>
          </cell>
          <cell r="BE171" t="str">
            <v>-</v>
          </cell>
          <cell r="BF171" t="str">
            <v>-</v>
          </cell>
          <cell r="BG171" t="str">
            <v>-</v>
          </cell>
          <cell r="BH171" t="str">
            <v>-</v>
          </cell>
          <cell r="BI171" t="str">
            <v>-</v>
          </cell>
          <cell r="BJ171" t="str">
            <v>-</v>
          </cell>
          <cell r="BK171" t="str">
            <v>-</v>
          </cell>
          <cell r="BL171" t="str">
            <v>-</v>
          </cell>
          <cell r="BM171" t="str">
            <v>-</v>
          </cell>
          <cell r="BN171" t="str">
            <v>-</v>
          </cell>
          <cell r="BO171" t="str">
            <v>-</v>
          </cell>
          <cell r="BP171" t="str">
            <v>-</v>
          </cell>
        </row>
        <row r="172">
          <cell r="A172">
            <v>167</v>
          </cell>
          <cell r="B172" t="str">
            <v>-</v>
          </cell>
          <cell r="C172" t="str">
            <v>-</v>
          </cell>
          <cell r="D172" t="str">
            <v>-</v>
          </cell>
          <cell r="E172" t="str">
            <v>-</v>
          </cell>
          <cell r="F172" t="str">
            <v>-</v>
          </cell>
          <cell r="G172" t="str">
            <v>-</v>
          </cell>
          <cell r="H172" t="str">
            <v>-</v>
          </cell>
          <cell r="I172" t="str">
            <v>-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-</v>
          </cell>
          <cell r="N172" t="str">
            <v>-</v>
          </cell>
          <cell r="O172" t="str">
            <v>-</v>
          </cell>
          <cell r="P172" t="str">
            <v>-</v>
          </cell>
          <cell r="Q172" t="str">
            <v>-</v>
          </cell>
          <cell r="R172" t="str">
            <v>-</v>
          </cell>
          <cell r="S172" t="str">
            <v>-</v>
          </cell>
          <cell r="T172" t="str">
            <v>-</v>
          </cell>
          <cell r="U172" t="str">
            <v>-</v>
          </cell>
          <cell r="V172" t="str">
            <v>-</v>
          </cell>
          <cell r="W172" t="str">
            <v>-</v>
          </cell>
          <cell r="X172" t="str">
            <v>-</v>
          </cell>
          <cell r="Y172" t="str">
            <v>-</v>
          </cell>
          <cell r="Z172" t="str">
            <v>-</v>
          </cell>
          <cell r="AA172" t="str">
            <v>-</v>
          </cell>
          <cell r="AB172" t="str">
            <v>-</v>
          </cell>
          <cell r="AC172" t="str">
            <v>-</v>
          </cell>
          <cell r="AD172" t="str">
            <v>-</v>
          </cell>
          <cell r="AE172" t="str">
            <v>-</v>
          </cell>
          <cell r="AF172" t="str">
            <v>-</v>
          </cell>
          <cell r="AG172" t="str">
            <v>-</v>
          </cell>
          <cell r="AH172" t="str">
            <v>-</v>
          </cell>
          <cell r="AI172" t="str">
            <v>-</v>
          </cell>
          <cell r="AJ172" t="str">
            <v>-</v>
          </cell>
          <cell r="AK172" t="str">
            <v>-</v>
          </cell>
          <cell r="AL172" t="str">
            <v>-</v>
          </cell>
          <cell r="AM172" t="str">
            <v>-</v>
          </cell>
          <cell r="AN172" t="str">
            <v>-</v>
          </cell>
          <cell r="AO172" t="str">
            <v>-</v>
          </cell>
          <cell r="AP172" t="str">
            <v>-</v>
          </cell>
          <cell r="AQ172" t="str">
            <v>-</v>
          </cell>
          <cell r="AR172" t="str">
            <v>-</v>
          </cell>
          <cell r="AS172" t="str">
            <v>-</v>
          </cell>
          <cell r="AT172" t="str">
            <v>-</v>
          </cell>
          <cell r="AU172" t="str">
            <v>-</v>
          </cell>
          <cell r="AV172" t="str">
            <v>-</v>
          </cell>
          <cell r="AW172" t="str">
            <v>-</v>
          </cell>
          <cell r="AX172" t="str">
            <v>-</v>
          </cell>
          <cell r="AY172" t="str">
            <v>-</v>
          </cell>
          <cell r="AZ172" t="str">
            <v>-</v>
          </cell>
          <cell r="BA172" t="str">
            <v>-</v>
          </cell>
          <cell r="BB172" t="str">
            <v>-</v>
          </cell>
          <cell r="BC172" t="str">
            <v>-</v>
          </cell>
          <cell r="BD172" t="str">
            <v>-</v>
          </cell>
          <cell r="BE172" t="str">
            <v>-</v>
          </cell>
          <cell r="BF172" t="str">
            <v>-</v>
          </cell>
          <cell r="BG172" t="str">
            <v>-</v>
          </cell>
          <cell r="BH172" t="str">
            <v>-</v>
          </cell>
          <cell r="BI172" t="str">
            <v>-</v>
          </cell>
          <cell r="BJ172" t="str">
            <v>-</v>
          </cell>
          <cell r="BK172" t="str">
            <v>-</v>
          </cell>
          <cell r="BL172" t="str">
            <v>-</v>
          </cell>
          <cell r="BM172" t="str">
            <v>-</v>
          </cell>
          <cell r="BN172" t="str">
            <v>-</v>
          </cell>
          <cell r="BO172" t="str">
            <v>-</v>
          </cell>
          <cell r="BP172" t="str">
            <v>-</v>
          </cell>
        </row>
        <row r="173">
          <cell r="A173">
            <v>168</v>
          </cell>
          <cell r="B173" t="str">
            <v>-</v>
          </cell>
          <cell r="C173" t="str">
            <v>-</v>
          </cell>
          <cell r="D173" t="str">
            <v>-</v>
          </cell>
          <cell r="E173" t="str">
            <v>-</v>
          </cell>
          <cell r="F173" t="str">
            <v>-</v>
          </cell>
          <cell r="G173" t="str">
            <v>-</v>
          </cell>
          <cell r="H173" t="str">
            <v>-</v>
          </cell>
          <cell r="I173" t="str">
            <v>-</v>
          </cell>
          <cell r="J173" t="str">
            <v>-</v>
          </cell>
          <cell r="K173" t="str">
            <v>-</v>
          </cell>
          <cell r="L173" t="str">
            <v>-</v>
          </cell>
          <cell r="M173" t="str">
            <v>-</v>
          </cell>
          <cell r="N173" t="str">
            <v>-</v>
          </cell>
          <cell r="O173" t="str">
            <v>-</v>
          </cell>
          <cell r="P173" t="str">
            <v>-</v>
          </cell>
          <cell r="Q173" t="str">
            <v>-</v>
          </cell>
          <cell r="R173" t="str">
            <v>-</v>
          </cell>
          <cell r="S173" t="str">
            <v>-</v>
          </cell>
          <cell r="T173" t="str">
            <v>-</v>
          </cell>
          <cell r="U173" t="str">
            <v>-</v>
          </cell>
          <cell r="V173" t="str">
            <v>-</v>
          </cell>
          <cell r="W173" t="str">
            <v>-</v>
          </cell>
          <cell r="X173" t="str">
            <v>-</v>
          </cell>
          <cell r="Y173" t="str">
            <v>-</v>
          </cell>
          <cell r="Z173" t="str">
            <v>-</v>
          </cell>
          <cell r="AA173" t="str">
            <v>-</v>
          </cell>
          <cell r="AB173" t="str">
            <v>-</v>
          </cell>
          <cell r="AC173" t="str">
            <v>-</v>
          </cell>
          <cell r="AD173" t="str">
            <v>-</v>
          </cell>
          <cell r="AE173" t="str">
            <v>-</v>
          </cell>
          <cell r="AF173" t="str">
            <v>-</v>
          </cell>
          <cell r="AG173" t="str">
            <v>-</v>
          </cell>
          <cell r="AH173" t="str">
            <v>-</v>
          </cell>
          <cell r="AI173" t="str">
            <v>-</v>
          </cell>
          <cell r="AJ173" t="str">
            <v>-</v>
          </cell>
          <cell r="AK173" t="str">
            <v>-</v>
          </cell>
          <cell r="AL173" t="str">
            <v>-</v>
          </cell>
          <cell r="AM173" t="str">
            <v>-</v>
          </cell>
          <cell r="AN173" t="str">
            <v>-</v>
          </cell>
          <cell r="AO173" t="str">
            <v>-</v>
          </cell>
          <cell r="AP173" t="str">
            <v>-</v>
          </cell>
          <cell r="AQ173" t="str">
            <v>-</v>
          </cell>
          <cell r="AR173" t="str">
            <v>-</v>
          </cell>
          <cell r="AS173" t="str">
            <v>-</v>
          </cell>
          <cell r="AT173" t="str">
            <v>-</v>
          </cell>
          <cell r="AU173" t="str">
            <v>-</v>
          </cell>
          <cell r="AV173" t="str">
            <v>-</v>
          </cell>
          <cell r="AW173" t="str">
            <v>-</v>
          </cell>
          <cell r="AX173" t="str">
            <v>-</v>
          </cell>
          <cell r="AY173" t="str">
            <v>-</v>
          </cell>
          <cell r="AZ173" t="str">
            <v>-</v>
          </cell>
          <cell r="BA173" t="str">
            <v>-</v>
          </cell>
          <cell r="BB173" t="str">
            <v>-</v>
          </cell>
          <cell r="BC173" t="str">
            <v>-</v>
          </cell>
          <cell r="BD173" t="str">
            <v>-</v>
          </cell>
          <cell r="BE173" t="str">
            <v>-</v>
          </cell>
          <cell r="BF173" t="str">
            <v>-</v>
          </cell>
          <cell r="BG173" t="str">
            <v>-</v>
          </cell>
          <cell r="BH173" t="str">
            <v>-</v>
          </cell>
          <cell r="BI173" t="str">
            <v>-</v>
          </cell>
          <cell r="BJ173" t="str">
            <v>-</v>
          </cell>
          <cell r="BK173" t="str">
            <v>-</v>
          </cell>
          <cell r="BL173" t="str">
            <v>-</v>
          </cell>
          <cell r="BM173" t="str">
            <v>-</v>
          </cell>
          <cell r="BN173" t="str">
            <v>-</v>
          </cell>
          <cell r="BO173" t="str">
            <v>-</v>
          </cell>
          <cell r="BP173" t="str">
            <v>-</v>
          </cell>
        </row>
        <row r="174">
          <cell r="A174">
            <v>169</v>
          </cell>
          <cell r="B174" t="str">
            <v>-</v>
          </cell>
          <cell r="C174" t="str">
            <v>-</v>
          </cell>
          <cell r="D174" t="str">
            <v>-</v>
          </cell>
          <cell r="E174" t="str">
            <v>-</v>
          </cell>
          <cell r="F174" t="str">
            <v>-</v>
          </cell>
          <cell r="G174" t="str">
            <v>-</v>
          </cell>
          <cell r="H174" t="str">
            <v>-</v>
          </cell>
          <cell r="I174" t="str">
            <v>-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-</v>
          </cell>
          <cell r="N174" t="str">
            <v>-</v>
          </cell>
          <cell r="O174" t="str">
            <v>-</v>
          </cell>
          <cell r="P174" t="str">
            <v>-</v>
          </cell>
          <cell r="Q174" t="str">
            <v>-</v>
          </cell>
          <cell r="R174" t="str">
            <v>-</v>
          </cell>
          <cell r="S174" t="str">
            <v>-</v>
          </cell>
          <cell r="T174" t="str">
            <v>-</v>
          </cell>
          <cell r="U174" t="str">
            <v>-</v>
          </cell>
          <cell r="V174" t="str">
            <v>-</v>
          </cell>
          <cell r="W174" t="str">
            <v>-</v>
          </cell>
          <cell r="X174" t="str">
            <v>-</v>
          </cell>
          <cell r="Y174" t="str">
            <v>-</v>
          </cell>
          <cell r="Z174" t="str">
            <v>-</v>
          </cell>
          <cell r="AA174" t="str">
            <v>-</v>
          </cell>
          <cell r="AB174" t="str">
            <v>-</v>
          </cell>
          <cell r="AC174" t="str">
            <v>-</v>
          </cell>
          <cell r="AD174" t="str">
            <v>-</v>
          </cell>
          <cell r="AE174" t="str">
            <v>-</v>
          </cell>
          <cell r="AF174" t="str">
            <v>-</v>
          </cell>
          <cell r="AG174" t="str">
            <v>-</v>
          </cell>
          <cell r="AH174" t="str">
            <v>-</v>
          </cell>
          <cell r="AI174" t="str">
            <v>-</v>
          </cell>
          <cell r="AJ174" t="str">
            <v>-</v>
          </cell>
          <cell r="AK174" t="str">
            <v>-</v>
          </cell>
          <cell r="AL174" t="str">
            <v>-</v>
          </cell>
          <cell r="AM174" t="str">
            <v>-</v>
          </cell>
          <cell r="AN174" t="str">
            <v>-</v>
          </cell>
          <cell r="AO174" t="str">
            <v>-</v>
          </cell>
          <cell r="AP174" t="str">
            <v>-</v>
          </cell>
          <cell r="AQ174" t="str">
            <v>-</v>
          </cell>
          <cell r="AR174" t="str">
            <v>-</v>
          </cell>
          <cell r="AS174" t="str">
            <v>-</v>
          </cell>
          <cell r="AT174" t="str">
            <v>-</v>
          </cell>
          <cell r="AU174" t="str">
            <v>-</v>
          </cell>
          <cell r="AV174" t="str">
            <v>-</v>
          </cell>
          <cell r="AW174" t="str">
            <v>-</v>
          </cell>
          <cell r="AX174" t="str">
            <v>-</v>
          </cell>
          <cell r="AY174" t="str">
            <v>-</v>
          </cell>
          <cell r="AZ174" t="str">
            <v>-</v>
          </cell>
          <cell r="BA174" t="str">
            <v>-</v>
          </cell>
          <cell r="BB174" t="str">
            <v>-</v>
          </cell>
          <cell r="BC174" t="str">
            <v>-</v>
          </cell>
          <cell r="BD174" t="str">
            <v>-</v>
          </cell>
          <cell r="BE174" t="str">
            <v>-</v>
          </cell>
          <cell r="BF174" t="str">
            <v>-</v>
          </cell>
          <cell r="BG174" t="str">
            <v>-</v>
          </cell>
          <cell r="BH174" t="str">
            <v>-</v>
          </cell>
          <cell r="BI174" t="str">
            <v>-</v>
          </cell>
          <cell r="BJ174" t="str">
            <v>-</v>
          </cell>
          <cell r="BK174" t="str">
            <v>-</v>
          </cell>
          <cell r="BL174" t="str">
            <v>-</v>
          </cell>
          <cell r="BM174" t="str">
            <v>-</v>
          </cell>
          <cell r="BN174" t="str">
            <v>-</v>
          </cell>
          <cell r="BO174" t="str">
            <v>-</v>
          </cell>
          <cell r="BP174" t="str">
            <v>-</v>
          </cell>
        </row>
        <row r="175">
          <cell r="A175">
            <v>170</v>
          </cell>
          <cell r="B175" t="str">
            <v>-</v>
          </cell>
          <cell r="C175" t="str">
            <v>-</v>
          </cell>
          <cell r="D175" t="str">
            <v>-</v>
          </cell>
          <cell r="E175" t="str">
            <v>-</v>
          </cell>
          <cell r="F175" t="str">
            <v>-</v>
          </cell>
          <cell r="G175" t="str">
            <v>-</v>
          </cell>
          <cell r="H175" t="str">
            <v>-</v>
          </cell>
          <cell r="I175" t="str">
            <v>-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-</v>
          </cell>
          <cell r="N175" t="str">
            <v>-</v>
          </cell>
          <cell r="O175" t="str">
            <v>-</v>
          </cell>
          <cell r="P175" t="str">
            <v>-</v>
          </cell>
          <cell r="Q175" t="str">
            <v>-</v>
          </cell>
          <cell r="R175" t="str">
            <v>-</v>
          </cell>
          <cell r="S175" t="str">
            <v>-</v>
          </cell>
          <cell r="T175" t="str">
            <v>-</v>
          </cell>
          <cell r="U175" t="str">
            <v>-</v>
          </cell>
          <cell r="V175" t="str">
            <v>-</v>
          </cell>
          <cell r="W175" t="str">
            <v>-</v>
          </cell>
          <cell r="X175" t="str">
            <v>-</v>
          </cell>
          <cell r="Y175" t="str">
            <v>-</v>
          </cell>
          <cell r="Z175" t="str">
            <v>-</v>
          </cell>
          <cell r="AA175" t="str">
            <v>-</v>
          </cell>
          <cell r="AB175" t="str">
            <v>-</v>
          </cell>
          <cell r="AC175" t="str">
            <v>-</v>
          </cell>
          <cell r="AD175" t="str">
            <v>-</v>
          </cell>
          <cell r="AE175" t="str">
            <v>-</v>
          </cell>
          <cell r="AF175" t="str">
            <v>-</v>
          </cell>
          <cell r="AG175" t="str">
            <v>-</v>
          </cell>
          <cell r="AH175" t="str">
            <v>-</v>
          </cell>
          <cell r="AI175" t="str">
            <v>-</v>
          </cell>
          <cell r="AJ175" t="str">
            <v>-</v>
          </cell>
          <cell r="AK175" t="str">
            <v>-</v>
          </cell>
          <cell r="AL175" t="str">
            <v>-</v>
          </cell>
          <cell r="AM175" t="str">
            <v>-</v>
          </cell>
          <cell r="AN175" t="str">
            <v>-</v>
          </cell>
          <cell r="AO175" t="str">
            <v>-</v>
          </cell>
          <cell r="AP175" t="str">
            <v>-</v>
          </cell>
          <cell r="AQ175" t="str">
            <v>-</v>
          </cell>
          <cell r="AR175" t="str">
            <v>-</v>
          </cell>
          <cell r="AS175" t="str">
            <v>-</v>
          </cell>
          <cell r="AT175" t="str">
            <v>-</v>
          </cell>
          <cell r="AU175" t="str">
            <v>-</v>
          </cell>
          <cell r="AV175" t="str">
            <v>-</v>
          </cell>
          <cell r="AW175" t="str">
            <v>-</v>
          </cell>
          <cell r="AX175" t="str">
            <v>-</v>
          </cell>
          <cell r="AY175" t="str">
            <v>-</v>
          </cell>
          <cell r="AZ175" t="str">
            <v>-</v>
          </cell>
          <cell r="BA175" t="str">
            <v>-</v>
          </cell>
          <cell r="BB175" t="str">
            <v>-</v>
          </cell>
          <cell r="BC175" t="str">
            <v>-</v>
          </cell>
          <cell r="BD175" t="str">
            <v>-</v>
          </cell>
          <cell r="BE175" t="str">
            <v>-</v>
          </cell>
          <cell r="BF175" t="str">
            <v>-</v>
          </cell>
          <cell r="BG175" t="str">
            <v>-</v>
          </cell>
          <cell r="BH175" t="str">
            <v>-</v>
          </cell>
          <cell r="BI175" t="str">
            <v>-</v>
          </cell>
          <cell r="BJ175" t="str">
            <v>-</v>
          </cell>
          <cell r="BK175" t="str">
            <v>-</v>
          </cell>
          <cell r="BL175" t="str">
            <v>-</v>
          </cell>
          <cell r="BM175" t="str">
            <v>-</v>
          </cell>
          <cell r="BN175" t="str">
            <v>-</v>
          </cell>
          <cell r="BO175" t="str">
            <v>-</v>
          </cell>
          <cell r="BP175" t="str">
            <v>-</v>
          </cell>
        </row>
        <row r="176">
          <cell r="A176">
            <v>171</v>
          </cell>
          <cell r="B176" t="str">
            <v>-</v>
          </cell>
          <cell r="C176" t="str">
            <v>-</v>
          </cell>
          <cell r="D176" t="str">
            <v>-</v>
          </cell>
          <cell r="E176" t="str">
            <v>-</v>
          </cell>
          <cell r="F176" t="str">
            <v>-</v>
          </cell>
          <cell r="G176" t="str">
            <v>-</v>
          </cell>
          <cell r="H176" t="str">
            <v>-</v>
          </cell>
          <cell r="I176" t="str">
            <v>-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-</v>
          </cell>
          <cell r="N176" t="str">
            <v>-</v>
          </cell>
          <cell r="O176" t="str">
            <v>-</v>
          </cell>
          <cell r="P176" t="str">
            <v>-</v>
          </cell>
          <cell r="Q176" t="str">
            <v>-</v>
          </cell>
          <cell r="R176" t="str">
            <v>-</v>
          </cell>
          <cell r="S176" t="str">
            <v>-</v>
          </cell>
          <cell r="T176" t="str">
            <v>-</v>
          </cell>
          <cell r="U176" t="str">
            <v>-</v>
          </cell>
          <cell r="V176" t="str">
            <v>-</v>
          </cell>
          <cell r="W176" t="str">
            <v>-</v>
          </cell>
          <cell r="X176" t="str">
            <v>-</v>
          </cell>
          <cell r="Y176" t="str">
            <v>-</v>
          </cell>
          <cell r="Z176" t="str">
            <v>-</v>
          </cell>
          <cell r="AA176" t="str">
            <v>-</v>
          </cell>
          <cell r="AB176" t="str">
            <v>-</v>
          </cell>
          <cell r="AC176" t="str">
            <v>-</v>
          </cell>
          <cell r="AD176" t="str">
            <v>-</v>
          </cell>
          <cell r="AE176" t="str">
            <v>-</v>
          </cell>
          <cell r="AF176" t="str">
            <v>-</v>
          </cell>
          <cell r="AG176" t="str">
            <v>-</v>
          </cell>
          <cell r="AH176" t="str">
            <v>-</v>
          </cell>
          <cell r="AI176" t="str">
            <v>-</v>
          </cell>
          <cell r="AJ176" t="str">
            <v>-</v>
          </cell>
          <cell r="AK176" t="str">
            <v>-</v>
          </cell>
          <cell r="AL176" t="str">
            <v>-</v>
          </cell>
          <cell r="AM176" t="str">
            <v>-</v>
          </cell>
          <cell r="AN176" t="str">
            <v>-</v>
          </cell>
          <cell r="AO176" t="str">
            <v>-</v>
          </cell>
          <cell r="AP176" t="str">
            <v>-</v>
          </cell>
          <cell r="AQ176" t="str">
            <v>-</v>
          </cell>
          <cell r="AR176" t="str">
            <v>-</v>
          </cell>
          <cell r="AS176" t="str">
            <v>-</v>
          </cell>
          <cell r="AT176" t="str">
            <v>-</v>
          </cell>
          <cell r="AU176" t="str">
            <v>-</v>
          </cell>
          <cell r="AV176" t="str">
            <v>-</v>
          </cell>
          <cell r="AW176" t="str">
            <v>-</v>
          </cell>
          <cell r="AX176" t="str">
            <v>-</v>
          </cell>
          <cell r="AY176" t="str">
            <v>-</v>
          </cell>
          <cell r="AZ176" t="str">
            <v>-</v>
          </cell>
          <cell r="BA176" t="str">
            <v>-</v>
          </cell>
          <cell r="BB176" t="str">
            <v>-</v>
          </cell>
          <cell r="BC176" t="str">
            <v>-</v>
          </cell>
          <cell r="BD176" t="str">
            <v>-</v>
          </cell>
          <cell r="BE176" t="str">
            <v>-</v>
          </cell>
          <cell r="BF176" t="str">
            <v>-</v>
          </cell>
          <cell r="BG176" t="str">
            <v>-</v>
          </cell>
          <cell r="BH176" t="str">
            <v>-</v>
          </cell>
          <cell r="BI176" t="str">
            <v>-</v>
          </cell>
          <cell r="BJ176" t="str">
            <v>-</v>
          </cell>
          <cell r="BK176" t="str">
            <v>-</v>
          </cell>
          <cell r="BL176" t="str">
            <v>-</v>
          </cell>
          <cell r="BM176" t="str">
            <v>-</v>
          </cell>
          <cell r="BN176" t="str">
            <v>-</v>
          </cell>
          <cell r="BO176" t="str">
            <v>-</v>
          </cell>
          <cell r="BP176" t="str">
            <v>-</v>
          </cell>
        </row>
        <row r="177">
          <cell r="A177">
            <v>172</v>
          </cell>
          <cell r="B177" t="str">
            <v>-</v>
          </cell>
          <cell r="C177" t="str">
            <v>-</v>
          </cell>
          <cell r="D177" t="str">
            <v>-</v>
          </cell>
          <cell r="E177" t="str">
            <v>-</v>
          </cell>
          <cell r="F177" t="str">
            <v>-</v>
          </cell>
          <cell r="G177" t="str">
            <v>-</v>
          </cell>
          <cell r="H177" t="str">
            <v>-</v>
          </cell>
          <cell r="I177" t="str">
            <v>-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-</v>
          </cell>
          <cell r="N177" t="str">
            <v>-</v>
          </cell>
          <cell r="O177" t="str">
            <v>-</v>
          </cell>
          <cell r="P177" t="str">
            <v>-</v>
          </cell>
          <cell r="Q177" t="str">
            <v>-</v>
          </cell>
          <cell r="R177" t="str">
            <v>-</v>
          </cell>
          <cell r="S177" t="str">
            <v>-</v>
          </cell>
          <cell r="T177" t="str">
            <v>-</v>
          </cell>
          <cell r="U177" t="str">
            <v>-</v>
          </cell>
          <cell r="V177" t="str">
            <v>-</v>
          </cell>
          <cell r="W177" t="str">
            <v>-</v>
          </cell>
          <cell r="X177" t="str">
            <v>-</v>
          </cell>
          <cell r="Y177" t="str">
            <v>-</v>
          </cell>
          <cell r="Z177" t="str">
            <v>-</v>
          </cell>
          <cell r="AA177" t="str">
            <v>-</v>
          </cell>
          <cell r="AB177" t="str">
            <v>-</v>
          </cell>
          <cell r="AC177" t="str">
            <v>-</v>
          </cell>
          <cell r="AD177" t="str">
            <v>-</v>
          </cell>
          <cell r="AE177" t="str">
            <v>-</v>
          </cell>
          <cell r="AF177" t="str">
            <v>-</v>
          </cell>
          <cell r="AG177" t="str">
            <v>-</v>
          </cell>
          <cell r="AH177" t="str">
            <v>-</v>
          </cell>
          <cell r="AI177" t="str">
            <v>-</v>
          </cell>
          <cell r="AJ177" t="str">
            <v>-</v>
          </cell>
          <cell r="AK177" t="str">
            <v>-</v>
          </cell>
          <cell r="AL177" t="str">
            <v>-</v>
          </cell>
          <cell r="AM177" t="str">
            <v>-</v>
          </cell>
          <cell r="AN177" t="str">
            <v>-</v>
          </cell>
          <cell r="AO177" t="str">
            <v>-</v>
          </cell>
          <cell r="AP177" t="str">
            <v>-</v>
          </cell>
          <cell r="AQ177" t="str">
            <v>-</v>
          </cell>
          <cell r="AR177" t="str">
            <v>-</v>
          </cell>
          <cell r="AS177" t="str">
            <v>-</v>
          </cell>
          <cell r="AT177" t="str">
            <v>-</v>
          </cell>
          <cell r="AU177" t="str">
            <v>-</v>
          </cell>
          <cell r="AV177" t="str">
            <v>-</v>
          </cell>
          <cell r="AW177" t="str">
            <v>-</v>
          </cell>
          <cell r="AX177" t="str">
            <v>-</v>
          </cell>
          <cell r="AY177" t="str">
            <v>-</v>
          </cell>
          <cell r="AZ177" t="str">
            <v>-</v>
          </cell>
          <cell r="BA177" t="str">
            <v>-</v>
          </cell>
          <cell r="BB177" t="str">
            <v>-</v>
          </cell>
          <cell r="BC177" t="str">
            <v>-</v>
          </cell>
          <cell r="BD177" t="str">
            <v>-</v>
          </cell>
          <cell r="BE177" t="str">
            <v>-</v>
          </cell>
          <cell r="BF177" t="str">
            <v>-</v>
          </cell>
          <cell r="BG177" t="str">
            <v>-</v>
          </cell>
          <cell r="BH177" t="str">
            <v>-</v>
          </cell>
          <cell r="BI177" t="str">
            <v>-</v>
          </cell>
          <cell r="BJ177" t="str">
            <v>-</v>
          </cell>
          <cell r="BK177" t="str">
            <v>-</v>
          </cell>
          <cell r="BL177" t="str">
            <v>-</v>
          </cell>
          <cell r="BM177" t="str">
            <v>-</v>
          </cell>
          <cell r="BN177" t="str">
            <v>-</v>
          </cell>
          <cell r="BO177" t="str">
            <v>-</v>
          </cell>
          <cell r="BP177" t="str">
            <v>-</v>
          </cell>
        </row>
        <row r="178">
          <cell r="A178">
            <v>173</v>
          </cell>
          <cell r="B178" t="str">
            <v>-</v>
          </cell>
          <cell r="C178" t="str">
            <v>-</v>
          </cell>
          <cell r="D178" t="str">
            <v>-</v>
          </cell>
          <cell r="E178" t="str">
            <v>-</v>
          </cell>
          <cell r="F178" t="str">
            <v>-</v>
          </cell>
          <cell r="G178" t="str">
            <v>-</v>
          </cell>
          <cell r="H178" t="str">
            <v>-</v>
          </cell>
          <cell r="I178" t="str">
            <v>-</v>
          </cell>
          <cell r="J178" t="str">
            <v>-</v>
          </cell>
          <cell r="K178" t="str">
            <v>-</v>
          </cell>
          <cell r="L178" t="str">
            <v>-</v>
          </cell>
          <cell r="M178" t="str">
            <v>-</v>
          </cell>
          <cell r="N178" t="str">
            <v>-</v>
          </cell>
          <cell r="O178" t="str">
            <v>-</v>
          </cell>
          <cell r="P178" t="str">
            <v>-</v>
          </cell>
          <cell r="Q178" t="str">
            <v>-</v>
          </cell>
          <cell r="R178" t="str">
            <v>-</v>
          </cell>
          <cell r="S178" t="str">
            <v>-</v>
          </cell>
          <cell r="T178" t="str">
            <v>-</v>
          </cell>
          <cell r="U178" t="str">
            <v>-</v>
          </cell>
          <cell r="V178" t="str">
            <v>-</v>
          </cell>
          <cell r="W178" t="str">
            <v>-</v>
          </cell>
          <cell r="X178" t="str">
            <v>-</v>
          </cell>
          <cell r="Y178" t="str">
            <v>-</v>
          </cell>
          <cell r="Z178" t="str">
            <v>-</v>
          </cell>
          <cell r="AA178" t="str">
            <v>-</v>
          </cell>
          <cell r="AB178" t="str">
            <v>-</v>
          </cell>
          <cell r="AC178" t="str">
            <v>-</v>
          </cell>
          <cell r="AD178" t="str">
            <v>-</v>
          </cell>
          <cell r="AE178" t="str">
            <v>-</v>
          </cell>
          <cell r="AF178" t="str">
            <v>-</v>
          </cell>
          <cell r="AG178" t="str">
            <v>-</v>
          </cell>
          <cell r="AH178" t="str">
            <v>-</v>
          </cell>
          <cell r="AI178" t="str">
            <v>-</v>
          </cell>
          <cell r="AJ178" t="str">
            <v>-</v>
          </cell>
          <cell r="AK178" t="str">
            <v>-</v>
          </cell>
          <cell r="AL178" t="str">
            <v>-</v>
          </cell>
          <cell r="AM178" t="str">
            <v>-</v>
          </cell>
          <cell r="AN178" t="str">
            <v>-</v>
          </cell>
          <cell r="AO178" t="str">
            <v>-</v>
          </cell>
          <cell r="AP178" t="str">
            <v>-</v>
          </cell>
          <cell r="AQ178" t="str">
            <v>-</v>
          </cell>
          <cell r="AR178" t="str">
            <v>-</v>
          </cell>
          <cell r="AS178" t="str">
            <v>-</v>
          </cell>
          <cell r="AT178" t="str">
            <v>-</v>
          </cell>
          <cell r="AU178" t="str">
            <v>-</v>
          </cell>
          <cell r="AV178" t="str">
            <v>-</v>
          </cell>
          <cell r="AW178" t="str">
            <v>-</v>
          </cell>
          <cell r="AX178" t="str">
            <v>-</v>
          </cell>
          <cell r="AY178" t="str">
            <v>-</v>
          </cell>
          <cell r="AZ178" t="str">
            <v>-</v>
          </cell>
          <cell r="BA178" t="str">
            <v>-</v>
          </cell>
          <cell r="BB178" t="str">
            <v>-</v>
          </cell>
          <cell r="BC178" t="str">
            <v>-</v>
          </cell>
          <cell r="BD178" t="str">
            <v>-</v>
          </cell>
          <cell r="BE178" t="str">
            <v>-</v>
          </cell>
          <cell r="BF178" t="str">
            <v>-</v>
          </cell>
          <cell r="BG178" t="str">
            <v>-</v>
          </cell>
          <cell r="BH178" t="str">
            <v>-</v>
          </cell>
          <cell r="BI178" t="str">
            <v>-</v>
          </cell>
          <cell r="BJ178" t="str">
            <v>-</v>
          </cell>
          <cell r="BK178" t="str">
            <v>-</v>
          </cell>
          <cell r="BL178" t="str">
            <v>-</v>
          </cell>
          <cell r="BM178" t="str">
            <v>-</v>
          </cell>
          <cell r="BN178" t="str">
            <v>-</v>
          </cell>
          <cell r="BO178" t="str">
            <v>-</v>
          </cell>
          <cell r="BP178" t="str">
            <v>-</v>
          </cell>
        </row>
        <row r="179">
          <cell r="A179">
            <v>174</v>
          </cell>
          <cell r="B179" t="str">
            <v>-</v>
          </cell>
          <cell r="C179" t="str">
            <v>-</v>
          </cell>
          <cell r="D179" t="str">
            <v>-</v>
          </cell>
          <cell r="E179" t="str">
            <v>-</v>
          </cell>
          <cell r="F179" t="str">
            <v>-</v>
          </cell>
          <cell r="G179" t="str">
            <v>-</v>
          </cell>
          <cell r="H179" t="str">
            <v>-</v>
          </cell>
          <cell r="I179" t="str">
            <v>-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-</v>
          </cell>
          <cell r="N179" t="str">
            <v>-</v>
          </cell>
          <cell r="O179" t="str">
            <v>-</v>
          </cell>
          <cell r="P179" t="str">
            <v>-</v>
          </cell>
          <cell r="Q179" t="str">
            <v>-</v>
          </cell>
          <cell r="R179" t="str">
            <v>-</v>
          </cell>
          <cell r="S179" t="str">
            <v>-</v>
          </cell>
          <cell r="T179" t="str">
            <v>-</v>
          </cell>
          <cell r="U179" t="str">
            <v>-</v>
          </cell>
          <cell r="V179" t="str">
            <v>-</v>
          </cell>
          <cell r="W179" t="str">
            <v>-</v>
          </cell>
          <cell r="X179" t="str">
            <v>-</v>
          </cell>
          <cell r="Y179" t="str">
            <v>-</v>
          </cell>
          <cell r="Z179" t="str">
            <v>-</v>
          </cell>
          <cell r="AA179" t="str">
            <v>-</v>
          </cell>
          <cell r="AB179" t="str">
            <v>-</v>
          </cell>
          <cell r="AC179" t="str">
            <v>-</v>
          </cell>
          <cell r="AD179" t="str">
            <v>-</v>
          </cell>
          <cell r="AE179" t="str">
            <v>-</v>
          </cell>
          <cell r="AF179" t="str">
            <v>-</v>
          </cell>
          <cell r="AG179" t="str">
            <v>-</v>
          </cell>
          <cell r="AH179" t="str">
            <v>-</v>
          </cell>
          <cell r="AI179" t="str">
            <v>-</v>
          </cell>
          <cell r="AJ179" t="str">
            <v>-</v>
          </cell>
          <cell r="AK179" t="str">
            <v>-</v>
          </cell>
          <cell r="AL179" t="str">
            <v>-</v>
          </cell>
          <cell r="AM179" t="str">
            <v>-</v>
          </cell>
          <cell r="AN179" t="str">
            <v>-</v>
          </cell>
          <cell r="AO179" t="str">
            <v>-</v>
          </cell>
          <cell r="AP179" t="str">
            <v>-</v>
          </cell>
          <cell r="AQ179" t="str">
            <v>-</v>
          </cell>
          <cell r="AR179" t="str">
            <v>-</v>
          </cell>
          <cell r="AS179" t="str">
            <v>-</v>
          </cell>
          <cell r="AT179" t="str">
            <v>-</v>
          </cell>
          <cell r="AU179" t="str">
            <v>-</v>
          </cell>
          <cell r="AV179" t="str">
            <v>-</v>
          </cell>
          <cell r="AW179" t="str">
            <v>-</v>
          </cell>
          <cell r="AX179" t="str">
            <v>-</v>
          </cell>
          <cell r="AY179" t="str">
            <v>-</v>
          </cell>
          <cell r="AZ179" t="str">
            <v>-</v>
          </cell>
          <cell r="BA179" t="str">
            <v>-</v>
          </cell>
          <cell r="BB179" t="str">
            <v>-</v>
          </cell>
          <cell r="BC179" t="str">
            <v>-</v>
          </cell>
          <cell r="BD179" t="str">
            <v>-</v>
          </cell>
          <cell r="BE179" t="str">
            <v>-</v>
          </cell>
          <cell r="BF179" t="str">
            <v>-</v>
          </cell>
          <cell r="BG179" t="str">
            <v>-</v>
          </cell>
          <cell r="BH179" t="str">
            <v>-</v>
          </cell>
          <cell r="BI179" t="str">
            <v>-</v>
          </cell>
          <cell r="BJ179" t="str">
            <v>-</v>
          </cell>
          <cell r="BK179" t="str">
            <v>-</v>
          </cell>
          <cell r="BL179" t="str">
            <v>-</v>
          </cell>
          <cell r="BM179" t="str">
            <v>-</v>
          </cell>
          <cell r="BN179" t="str">
            <v>-</v>
          </cell>
          <cell r="BO179" t="str">
            <v>-</v>
          </cell>
          <cell r="BP179" t="str">
            <v>-</v>
          </cell>
        </row>
        <row r="180">
          <cell r="A180">
            <v>175</v>
          </cell>
          <cell r="B180" t="str">
            <v>-</v>
          </cell>
          <cell r="C180" t="str">
            <v>-</v>
          </cell>
          <cell r="D180" t="str">
            <v>-</v>
          </cell>
          <cell r="E180" t="str">
            <v>-</v>
          </cell>
          <cell r="F180" t="str">
            <v>-</v>
          </cell>
          <cell r="G180" t="str">
            <v>-</v>
          </cell>
          <cell r="H180" t="str">
            <v>-</v>
          </cell>
          <cell r="I180" t="str">
            <v>-</v>
          </cell>
          <cell r="J180" t="str">
            <v>-</v>
          </cell>
          <cell r="K180" t="str">
            <v>-</v>
          </cell>
          <cell r="L180" t="str">
            <v>-</v>
          </cell>
          <cell r="M180" t="str">
            <v>-</v>
          </cell>
          <cell r="N180" t="str">
            <v>-</v>
          </cell>
          <cell r="O180" t="str">
            <v>-</v>
          </cell>
          <cell r="P180" t="str">
            <v>-</v>
          </cell>
          <cell r="Q180" t="str">
            <v>-</v>
          </cell>
          <cell r="R180" t="str">
            <v>-</v>
          </cell>
          <cell r="S180" t="str">
            <v>-</v>
          </cell>
          <cell r="T180" t="str">
            <v>-</v>
          </cell>
          <cell r="U180" t="str">
            <v>-</v>
          </cell>
          <cell r="V180" t="str">
            <v>-</v>
          </cell>
          <cell r="W180" t="str">
            <v>-</v>
          </cell>
          <cell r="X180" t="str">
            <v>-</v>
          </cell>
          <cell r="Y180" t="str">
            <v>-</v>
          </cell>
          <cell r="Z180" t="str">
            <v>-</v>
          </cell>
          <cell r="AA180" t="str">
            <v>-</v>
          </cell>
          <cell r="AB180" t="str">
            <v>-</v>
          </cell>
          <cell r="AC180" t="str">
            <v>-</v>
          </cell>
          <cell r="AD180" t="str">
            <v>-</v>
          </cell>
          <cell r="AE180" t="str">
            <v>-</v>
          </cell>
          <cell r="AF180" t="str">
            <v>-</v>
          </cell>
          <cell r="AG180" t="str">
            <v>-</v>
          </cell>
          <cell r="AH180" t="str">
            <v>-</v>
          </cell>
          <cell r="AI180" t="str">
            <v>-</v>
          </cell>
          <cell r="AJ180" t="str">
            <v>-</v>
          </cell>
          <cell r="AK180" t="str">
            <v>-</v>
          </cell>
          <cell r="AL180" t="str">
            <v>-</v>
          </cell>
          <cell r="AM180" t="str">
            <v>-</v>
          </cell>
          <cell r="AN180" t="str">
            <v>-</v>
          </cell>
          <cell r="AO180" t="str">
            <v>-</v>
          </cell>
          <cell r="AP180" t="str">
            <v>-</v>
          </cell>
          <cell r="AQ180" t="str">
            <v>-</v>
          </cell>
          <cell r="AR180" t="str">
            <v>-</v>
          </cell>
          <cell r="AS180" t="str">
            <v>-</v>
          </cell>
          <cell r="AT180" t="str">
            <v>-</v>
          </cell>
          <cell r="AU180" t="str">
            <v>-</v>
          </cell>
          <cell r="AV180" t="str">
            <v>-</v>
          </cell>
          <cell r="AW180" t="str">
            <v>-</v>
          </cell>
          <cell r="AX180" t="str">
            <v>-</v>
          </cell>
          <cell r="AY180" t="str">
            <v>-</v>
          </cell>
          <cell r="AZ180" t="str">
            <v>-</v>
          </cell>
          <cell r="BA180" t="str">
            <v>-</v>
          </cell>
          <cell r="BB180" t="str">
            <v>-</v>
          </cell>
          <cell r="BC180" t="str">
            <v>-</v>
          </cell>
          <cell r="BD180" t="str">
            <v>-</v>
          </cell>
          <cell r="BE180" t="str">
            <v>-</v>
          </cell>
          <cell r="BF180" t="str">
            <v>-</v>
          </cell>
          <cell r="BG180" t="str">
            <v>-</v>
          </cell>
          <cell r="BH180" t="str">
            <v>-</v>
          </cell>
          <cell r="BI180" t="str">
            <v>-</v>
          </cell>
          <cell r="BJ180" t="str">
            <v>-</v>
          </cell>
          <cell r="BK180" t="str">
            <v>-</v>
          </cell>
          <cell r="BL180" t="str">
            <v>-</v>
          </cell>
          <cell r="BM180" t="str">
            <v>-</v>
          </cell>
          <cell r="BN180" t="str">
            <v>-</v>
          </cell>
          <cell r="BO180" t="str">
            <v>-</v>
          </cell>
          <cell r="BP180" t="str">
            <v>-</v>
          </cell>
        </row>
        <row r="181">
          <cell r="A181">
            <v>176</v>
          </cell>
          <cell r="B181" t="str">
            <v>-</v>
          </cell>
          <cell r="C181" t="str">
            <v>-</v>
          </cell>
          <cell r="D181" t="str">
            <v>-</v>
          </cell>
          <cell r="E181" t="str">
            <v>-</v>
          </cell>
          <cell r="F181" t="str">
            <v>-</v>
          </cell>
          <cell r="G181" t="str">
            <v>-</v>
          </cell>
          <cell r="H181" t="str">
            <v>-</v>
          </cell>
          <cell r="I181" t="str">
            <v>-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-</v>
          </cell>
          <cell r="N181" t="str">
            <v>-</v>
          </cell>
          <cell r="O181" t="str">
            <v>-</v>
          </cell>
          <cell r="P181" t="str">
            <v>-</v>
          </cell>
          <cell r="Q181" t="str">
            <v>-</v>
          </cell>
          <cell r="R181" t="str">
            <v>-</v>
          </cell>
          <cell r="S181" t="str">
            <v>-</v>
          </cell>
          <cell r="T181" t="str">
            <v>-</v>
          </cell>
          <cell r="U181" t="str">
            <v>-</v>
          </cell>
          <cell r="V181" t="str">
            <v>-</v>
          </cell>
          <cell r="W181" t="str">
            <v>-</v>
          </cell>
          <cell r="X181" t="str">
            <v>-</v>
          </cell>
          <cell r="Y181" t="str">
            <v>-</v>
          </cell>
          <cell r="Z181" t="str">
            <v>-</v>
          </cell>
          <cell r="AA181" t="str">
            <v>-</v>
          </cell>
          <cell r="AB181" t="str">
            <v>-</v>
          </cell>
          <cell r="AC181" t="str">
            <v>-</v>
          </cell>
          <cell r="AD181" t="str">
            <v>-</v>
          </cell>
          <cell r="AE181" t="str">
            <v>-</v>
          </cell>
          <cell r="AF181" t="str">
            <v>-</v>
          </cell>
          <cell r="AG181" t="str">
            <v>-</v>
          </cell>
          <cell r="AH181" t="str">
            <v>-</v>
          </cell>
          <cell r="AI181" t="str">
            <v>-</v>
          </cell>
          <cell r="AJ181" t="str">
            <v>-</v>
          </cell>
          <cell r="AK181" t="str">
            <v>-</v>
          </cell>
          <cell r="AL181" t="str">
            <v>-</v>
          </cell>
          <cell r="AM181" t="str">
            <v>-</v>
          </cell>
          <cell r="AN181" t="str">
            <v>-</v>
          </cell>
          <cell r="AO181" t="str">
            <v>-</v>
          </cell>
          <cell r="AP181" t="str">
            <v>-</v>
          </cell>
          <cell r="AQ181" t="str">
            <v>-</v>
          </cell>
          <cell r="AR181" t="str">
            <v>-</v>
          </cell>
          <cell r="AS181" t="str">
            <v>-</v>
          </cell>
          <cell r="AT181" t="str">
            <v>-</v>
          </cell>
          <cell r="AU181" t="str">
            <v>-</v>
          </cell>
          <cell r="AV181" t="str">
            <v>-</v>
          </cell>
          <cell r="AW181" t="str">
            <v>-</v>
          </cell>
          <cell r="AX181" t="str">
            <v>-</v>
          </cell>
          <cell r="AY181" t="str">
            <v>-</v>
          </cell>
          <cell r="AZ181" t="str">
            <v>-</v>
          </cell>
          <cell r="BA181" t="str">
            <v>-</v>
          </cell>
          <cell r="BB181" t="str">
            <v>-</v>
          </cell>
          <cell r="BC181" t="str">
            <v>-</v>
          </cell>
          <cell r="BD181" t="str">
            <v>-</v>
          </cell>
          <cell r="BE181" t="str">
            <v>-</v>
          </cell>
          <cell r="BF181" t="str">
            <v>-</v>
          </cell>
          <cell r="BG181" t="str">
            <v>-</v>
          </cell>
          <cell r="BH181" t="str">
            <v>-</v>
          </cell>
          <cell r="BI181" t="str">
            <v>-</v>
          </cell>
          <cell r="BJ181" t="str">
            <v>-</v>
          </cell>
          <cell r="BK181" t="str">
            <v>-</v>
          </cell>
          <cell r="BL181" t="str">
            <v>-</v>
          </cell>
          <cell r="BM181" t="str">
            <v>-</v>
          </cell>
          <cell r="BN181" t="str">
            <v>-</v>
          </cell>
          <cell r="BO181" t="str">
            <v>-</v>
          </cell>
          <cell r="BP181" t="str">
            <v>-</v>
          </cell>
        </row>
        <row r="182">
          <cell r="A182">
            <v>177</v>
          </cell>
          <cell r="B182" t="str">
            <v>-</v>
          </cell>
          <cell r="C182" t="str">
            <v>-</v>
          </cell>
          <cell r="D182" t="str">
            <v>-</v>
          </cell>
          <cell r="E182" t="str">
            <v>-</v>
          </cell>
          <cell r="F182" t="str">
            <v>-</v>
          </cell>
          <cell r="G182" t="str">
            <v>-</v>
          </cell>
          <cell r="H182" t="str">
            <v>-</v>
          </cell>
          <cell r="I182" t="str">
            <v>-</v>
          </cell>
          <cell r="J182" t="str">
            <v>-</v>
          </cell>
          <cell r="K182" t="str">
            <v>-</v>
          </cell>
          <cell r="L182" t="str">
            <v>-</v>
          </cell>
          <cell r="M182" t="str">
            <v>-</v>
          </cell>
          <cell r="N182" t="str">
            <v>-</v>
          </cell>
          <cell r="O182" t="str">
            <v>-</v>
          </cell>
          <cell r="P182" t="str">
            <v>-</v>
          </cell>
          <cell r="Q182" t="str">
            <v>-</v>
          </cell>
          <cell r="R182" t="str">
            <v>-</v>
          </cell>
          <cell r="S182" t="str">
            <v>-</v>
          </cell>
          <cell r="T182" t="str">
            <v>-</v>
          </cell>
          <cell r="U182" t="str">
            <v>-</v>
          </cell>
          <cell r="V182" t="str">
            <v>-</v>
          </cell>
          <cell r="W182" t="str">
            <v>-</v>
          </cell>
          <cell r="X182" t="str">
            <v>-</v>
          </cell>
          <cell r="Y182" t="str">
            <v>-</v>
          </cell>
          <cell r="Z182" t="str">
            <v>-</v>
          </cell>
          <cell r="AA182" t="str">
            <v>-</v>
          </cell>
          <cell r="AB182" t="str">
            <v>-</v>
          </cell>
          <cell r="AC182" t="str">
            <v>-</v>
          </cell>
          <cell r="AD182" t="str">
            <v>-</v>
          </cell>
          <cell r="AE182" t="str">
            <v>-</v>
          </cell>
          <cell r="AF182" t="str">
            <v>-</v>
          </cell>
          <cell r="AG182" t="str">
            <v>-</v>
          </cell>
          <cell r="AH182" t="str">
            <v>-</v>
          </cell>
          <cell r="AI182" t="str">
            <v>-</v>
          </cell>
          <cell r="AJ182" t="str">
            <v>-</v>
          </cell>
          <cell r="AK182" t="str">
            <v>-</v>
          </cell>
          <cell r="AL182" t="str">
            <v>-</v>
          </cell>
          <cell r="AM182" t="str">
            <v>-</v>
          </cell>
          <cell r="AN182" t="str">
            <v>-</v>
          </cell>
          <cell r="AO182" t="str">
            <v>-</v>
          </cell>
          <cell r="AP182" t="str">
            <v>-</v>
          </cell>
          <cell r="AQ182" t="str">
            <v>-</v>
          </cell>
          <cell r="AR182" t="str">
            <v>-</v>
          </cell>
          <cell r="AS182" t="str">
            <v>-</v>
          </cell>
          <cell r="AT182" t="str">
            <v>-</v>
          </cell>
          <cell r="AU182" t="str">
            <v>-</v>
          </cell>
          <cell r="AV182" t="str">
            <v>-</v>
          </cell>
          <cell r="AW182" t="str">
            <v>-</v>
          </cell>
          <cell r="AX182" t="str">
            <v>-</v>
          </cell>
          <cell r="AY182" t="str">
            <v>-</v>
          </cell>
          <cell r="AZ182" t="str">
            <v>-</v>
          </cell>
          <cell r="BA182" t="str">
            <v>-</v>
          </cell>
          <cell r="BB182" t="str">
            <v>-</v>
          </cell>
          <cell r="BC182" t="str">
            <v>-</v>
          </cell>
          <cell r="BD182" t="str">
            <v>-</v>
          </cell>
          <cell r="BE182" t="str">
            <v>-</v>
          </cell>
          <cell r="BF182" t="str">
            <v>-</v>
          </cell>
          <cell r="BG182" t="str">
            <v>-</v>
          </cell>
          <cell r="BH182" t="str">
            <v>-</v>
          </cell>
          <cell r="BI182" t="str">
            <v>-</v>
          </cell>
          <cell r="BJ182" t="str">
            <v>-</v>
          </cell>
          <cell r="BK182" t="str">
            <v>-</v>
          </cell>
          <cell r="BL182" t="str">
            <v>-</v>
          </cell>
          <cell r="BM182" t="str">
            <v>-</v>
          </cell>
          <cell r="BN182" t="str">
            <v>-</v>
          </cell>
          <cell r="BO182" t="str">
            <v>-</v>
          </cell>
          <cell r="BP182" t="str">
            <v>-</v>
          </cell>
        </row>
        <row r="183">
          <cell r="A183">
            <v>178</v>
          </cell>
          <cell r="B183" t="str">
            <v>-</v>
          </cell>
          <cell r="C183" t="str">
            <v>-</v>
          </cell>
          <cell r="D183" t="str">
            <v>-</v>
          </cell>
          <cell r="E183" t="str">
            <v>-</v>
          </cell>
          <cell r="F183" t="str">
            <v>-</v>
          </cell>
          <cell r="G183" t="str">
            <v>-</v>
          </cell>
          <cell r="H183" t="str">
            <v>-</v>
          </cell>
          <cell r="I183" t="str">
            <v>-</v>
          </cell>
          <cell r="J183" t="str">
            <v>-</v>
          </cell>
          <cell r="K183" t="str">
            <v>-</v>
          </cell>
          <cell r="L183" t="str">
            <v>-</v>
          </cell>
          <cell r="M183" t="str">
            <v>-</v>
          </cell>
          <cell r="N183" t="str">
            <v>-</v>
          </cell>
          <cell r="O183" t="str">
            <v>-</v>
          </cell>
          <cell r="P183" t="str">
            <v>-</v>
          </cell>
          <cell r="Q183" t="str">
            <v>-</v>
          </cell>
          <cell r="R183" t="str">
            <v>-</v>
          </cell>
          <cell r="S183" t="str">
            <v>-</v>
          </cell>
          <cell r="T183" t="str">
            <v>-</v>
          </cell>
          <cell r="U183" t="str">
            <v>-</v>
          </cell>
          <cell r="V183" t="str">
            <v>-</v>
          </cell>
          <cell r="W183" t="str">
            <v>-</v>
          </cell>
          <cell r="X183" t="str">
            <v>-</v>
          </cell>
          <cell r="Y183" t="str">
            <v>-</v>
          </cell>
          <cell r="Z183" t="str">
            <v>-</v>
          </cell>
          <cell r="AA183" t="str">
            <v>-</v>
          </cell>
          <cell r="AB183" t="str">
            <v>-</v>
          </cell>
          <cell r="AC183" t="str">
            <v>-</v>
          </cell>
          <cell r="AD183" t="str">
            <v>-</v>
          </cell>
          <cell r="AE183" t="str">
            <v>-</v>
          </cell>
          <cell r="AF183" t="str">
            <v>-</v>
          </cell>
          <cell r="AG183" t="str">
            <v>-</v>
          </cell>
          <cell r="AH183" t="str">
            <v>-</v>
          </cell>
          <cell r="AI183" t="str">
            <v>-</v>
          </cell>
          <cell r="AJ183" t="str">
            <v>-</v>
          </cell>
          <cell r="AK183" t="str">
            <v>-</v>
          </cell>
          <cell r="AL183" t="str">
            <v>-</v>
          </cell>
          <cell r="AM183" t="str">
            <v>-</v>
          </cell>
          <cell r="AN183" t="str">
            <v>-</v>
          </cell>
          <cell r="AO183" t="str">
            <v>-</v>
          </cell>
          <cell r="AP183" t="str">
            <v>-</v>
          </cell>
          <cell r="AQ183" t="str">
            <v>-</v>
          </cell>
          <cell r="AR183" t="str">
            <v>-</v>
          </cell>
          <cell r="AS183" t="str">
            <v>-</v>
          </cell>
          <cell r="AT183" t="str">
            <v>-</v>
          </cell>
          <cell r="AU183" t="str">
            <v>-</v>
          </cell>
          <cell r="AV183" t="str">
            <v>-</v>
          </cell>
          <cell r="AW183" t="str">
            <v>-</v>
          </cell>
          <cell r="AX183" t="str">
            <v>-</v>
          </cell>
          <cell r="AY183" t="str">
            <v>-</v>
          </cell>
          <cell r="AZ183" t="str">
            <v>-</v>
          </cell>
          <cell r="BA183" t="str">
            <v>-</v>
          </cell>
          <cell r="BB183" t="str">
            <v>-</v>
          </cell>
          <cell r="BC183" t="str">
            <v>-</v>
          </cell>
          <cell r="BD183" t="str">
            <v>-</v>
          </cell>
          <cell r="BE183" t="str">
            <v>-</v>
          </cell>
          <cell r="BF183" t="str">
            <v>-</v>
          </cell>
          <cell r="BG183" t="str">
            <v>-</v>
          </cell>
          <cell r="BH183" t="str">
            <v>-</v>
          </cell>
          <cell r="BI183" t="str">
            <v>-</v>
          </cell>
          <cell r="BJ183" t="str">
            <v>-</v>
          </cell>
          <cell r="BK183" t="str">
            <v>-</v>
          </cell>
          <cell r="BL183" t="str">
            <v>-</v>
          </cell>
          <cell r="BM183" t="str">
            <v>-</v>
          </cell>
          <cell r="BN183" t="str">
            <v>-</v>
          </cell>
          <cell r="BO183" t="str">
            <v>-</v>
          </cell>
          <cell r="BP183" t="str">
            <v>-</v>
          </cell>
        </row>
        <row r="184">
          <cell r="A184">
            <v>179</v>
          </cell>
          <cell r="B184" t="str">
            <v>-</v>
          </cell>
          <cell r="C184" t="str">
            <v>-</v>
          </cell>
          <cell r="D184" t="str">
            <v>-</v>
          </cell>
          <cell r="E184" t="str">
            <v>-</v>
          </cell>
          <cell r="F184" t="str">
            <v>-</v>
          </cell>
          <cell r="G184" t="str">
            <v>-</v>
          </cell>
          <cell r="H184" t="str">
            <v>-</v>
          </cell>
          <cell r="I184" t="str">
            <v>-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-</v>
          </cell>
          <cell r="N184" t="str">
            <v>-</v>
          </cell>
          <cell r="O184" t="str">
            <v>-</v>
          </cell>
          <cell r="P184" t="str">
            <v>-</v>
          </cell>
          <cell r="Q184" t="str">
            <v>-</v>
          </cell>
          <cell r="R184" t="str">
            <v>-</v>
          </cell>
          <cell r="S184" t="str">
            <v>-</v>
          </cell>
          <cell r="T184" t="str">
            <v>-</v>
          </cell>
          <cell r="U184" t="str">
            <v>-</v>
          </cell>
          <cell r="V184" t="str">
            <v>-</v>
          </cell>
          <cell r="W184" t="str">
            <v>-</v>
          </cell>
          <cell r="X184" t="str">
            <v>-</v>
          </cell>
          <cell r="Y184" t="str">
            <v>-</v>
          </cell>
          <cell r="Z184" t="str">
            <v>-</v>
          </cell>
          <cell r="AA184" t="str">
            <v>-</v>
          </cell>
          <cell r="AB184" t="str">
            <v>-</v>
          </cell>
          <cell r="AC184" t="str">
            <v>-</v>
          </cell>
          <cell r="AD184" t="str">
            <v>-</v>
          </cell>
          <cell r="AE184" t="str">
            <v>-</v>
          </cell>
          <cell r="AF184" t="str">
            <v>-</v>
          </cell>
          <cell r="AG184" t="str">
            <v>-</v>
          </cell>
          <cell r="AH184" t="str">
            <v>-</v>
          </cell>
          <cell r="AI184" t="str">
            <v>-</v>
          </cell>
          <cell r="AJ184" t="str">
            <v>-</v>
          </cell>
          <cell r="AK184" t="str">
            <v>-</v>
          </cell>
          <cell r="AL184" t="str">
            <v>-</v>
          </cell>
          <cell r="AM184" t="str">
            <v>-</v>
          </cell>
          <cell r="AN184" t="str">
            <v>-</v>
          </cell>
          <cell r="AO184" t="str">
            <v>-</v>
          </cell>
          <cell r="AP184" t="str">
            <v>-</v>
          </cell>
          <cell r="AQ184" t="str">
            <v>-</v>
          </cell>
          <cell r="AR184" t="str">
            <v>-</v>
          </cell>
          <cell r="AS184" t="str">
            <v>-</v>
          </cell>
          <cell r="AT184" t="str">
            <v>-</v>
          </cell>
          <cell r="AU184" t="str">
            <v>-</v>
          </cell>
          <cell r="AV184" t="str">
            <v>-</v>
          </cell>
          <cell r="AW184" t="str">
            <v>-</v>
          </cell>
          <cell r="AX184" t="str">
            <v>-</v>
          </cell>
          <cell r="AY184" t="str">
            <v>-</v>
          </cell>
          <cell r="AZ184" t="str">
            <v>-</v>
          </cell>
          <cell r="BA184" t="str">
            <v>-</v>
          </cell>
          <cell r="BB184" t="str">
            <v>-</v>
          </cell>
          <cell r="BC184" t="str">
            <v>-</v>
          </cell>
          <cell r="BD184" t="str">
            <v>-</v>
          </cell>
          <cell r="BE184" t="str">
            <v>-</v>
          </cell>
          <cell r="BF184" t="str">
            <v>-</v>
          </cell>
          <cell r="BG184" t="str">
            <v>-</v>
          </cell>
          <cell r="BH184" t="str">
            <v>-</v>
          </cell>
          <cell r="BI184" t="str">
            <v>-</v>
          </cell>
          <cell r="BJ184" t="str">
            <v>-</v>
          </cell>
          <cell r="BK184" t="str">
            <v>-</v>
          </cell>
          <cell r="BL184" t="str">
            <v>-</v>
          </cell>
          <cell r="BM184" t="str">
            <v>-</v>
          </cell>
          <cell r="BN184" t="str">
            <v>-</v>
          </cell>
          <cell r="BO184" t="str">
            <v>-</v>
          </cell>
          <cell r="BP184" t="str">
            <v>-</v>
          </cell>
        </row>
        <row r="185">
          <cell r="A185">
            <v>180</v>
          </cell>
          <cell r="B185" t="str">
            <v>-</v>
          </cell>
          <cell r="C185" t="str">
            <v>-</v>
          </cell>
          <cell r="D185" t="str">
            <v>-</v>
          </cell>
          <cell r="E185" t="str">
            <v>-</v>
          </cell>
          <cell r="F185" t="str">
            <v>-</v>
          </cell>
          <cell r="G185" t="str">
            <v>-</v>
          </cell>
          <cell r="H185" t="str">
            <v>-</v>
          </cell>
          <cell r="I185" t="str">
            <v>-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-</v>
          </cell>
          <cell r="N185" t="str">
            <v>-</v>
          </cell>
          <cell r="O185" t="str">
            <v>-</v>
          </cell>
          <cell r="P185" t="str">
            <v>-</v>
          </cell>
          <cell r="Q185" t="str">
            <v>-</v>
          </cell>
          <cell r="R185" t="str">
            <v>-</v>
          </cell>
          <cell r="S185" t="str">
            <v>-</v>
          </cell>
          <cell r="T185" t="str">
            <v>-</v>
          </cell>
          <cell r="U185" t="str">
            <v>-</v>
          </cell>
          <cell r="V185" t="str">
            <v>-</v>
          </cell>
          <cell r="W185" t="str">
            <v>-</v>
          </cell>
          <cell r="X185" t="str">
            <v>-</v>
          </cell>
          <cell r="Y185" t="str">
            <v>-</v>
          </cell>
          <cell r="Z185" t="str">
            <v>-</v>
          </cell>
          <cell r="AA185" t="str">
            <v>-</v>
          </cell>
          <cell r="AB185" t="str">
            <v>-</v>
          </cell>
          <cell r="AC185" t="str">
            <v>-</v>
          </cell>
          <cell r="AD185" t="str">
            <v>-</v>
          </cell>
          <cell r="AE185" t="str">
            <v>-</v>
          </cell>
          <cell r="AF185" t="str">
            <v>-</v>
          </cell>
          <cell r="AG185" t="str">
            <v>-</v>
          </cell>
          <cell r="AH185" t="str">
            <v>-</v>
          </cell>
          <cell r="AI185" t="str">
            <v>-</v>
          </cell>
          <cell r="AJ185" t="str">
            <v>-</v>
          </cell>
          <cell r="AK185" t="str">
            <v>-</v>
          </cell>
          <cell r="AL185" t="str">
            <v>-</v>
          </cell>
          <cell r="AM185" t="str">
            <v>-</v>
          </cell>
          <cell r="AN185" t="str">
            <v>-</v>
          </cell>
          <cell r="AO185" t="str">
            <v>-</v>
          </cell>
          <cell r="AP185" t="str">
            <v>-</v>
          </cell>
          <cell r="AQ185" t="str">
            <v>-</v>
          </cell>
          <cell r="AR185" t="str">
            <v>-</v>
          </cell>
          <cell r="AS185" t="str">
            <v>-</v>
          </cell>
          <cell r="AT185" t="str">
            <v>-</v>
          </cell>
          <cell r="AU185" t="str">
            <v>-</v>
          </cell>
          <cell r="AV185" t="str">
            <v>-</v>
          </cell>
          <cell r="AW185" t="str">
            <v>-</v>
          </cell>
          <cell r="AX185" t="str">
            <v>-</v>
          </cell>
          <cell r="AY185" t="str">
            <v>-</v>
          </cell>
          <cell r="AZ185" t="str">
            <v>-</v>
          </cell>
          <cell r="BA185" t="str">
            <v>-</v>
          </cell>
          <cell r="BB185" t="str">
            <v>-</v>
          </cell>
          <cell r="BC185" t="str">
            <v>-</v>
          </cell>
          <cell r="BD185" t="str">
            <v>-</v>
          </cell>
          <cell r="BE185" t="str">
            <v>-</v>
          </cell>
          <cell r="BF185" t="str">
            <v>-</v>
          </cell>
          <cell r="BG185" t="str">
            <v>-</v>
          </cell>
          <cell r="BH185" t="str">
            <v>-</v>
          </cell>
          <cell r="BI185" t="str">
            <v>-</v>
          </cell>
          <cell r="BJ185" t="str">
            <v>-</v>
          </cell>
          <cell r="BK185" t="str">
            <v>-</v>
          </cell>
          <cell r="BL185" t="str">
            <v>-</v>
          </cell>
          <cell r="BM185" t="str">
            <v>-</v>
          </cell>
          <cell r="BN185" t="str">
            <v>-</v>
          </cell>
          <cell r="BO185" t="str">
            <v>-</v>
          </cell>
          <cell r="BP185" t="str">
            <v>-</v>
          </cell>
        </row>
        <row r="186">
          <cell r="A186">
            <v>181</v>
          </cell>
          <cell r="B186" t="str">
            <v>-</v>
          </cell>
          <cell r="C186" t="str">
            <v>-</v>
          </cell>
          <cell r="D186" t="str">
            <v>-</v>
          </cell>
          <cell r="E186" t="str">
            <v>-</v>
          </cell>
          <cell r="F186" t="str">
            <v>-</v>
          </cell>
          <cell r="G186" t="str">
            <v>-</v>
          </cell>
          <cell r="H186" t="str">
            <v>-</v>
          </cell>
          <cell r="I186" t="str">
            <v>-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-</v>
          </cell>
          <cell r="N186" t="str">
            <v>-</v>
          </cell>
          <cell r="O186" t="str">
            <v>-</v>
          </cell>
          <cell r="P186" t="str">
            <v>-</v>
          </cell>
          <cell r="Q186" t="str">
            <v>-</v>
          </cell>
          <cell r="R186" t="str">
            <v>-</v>
          </cell>
          <cell r="S186" t="str">
            <v>-</v>
          </cell>
          <cell r="T186" t="str">
            <v>-</v>
          </cell>
          <cell r="U186" t="str">
            <v>-</v>
          </cell>
          <cell r="V186" t="str">
            <v>-</v>
          </cell>
          <cell r="W186" t="str">
            <v>-</v>
          </cell>
          <cell r="X186" t="str">
            <v>-</v>
          </cell>
          <cell r="Y186" t="str">
            <v>-</v>
          </cell>
          <cell r="Z186" t="str">
            <v>-</v>
          </cell>
          <cell r="AA186" t="str">
            <v>-</v>
          </cell>
          <cell r="AB186" t="str">
            <v>-</v>
          </cell>
          <cell r="AC186" t="str">
            <v>-</v>
          </cell>
          <cell r="AD186" t="str">
            <v>-</v>
          </cell>
          <cell r="AE186" t="str">
            <v>-</v>
          </cell>
          <cell r="AF186" t="str">
            <v>-</v>
          </cell>
          <cell r="AG186" t="str">
            <v>-</v>
          </cell>
          <cell r="AH186" t="str">
            <v>-</v>
          </cell>
          <cell r="AI186" t="str">
            <v>-</v>
          </cell>
          <cell r="AJ186" t="str">
            <v>-</v>
          </cell>
          <cell r="AK186" t="str">
            <v>-</v>
          </cell>
          <cell r="AL186" t="str">
            <v>-</v>
          </cell>
          <cell r="AM186" t="str">
            <v>-</v>
          </cell>
          <cell r="AN186" t="str">
            <v>-</v>
          </cell>
          <cell r="AO186" t="str">
            <v>-</v>
          </cell>
          <cell r="AP186" t="str">
            <v>-</v>
          </cell>
          <cell r="AQ186" t="str">
            <v>-</v>
          </cell>
          <cell r="AR186" t="str">
            <v>-</v>
          </cell>
          <cell r="AS186" t="str">
            <v>-</v>
          </cell>
          <cell r="AT186" t="str">
            <v>-</v>
          </cell>
          <cell r="AU186" t="str">
            <v>-</v>
          </cell>
          <cell r="AV186" t="str">
            <v>-</v>
          </cell>
          <cell r="AW186" t="str">
            <v>-</v>
          </cell>
          <cell r="AX186" t="str">
            <v>-</v>
          </cell>
          <cell r="AY186" t="str">
            <v>-</v>
          </cell>
          <cell r="AZ186" t="str">
            <v>-</v>
          </cell>
          <cell r="BA186" t="str">
            <v>-</v>
          </cell>
          <cell r="BB186" t="str">
            <v>-</v>
          </cell>
          <cell r="BC186" t="str">
            <v>-</v>
          </cell>
          <cell r="BD186" t="str">
            <v>-</v>
          </cell>
          <cell r="BE186" t="str">
            <v>-</v>
          </cell>
          <cell r="BF186" t="str">
            <v>-</v>
          </cell>
          <cell r="BG186" t="str">
            <v>-</v>
          </cell>
          <cell r="BH186" t="str">
            <v>-</v>
          </cell>
          <cell r="BI186" t="str">
            <v>-</v>
          </cell>
          <cell r="BJ186" t="str">
            <v>-</v>
          </cell>
          <cell r="BK186" t="str">
            <v>-</v>
          </cell>
          <cell r="BL186" t="str">
            <v>-</v>
          </cell>
          <cell r="BM186" t="str">
            <v>-</v>
          </cell>
          <cell r="BN186" t="str">
            <v>-</v>
          </cell>
          <cell r="BO186" t="str">
            <v>-</v>
          </cell>
          <cell r="BP186" t="str">
            <v>-</v>
          </cell>
        </row>
        <row r="187">
          <cell r="A187">
            <v>182</v>
          </cell>
          <cell r="B187" t="str">
            <v>-</v>
          </cell>
          <cell r="C187" t="str">
            <v>-</v>
          </cell>
          <cell r="D187" t="str">
            <v>-</v>
          </cell>
          <cell r="E187" t="str">
            <v>-</v>
          </cell>
          <cell r="F187" t="str">
            <v>-</v>
          </cell>
          <cell r="G187" t="str">
            <v>-</v>
          </cell>
          <cell r="H187" t="str">
            <v>-</v>
          </cell>
          <cell r="I187" t="str">
            <v>-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-</v>
          </cell>
          <cell r="N187" t="str">
            <v>-</v>
          </cell>
          <cell r="O187" t="str">
            <v>-</v>
          </cell>
          <cell r="P187" t="str">
            <v>-</v>
          </cell>
          <cell r="Q187" t="str">
            <v>-</v>
          </cell>
          <cell r="R187" t="str">
            <v>-</v>
          </cell>
          <cell r="S187" t="str">
            <v>-</v>
          </cell>
          <cell r="T187" t="str">
            <v>-</v>
          </cell>
          <cell r="U187" t="str">
            <v>-</v>
          </cell>
          <cell r="V187" t="str">
            <v>-</v>
          </cell>
          <cell r="W187" t="str">
            <v>-</v>
          </cell>
          <cell r="X187" t="str">
            <v>-</v>
          </cell>
          <cell r="Y187" t="str">
            <v>-</v>
          </cell>
          <cell r="Z187" t="str">
            <v>-</v>
          </cell>
          <cell r="AA187" t="str">
            <v>-</v>
          </cell>
          <cell r="AB187" t="str">
            <v>-</v>
          </cell>
          <cell r="AC187" t="str">
            <v>-</v>
          </cell>
          <cell r="AD187" t="str">
            <v>-</v>
          </cell>
          <cell r="AE187" t="str">
            <v>-</v>
          </cell>
          <cell r="AF187" t="str">
            <v>-</v>
          </cell>
          <cell r="AG187" t="str">
            <v>-</v>
          </cell>
          <cell r="AH187" t="str">
            <v>-</v>
          </cell>
          <cell r="AI187" t="str">
            <v>-</v>
          </cell>
          <cell r="AJ187" t="str">
            <v>-</v>
          </cell>
          <cell r="AK187" t="str">
            <v>-</v>
          </cell>
          <cell r="AL187" t="str">
            <v>-</v>
          </cell>
          <cell r="AM187" t="str">
            <v>-</v>
          </cell>
          <cell r="AN187" t="str">
            <v>-</v>
          </cell>
          <cell r="AO187" t="str">
            <v>-</v>
          </cell>
          <cell r="AP187" t="str">
            <v>-</v>
          </cell>
          <cell r="AQ187" t="str">
            <v>-</v>
          </cell>
          <cell r="AR187" t="str">
            <v>-</v>
          </cell>
          <cell r="AS187" t="str">
            <v>-</v>
          </cell>
          <cell r="AT187" t="str">
            <v>-</v>
          </cell>
          <cell r="AU187" t="str">
            <v>-</v>
          </cell>
          <cell r="AV187" t="str">
            <v>-</v>
          </cell>
          <cell r="AW187" t="str">
            <v>-</v>
          </cell>
          <cell r="AX187" t="str">
            <v>-</v>
          </cell>
          <cell r="AY187" t="str">
            <v>-</v>
          </cell>
          <cell r="AZ187" t="str">
            <v>-</v>
          </cell>
          <cell r="BA187" t="str">
            <v>-</v>
          </cell>
          <cell r="BB187" t="str">
            <v>-</v>
          </cell>
          <cell r="BC187" t="str">
            <v>-</v>
          </cell>
          <cell r="BD187" t="str">
            <v>-</v>
          </cell>
          <cell r="BE187" t="str">
            <v>-</v>
          </cell>
          <cell r="BF187" t="str">
            <v>-</v>
          </cell>
          <cell r="BG187" t="str">
            <v>-</v>
          </cell>
          <cell r="BH187" t="str">
            <v>-</v>
          </cell>
          <cell r="BI187" t="str">
            <v>-</v>
          </cell>
          <cell r="BJ187" t="str">
            <v>-</v>
          </cell>
          <cell r="BK187" t="str">
            <v>-</v>
          </cell>
          <cell r="BL187" t="str">
            <v>-</v>
          </cell>
          <cell r="BM187" t="str">
            <v>-</v>
          </cell>
          <cell r="BN187" t="str">
            <v>-</v>
          </cell>
          <cell r="BO187" t="str">
            <v>-</v>
          </cell>
          <cell r="BP187" t="str">
            <v>-</v>
          </cell>
        </row>
        <row r="188">
          <cell r="A188">
            <v>183</v>
          </cell>
          <cell r="B188" t="str">
            <v>-</v>
          </cell>
          <cell r="C188" t="str">
            <v>-</v>
          </cell>
          <cell r="D188" t="str">
            <v>-</v>
          </cell>
          <cell r="E188" t="str">
            <v>-</v>
          </cell>
          <cell r="F188" t="str">
            <v>-</v>
          </cell>
          <cell r="G188" t="str">
            <v>-</v>
          </cell>
          <cell r="H188" t="str">
            <v>-</v>
          </cell>
          <cell r="I188" t="str">
            <v>-</v>
          </cell>
          <cell r="J188" t="str">
            <v>-</v>
          </cell>
          <cell r="K188" t="str">
            <v>-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P188" t="str">
            <v>-</v>
          </cell>
          <cell r="Q188" t="str">
            <v>-</v>
          </cell>
          <cell r="R188" t="str">
            <v>-</v>
          </cell>
          <cell r="S188" t="str">
            <v>-</v>
          </cell>
          <cell r="T188" t="str">
            <v>-</v>
          </cell>
          <cell r="U188" t="str">
            <v>-</v>
          </cell>
          <cell r="V188" t="str">
            <v>-</v>
          </cell>
          <cell r="W188" t="str">
            <v>-</v>
          </cell>
          <cell r="X188" t="str">
            <v>-</v>
          </cell>
          <cell r="Y188" t="str">
            <v>-</v>
          </cell>
          <cell r="Z188" t="str">
            <v>-</v>
          </cell>
          <cell r="AA188" t="str">
            <v>-</v>
          </cell>
          <cell r="AB188" t="str">
            <v>-</v>
          </cell>
          <cell r="AC188" t="str">
            <v>-</v>
          </cell>
          <cell r="AD188" t="str">
            <v>-</v>
          </cell>
          <cell r="AE188" t="str">
            <v>-</v>
          </cell>
          <cell r="AF188" t="str">
            <v>-</v>
          </cell>
          <cell r="AG188" t="str">
            <v>-</v>
          </cell>
          <cell r="AH188" t="str">
            <v>-</v>
          </cell>
          <cell r="AI188" t="str">
            <v>-</v>
          </cell>
          <cell r="AJ188" t="str">
            <v>-</v>
          </cell>
          <cell r="AK188" t="str">
            <v>-</v>
          </cell>
          <cell r="AL188" t="str">
            <v>-</v>
          </cell>
          <cell r="AM188" t="str">
            <v>-</v>
          </cell>
          <cell r="AN188" t="str">
            <v>-</v>
          </cell>
          <cell r="AO188" t="str">
            <v>-</v>
          </cell>
          <cell r="AP188" t="str">
            <v>-</v>
          </cell>
          <cell r="AQ188" t="str">
            <v>-</v>
          </cell>
          <cell r="AR188" t="str">
            <v>-</v>
          </cell>
          <cell r="AS188" t="str">
            <v>-</v>
          </cell>
          <cell r="AT188" t="str">
            <v>-</v>
          </cell>
          <cell r="AU188" t="str">
            <v>-</v>
          </cell>
          <cell r="AV188" t="str">
            <v>-</v>
          </cell>
          <cell r="AW188" t="str">
            <v>-</v>
          </cell>
          <cell r="AX188" t="str">
            <v>-</v>
          </cell>
          <cell r="AY188" t="str">
            <v>-</v>
          </cell>
          <cell r="AZ188" t="str">
            <v>-</v>
          </cell>
          <cell r="BA188" t="str">
            <v>-</v>
          </cell>
          <cell r="BB188" t="str">
            <v>-</v>
          </cell>
          <cell r="BC188" t="str">
            <v>-</v>
          </cell>
          <cell r="BD188" t="str">
            <v>-</v>
          </cell>
          <cell r="BE188" t="str">
            <v>-</v>
          </cell>
          <cell r="BF188" t="str">
            <v>-</v>
          </cell>
          <cell r="BG188" t="str">
            <v>-</v>
          </cell>
          <cell r="BH188" t="str">
            <v>-</v>
          </cell>
          <cell r="BI188" t="str">
            <v>-</v>
          </cell>
          <cell r="BJ188" t="str">
            <v>-</v>
          </cell>
          <cell r="BK188" t="str">
            <v>-</v>
          </cell>
          <cell r="BL188" t="str">
            <v>-</v>
          </cell>
          <cell r="BM188" t="str">
            <v>-</v>
          </cell>
          <cell r="BN188" t="str">
            <v>-</v>
          </cell>
          <cell r="BO188" t="str">
            <v>-</v>
          </cell>
          <cell r="BP188" t="str">
            <v>-</v>
          </cell>
        </row>
        <row r="189">
          <cell r="A189">
            <v>184</v>
          </cell>
          <cell r="B189" t="str">
            <v>-</v>
          </cell>
          <cell r="C189" t="str">
            <v>-</v>
          </cell>
          <cell r="D189" t="str">
            <v>-</v>
          </cell>
          <cell r="E189" t="str">
            <v>-</v>
          </cell>
          <cell r="F189" t="str">
            <v>-</v>
          </cell>
          <cell r="G189" t="str">
            <v>-</v>
          </cell>
          <cell r="H189" t="str">
            <v>-</v>
          </cell>
          <cell r="I189" t="str">
            <v>-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P189" t="str">
            <v>-</v>
          </cell>
          <cell r="Q189" t="str">
            <v>-</v>
          </cell>
          <cell r="R189" t="str">
            <v>-</v>
          </cell>
          <cell r="S189" t="str">
            <v>-</v>
          </cell>
          <cell r="T189" t="str">
            <v>-</v>
          </cell>
          <cell r="U189" t="str">
            <v>-</v>
          </cell>
          <cell r="V189" t="str">
            <v>-</v>
          </cell>
          <cell r="W189" t="str">
            <v>-</v>
          </cell>
          <cell r="X189" t="str">
            <v>-</v>
          </cell>
          <cell r="Y189" t="str">
            <v>-</v>
          </cell>
          <cell r="Z189" t="str">
            <v>-</v>
          </cell>
          <cell r="AA189" t="str">
            <v>-</v>
          </cell>
          <cell r="AB189" t="str">
            <v>-</v>
          </cell>
          <cell r="AC189" t="str">
            <v>-</v>
          </cell>
          <cell r="AD189" t="str">
            <v>-</v>
          </cell>
          <cell r="AE189" t="str">
            <v>-</v>
          </cell>
          <cell r="AF189" t="str">
            <v>-</v>
          </cell>
          <cell r="AG189" t="str">
            <v>-</v>
          </cell>
          <cell r="AH189" t="str">
            <v>-</v>
          </cell>
          <cell r="AI189" t="str">
            <v>-</v>
          </cell>
          <cell r="AJ189" t="str">
            <v>-</v>
          </cell>
          <cell r="AK189" t="str">
            <v>-</v>
          </cell>
          <cell r="AL189" t="str">
            <v>-</v>
          </cell>
          <cell r="AM189" t="str">
            <v>-</v>
          </cell>
          <cell r="AN189" t="str">
            <v>-</v>
          </cell>
          <cell r="AO189" t="str">
            <v>-</v>
          </cell>
          <cell r="AP189" t="str">
            <v>-</v>
          </cell>
          <cell r="AQ189" t="str">
            <v>-</v>
          </cell>
          <cell r="AR189" t="str">
            <v>-</v>
          </cell>
          <cell r="AS189" t="str">
            <v>-</v>
          </cell>
          <cell r="AT189" t="str">
            <v>-</v>
          </cell>
          <cell r="AU189" t="str">
            <v>-</v>
          </cell>
          <cell r="AV189" t="str">
            <v>-</v>
          </cell>
          <cell r="AW189" t="str">
            <v>-</v>
          </cell>
          <cell r="AX189" t="str">
            <v>-</v>
          </cell>
          <cell r="AY189" t="str">
            <v>-</v>
          </cell>
          <cell r="AZ189" t="str">
            <v>-</v>
          </cell>
          <cell r="BA189" t="str">
            <v>-</v>
          </cell>
          <cell r="BB189" t="str">
            <v>-</v>
          </cell>
          <cell r="BC189" t="str">
            <v>-</v>
          </cell>
          <cell r="BD189" t="str">
            <v>-</v>
          </cell>
          <cell r="BE189" t="str">
            <v>-</v>
          </cell>
          <cell r="BF189" t="str">
            <v>-</v>
          </cell>
          <cell r="BG189" t="str">
            <v>-</v>
          </cell>
          <cell r="BH189" t="str">
            <v>-</v>
          </cell>
          <cell r="BI189" t="str">
            <v>-</v>
          </cell>
          <cell r="BJ189" t="str">
            <v>-</v>
          </cell>
          <cell r="BK189" t="str">
            <v>-</v>
          </cell>
          <cell r="BL189" t="str">
            <v>-</v>
          </cell>
          <cell r="BM189" t="str">
            <v>-</v>
          </cell>
          <cell r="BN189" t="str">
            <v>-</v>
          </cell>
          <cell r="BO189" t="str">
            <v>-</v>
          </cell>
          <cell r="BP189" t="str">
            <v>-</v>
          </cell>
        </row>
        <row r="190">
          <cell r="A190">
            <v>185</v>
          </cell>
          <cell r="B190" t="str">
            <v>-</v>
          </cell>
          <cell r="C190" t="str">
            <v>-</v>
          </cell>
          <cell r="D190" t="str">
            <v>-</v>
          </cell>
          <cell r="E190" t="str">
            <v>-</v>
          </cell>
          <cell r="F190" t="str">
            <v>-</v>
          </cell>
          <cell r="G190" t="str">
            <v>-</v>
          </cell>
          <cell r="H190" t="str">
            <v>-</v>
          </cell>
          <cell r="I190" t="str">
            <v>-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-</v>
          </cell>
          <cell r="N190" t="str">
            <v>-</v>
          </cell>
          <cell r="O190" t="str">
            <v>-</v>
          </cell>
          <cell r="P190" t="str">
            <v>-</v>
          </cell>
          <cell r="Q190" t="str">
            <v>-</v>
          </cell>
          <cell r="R190" t="str">
            <v>-</v>
          </cell>
          <cell r="S190" t="str">
            <v>-</v>
          </cell>
          <cell r="T190" t="str">
            <v>-</v>
          </cell>
          <cell r="U190" t="str">
            <v>-</v>
          </cell>
          <cell r="V190" t="str">
            <v>-</v>
          </cell>
          <cell r="W190" t="str">
            <v>-</v>
          </cell>
          <cell r="X190" t="str">
            <v>-</v>
          </cell>
          <cell r="Y190" t="str">
            <v>-</v>
          </cell>
          <cell r="Z190" t="str">
            <v>-</v>
          </cell>
          <cell r="AA190" t="str">
            <v>-</v>
          </cell>
          <cell r="AB190" t="str">
            <v>-</v>
          </cell>
          <cell r="AC190" t="str">
            <v>-</v>
          </cell>
          <cell r="AD190" t="str">
            <v>-</v>
          </cell>
          <cell r="AE190" t="str">
            <v>-</v>
          </cell>
          <cell r="AF190" t="str">
            <v>-</v>
          </cell>
          <cell r="AG190" t="str">
            <v>-</v>
          </cell>
          <cell r="AH190" t="str">
            <v>-</v>
          </cell>
          <cell r="AI190" t="str">
            <v>-</v>
          </cell>
          <cell r="AJ190" t="str">
            <v>-</v>
          </cell>
          <cell r="AK190" t="str">
            <v>-</v>
          </cell>
          <cell r="AL190" t="str">
            <v>-</v>
          </cell>
          <cell r="AM190" t="str">
            <v>-</v>
          </cell>
          <cell r="AN190" t="str">
            <v>-</v>
          </cell>
          <cell r="AO190" t="str">
            <v>-</v>
          </cell>
          <cell r="AP190" t="str">
            <v>-</v>
          </cell>
          <cell r="AQ190" t="str">
            <v>-</v>
          </cell>
          <cell r="AR190" t="str">
            <v>-</v>
          </cell>
          <cell r="AS190" t="str">
            <v>-</v>
          </cell>
          <cell r="AT190" t="str">
            <v>-</v>
          </cell>
          <cell r="AU190" t="str">
            <v>-</v>
          </cell>
          <cell r="AV190" t="str">
            <v>-</v>
          </cell>
          <cell r="AW190" t="str">
            <v>-</v>
          </cell>
          <cell r="AX190" t="str">
            <v>-</v>
          </cell>
          <cell r="AY190" t="str">
            <v>-</v>
          </cell>
          <cell r="AZ190" t="str">
            <v>-</v>
          </cell>
          <cell r="BA190" t="str">
            <v>-</v>
          </cell>
          <cell r="BB190" t="str">
            <v>-</v>
          </cell>
          <cell r="BC190" t="str">
            <v>-</v>
          </cell>
          <cell r="BD190" t="str">
            <v>-</v>
          </cell>
          <cell r="BE190" t="str">
            <v>-</v>
          </cell>
          <cell r="BF190" t="str">
            <v>-</v>
          </cell>
          <cell r="BG190" t="str">
            <v>-</v>
          </cell>
          <cell r="BH190" t="str">
            <v>-</v>
          </cell>
          <cell r="BI190" t="str">
            <v>-</v>
          </cell>
          <cell r="BJ190" t="str">
            <v>-</v>
          </cell>
          <cell r="BK190" t="str">
            <v>-</v>
          </cell>
          <cell r="BL190" t="str">
            <v>-</v>
          </cell>
          <cell r="BM190" t="str">
            <v>-</v>
          </cell>
          <cell r="BN190" t="str">
            <v>-</v>
          </cell>
          <cell r="BO190" t="str">
            <v>-</v>
          </cell>
          <cell r="BP190" t="str">
            <v>-</v>
          </cell>
        </row>
        <row r="191">
          <cell r="A191">
            <v>186</v>
          </cell>
          <cell r="B191" t="str">
            <v>-</v>
          </cell>
          <cell r="C191" t="str">
            <v>-</v>
          </cell>
          <cell r="D191" t="str">
            <v>-</v>
          </cell>
          <cell r="E191" t="str">
            <v>-</v>
          </cell>
          <cell r="F191" t="str">
            <v>-</v>
          </cell>
          <cell r="G191" t="str">
            <v>-</v>
          </cell>
          <cell r="H191" t="str">
            <v>-</v>
          </cell>
          <cell r="I191" t="str">
            <v>-</v>
          </cell>
          <cell r="J191" t="str">
            <v>-</v>
          </cell>
          <cell r="K191" t="str">
            <v>-</v>
          </cell>
          <cell r="L191" t="str">
            <v>-</v>
          </cell>
          <cell r="M191" t="str">
            <v>-</v>
          </cell>
          <cell r="N191" t="str">
            <v>-</v>
          </cell>
          <cell r="O191" t="str">
            <v>-</v>
          </cell>
          <cell r="P191" t="str">
            <v>-</v>
          </cell>
          <cell r="Q191" t="str">
            <v>-</v>
          </cell>
          <cell r="R191" t="str">
            <v>-</v>
          </cell>
          <cell r="S191" t="str">
            <v>-</v>
          </cell>
          <cell r="T191" t="str">
            <v>-</v>
          </cell>
          <cell r="U191" t="str">
            <v>-</v>
          </cell>
          <cell r="V191" t="str">
            <v>-</v>
          </cell>
          <cell r="W191" t="str">
            <v>-</v>
          </cell>
          <cell r="X191" t="str">
            <v>-</v>
          </cell>
          <cell r="Y191" t="str">
            <v>-</v>
          </cell>
          <cell r="Z191" t="str">
            <v>-</v>
          </cell>
          <cell r="AA191" t="str">
            <v>-</v>
          </cell>
          <cell r="AB191" t="str">
            <v>-</v>
          </cell>
          <cell r="AC191" t="str">
            <v>-</v>
          </cell>
          <cell r="AD191" t="str">
            <v>-</v>
          </cell>
          <cell r="AE191" t="str">
            <v>-</v>
          </cell>
          <cell r="AF191" t="str">
            <v>-</v>
          </cell>
          <cell r="AG191" t="str">
            <v>-</v>
          </cell>
          <cell r="AH191" t="str">
            <v>-</v>
          </cell>
          <cell r="AI191" t="str">
            <v>-</v>
          </cell>
          <cell r="AJ191" t="str">
            <v>-</v>
          </cell>
          <cell r="AK191" t="str">
            <v>-</v>
          </cell>
          <cell r="AL191" t="str">
            <v>-</v>
          </cell>
          <cell r="AM191" t="str">
            <v>-</v>
          </cell>
          <cell r="AN191" t="str">
            <v>-</v>
          </cell>
          <cell r="AO191" t="str">
            <v>-</v>
          </cell>
          <cell r="AP191" t="str">
            <v>-</v>
          </cell>
          <cell r="AQ191" t="str">
            <v>-</v>
          </cell>
          <cell r="AR191" t="str">
            <v>-</v>
          </cell>
          <cell r="AS191" t="str">
            <v>-</v>
          </cell>
          <cell r="AT191" t="str">
            <v>-</v>
          </cell>
          <cell r="AU191" t="str">
            <v>-</v>
          </cell>
          <cell r="AV191" t="str">
            <v>-</v>
          </cell>
          <cell r="AW191" t="str">
            <v>-</v>
          </cell>
          <cell r="AX191" t="str">
            <v>-</v>
          </cell>
          <cell r="AY191" t="str">
            <v>-</v>
          </cell>
          <cell r="AZ191" t="str">
            <v>-</v>
          </cell>
          <cell r="BA191" t="str">
            <v>-</v>
          </cell>
          <cell r="BB191" t="str">
            <v>-</v>
          </cell>
          <cell r="BC191" t="str">
            <v>-</v>
          </cell>
          <cell r="BD191" t="str">
            <v>-</v>
          </cell>
          <cell r="BE191" t="str">
            <v>-</v>
          </cell>
          <cell r="BF191" t="str">
            <v>-</v>
          </cell>
          <cell r="BG191" t="str">
            <v>-</v>
          </cell>
          <cell r="BH191" t="str">
            <v>-</v>
          </cell>
          <cell r="BI191" t="str">
            <v>-</v>
          </cell>
          <cell r="BJ191" t="str">
            <v>-</v>
          </cell>
          <cell r="BK191" t="str">
            <v>-</v>
          </cell>
          <cell r="BL191" t="str">
            <v>-</v>
          </cell>
          <cell r="BM191" t="str">
            <v>-</v>
          </cell>
          <cell r="BN191" t="str">
            <v>-</v>
          </cell>
          <cell r="BO191" t="str">
            <v>-</v>
          </cell>
          <cell r="BP191" t="str">
            <v>-</v>
          </cell>
        </row>
        <row r="192">
          <cell r="A192">
            <v>187</v>
          </cell>
          <cell r="B192" t="str">
            <v>-</v>
          </cell>
          <cell r="C192" t="str">
            <v>-</v>
          </cell>
          <cell r="D192" t="str">
            <v>-</v>
          </cell>
          <cell r="E192" t="str">
            <v>-</v>
          </cell>
          <cell r="F192" t="str">
            <v>-</v>
          </cell>
          <cell r="G192" t="str">
            <v>-</v>
          </cell>
          <cell r="H192" t="str">
            <v>-</v>
          </cell>
          <cell r="I192" t="str">
            <v>-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-</v>
          </cell>
          <cell r="N192" t="str">
            <v>-</v>
          </cell>
          <cell r="O192" t="str">
            <v>-</v>
          </cell>
          <cell r="P192" t="str">
            <v>-</v>
          </cell>
          <cell r="Q192" t="str">
            <v>-</v>
          </cell>
          <cell r="R192" t="str">
            <v>-</v>
          </cell>
          <cell r="S192" t="str">
            <v>-</v>
          </cell>
          <cell r="T192" t="str">
            <v>-</v>
          </cell>
          <cell r="U192" t="str">
            <v>-</v>
          </cell>
          <cell r="V192" t="str">
            <v>-</v>
          </cell>
          <cell r="W192" t="str">
            <v>-</v>
          </cell>
          <cell r="X192" t="str">
            <v>-</v>
          </cell>
          <cell r="Y192" t="str">
            <v>-</v>
          </cell>
          <cell r="Z192" t="str">
            <v>-</v>
          </cell>
          <cell r="AA192" t="str">
            <v>-</v>
          </cell>
          <cell r="AB192" t="str">
            <v>-</v>
          </cell>
          <cell r="AC192" t="str">
            <v>-</v>
          </cell>
          <cell r="AD192" t="str">
            <v>-</v>
          </cell>
          <cell r="AE192" t="str">
            <v>-</v>
          </cell>
          <cell r="AF192" t="str">
            <v>-</v>
          </cell>
          <cell r="AG192" t="str">
            <v>-</v>
          </cell>
          <cell r="AH192" t="str">
            <v>-</v>
          </cell>
          <cell r="AI192" t="str">
            <v>-</v>
          </cell>
          <cell r="AJ192" t="str">
            <v>-</v>
          </cell>
          <cell r="AK192" t="str">
            <v>-</v>
          </cell>
          <cell r="AL192" t="str">
            <v>-</v>
          </cell>
          <cell r="AM192" t="str">
            <v>-</v>
          </cell>
          <cell r="AN192" t="str">
            <v>-</v>
          </cell>
          <cell r="AO192" t="str">
            <v>-</v>
          </cell>
          <cell r="AP192" t="str">
            <v>-</v>
          </cell>
          <cell r="AQ192" t="str">
            <v>-</v>
          </cell>
          <cell r="AR192" t="str">
            <v>-</v>
          </cell>
          <cell r="AS192" t="str">
            <v>-</v>
          </cell>
          <cell r="AT192" t="str">
            <v>-</v>
          </cell>
          <cell r="AU192" t="str">
            <v>-</v>
          </cell>
          <cell r="AV192" t="str">
            <v>-</v>
          </cell>
          <cell r="AW192" t="str">
            <v>-</v>
          </cell>
          <cell r="AX192" t="str">
            <v>-</v>
          </cell>
          <cell r="AY192" t="str">
            <v>-</v>
          </cell>
          <cell r="AZ192" t="str">
            <v>-</v>
          </cell>
          <cell r="BA192" t="str">
            <v>-</v>
          </cell>
          <cell r="BB192" t="str">
            <v>-</v>
          </cell>
          <cell r="BC192" t="str">
            <v>-</v>
          </cell>
          <cell r="BD192" t="str">
            <v>-</v>
          </cell>
          <cell r="BE192" t="str">
            <v>-</v>
          </cell>
          <cell r="BF192" t="str">
            <v>-</v>
          </cell>
          <cell r="BG192" t="str">
            <v>-</v>
          </cell>
          <cell r="BH192" t="str">
            <v>-</v>
          </cell>
          <cell r="BI192" t="str">
            <v>-</v>
          </cell>
          <cell r="BJ192" t="str">
            <v>-</v>
          </cell>
          <cell r="BK192" t="str">
            <v>-</v>
          </cell>
          <cell r="BL192" t="str">
            <v>-</v>
          </cell>
          <cell r="BM192" t="str">
            <v>-</v>
          </cell>
          <cell r="BN192" t="str">
            <v>-</v>
          </cell>
          <cell r="BO192" t="str">
            <v>-</v>
          </cell>
          <cell r="BP192" t="str">
            <v>-</v>
          </cell>
        </row>
        <row r="193">
          <cell r="A193">
            <v>188</v>
          </cell>
          <cell r="B193" t="str">
            <v>-</v>
          </cell>
          <cell r="C193" t="str">
            <v>-</v>
          </cell>
          <cell r="D193" t="str">
            <v>-</v>
          </cell>
          <cell r="E193" t="str">
            <v>-</v>
          </cell>
          <cell r="F193" t="str">
            <v>-</v>
          </cell>
          <cell r="G193" t="str">
            <v>-</v>
          </cell>
          <cell r="H193" t="str">
            <v>-</v>
          </cell>
          <cell r="I193" t="str">
            <v>-</v>
          </cell>
          <cell r="J193" t="str">
            <v>-</v>
          </cell>
          <cell r="K193" t="str">
            <v>-</v>
          </cell>
          <cell r="L193" t="str">
            <v>-</v>
          </cell>
          <cell r="M193" t="str">
            <v>-</v>
          </cell>
          <cell r="N193" t="str">
            <v>-</v>
          </cell>
          <cell r="O193" t="str">
            <v>-</v>
          </cell>
          <cell r="P193" t="str">
            <v>-</v>
          </cell>
          <cell r="Q193" t="str">
            <v>-</v>
          </cell>
          <cell r="R193" t="str">
            <v>-</v>
          </cell>
          <cell r="S193" t="str">
            <v>-</v>
          </cell>
          <cell r="T193" t="str">
            <v>-</v>
          </cell>
          <cell r="U193" t="str">
            <v>-</v>
          </cell>
          <cell r="V193" t="str">
            <v>-</v>
          </cell>
          <cell r="W193" t="str">
            <v>-</v>
          </cell>
          <cell r="X193" t="str">
            <v>-</v>
          </cell>
          <cell r="Y193" t="str">
            <v>-</v>
          </cell>
          <cell r="Z193" t="str">
            <v>-</v>
          </cell>
          <cell r="AA193" t="str">
            <v>-</v>
          </cell>
          <cell r="AB193" t="str">
            <v>-</v>
          </cell>
          <cell r="AC193" t="str">
            <v>-</v>
          </cell>
          <cell r="AD193" t="str">
            <v>-</v>
          </cell>
          <cell r="AE193" t="str">
            <v>-</v>
          </cell>
          <cell r="AF193" t="str">
            <v>-</v>
          </cell>
          <cell r="AG193" t="str">
            <v>-</v>
          </cell>
          <cell r="AH193" t="str">
            <v>-</v>
          </cell>
          <cell r="AI193" t="str">
            <v>-</v>
          </cell>
          <cell r="AJ193" t="str">
            <v>-</v>
          </cell>
          <cell r="AK193" t="str">
            <v>-</v>
          </cell>
          <cell r="AL193" t="str">
            <v>-</v>
          </cell>
          <cell r="AM193" t="str">
            <v>-</v>
          </cell>
          <cell r="AN193" t="str">
            <v>-</v>
          </cell>
          <cell r="AO193" t="str">
            <v>-</v>
          </cell>
          <cell r="AP193" t="str">
            <v>-</v>
          </cell>
          <cell r="AQ193" t="str">
            <v>-</v>
          </cell>
          <cell r="AR193" t="str">
            <v>-</v>
          </cell>
          <cell r="AS193" t="str">
            <v>-</v>
          </cell>
          <cell r="AT193" t="str">
            <v>-</v>
          </cell>
          <cell r="AU193" t="str">
            <v>-</v>
          </cell>
          <cell r="AV193" t="str">
            <v>-</v>
          </cell>
          <cell r="AW193" t="str">
            <v>-</v>
          </cell>
          <cell r="AX193" t="str">
            <v>-</v>
          </cell>
          <cell r="AY193" t="str">
            <v>-</v>
          </cell>
          <cell r="AZ193" t="str">
            <v>-</v>
          </cell>
          <cell r="BA193" t="str">
            <v>-</v>
          </cell>
          <cell r="BB193" t="str">
            <v>-</v>
          </cell>
          <cell r="BC193" t="str">
            <v>-</v>
          </cell>
          <cell r="BD193" t="str">
            <v>-</v>
          </cell>
          <cell r="BE193" t="str">
            <v>-</v>
          </cell>
          <cell r="BF193" t="str">
            <v>-</v>
          </cell>
          <cell r="BG193" t="str">
            <v>-</v>
          </cell>
          <cell r="BH193" t="str">
            <v>-</v>
          </cell>
          <cell r="BI193" t="str">
            <v>-</v>
          </cell>
          <cell r="BJ193" t="str">
            <v>-</v>
          </cell>
          <cell r="BK193" t="str">
            <v>-</v>
          </cell>
          <cell r="BL193" t="str">
            <v>-</v>
          </cell>
          <cell r="BM193" t="str">
            <v>-</v>
          </cell>
          <cell r="BN193" t="str">
            <v>-</v>
          </cell>
          <cell r="BO193" t="str">
            <v>-</v>
          </cell>
          <cell r="BP193" t="str">
            <v>-</v>
          </cell>
        </row>
        <row r="194">
          <cell r="A194">
            <v>189</v>
          </cell>
          <cell r="B194" t="str">
            <v>-</v>
          </cell>
          <cell r="C194" t="str">
            <v>-</v>
          </cell>
          <cell r="D194" t="str">
            <v>-</v>
          </cell>
          <cell r="E194" t="str">
            <v>-</v>
          </cell>
          <cell r="F194" t="str">
            <v>-</v>
          </cell>
          <cell r="G194" t="str">
            <v>-</v>
          </cell>
          <cell r="H194" t="str">
            <v>-</v>
          </cell>
          <cell r="I194" t="str">
            <v>-</v>
          </cell>
          <cell r="J194" t="str">
            <v>-</v>
          </cell>
          <cell r="K194" t="str">
            <v>-</v>
          </cell>
          <cell r="L194" t="str">
            <v>-</v>
          </cell>
          <cell r="M194" t="str">
            <v>-</v>
          </cell>
          <cell r="N194" t="str">
            <v>-</v>
          </cell>
          <cell r="O194" t="str">
            <v>-</v>
          </cell>
          <cell r="P194" t="str">
            <v>-</v>
          </cell>
          <cell r="Q194" t="str">
            <v>-</v>
          </cell>
          <cell r="R194" t="str">
            <v>-</v>
          </cell>
          <cell r="S194" t="str">
            <v>-</v>
          </cell>
          <cell r="T194" t="str">
            <v>-</v>
          </cell>
          <cell r="U194" t="str">
            <v>-</v>
          </cell>
          <cell r="V194" t="str">
            <v>-</v>
          </cell>
          <cell r="W194" t="str">
            <v>-</v>
          </cell>
          <cell r="X194" t="str">
            <v>-</v>
          </cell>
          <cell r="Y194" t="str">
            <v>-</v>
          </cell>
          <cell r="Z194" t="str">
            <v>-</v>
          </cell>
          <cell r="AA194" t="str">
            <v>-</v>
          </cell>
          <cell r="AB194" t="str">
            <v>-</v>
          </cell>
          <cell r="AC194" t="str">
            <v>-</v>
          </cell>
          <cell r="AD194" t="str">
            <v>-</v>
          </cell>
          <cell r="AE194" t="str">
            <v>-</v>
          </cell>
          <cell r="AF194" t="str">
            <v>-</v>
          </cell>
          <cell r="AG194" t="str">
            <v>-</v>
          </cell>
          <cell r="AH194" t="str">
            <v>-</v>
          </cell>
          <cell r="AI194" t="str">
            <v>-</v>
          </cell>
          <cell r="AJ194" t="str">
            <v>-</v>
          </cell>
          <cell r="AK194" t="str">
            <v>-</v>
          </cell>
          <cell r="AL194" t="str">
            <v>-</v>
          </cell>
          <cell r="AM194" t="str">
            <v>-</v>
          </cell>
          <cell r="AN194" t="str">
            <v>-</v>
          </cell>
          <cell r="AO194" t="str">
            <v>-</v>
          </cell>
          <cell r="AP194" t="str">
            <v>-</v>
          </cell>
          <cell r="AQ194" t="str">
            <v>-</v>
          </cell>
          <cell r="AR194" t="str">
            <v>-</v>
          </cell>
          <cell r="AS194" t="str">
            <v>-</v>
          </cell>
          <cell r="AT194" t="str">
            <v>-</v>
          </cell>
          <cell r="AU194" t="str">
            <v>-</v>
          </cell>
          <cell r="AV194" t="str">
            <v>-</v>
          </cell>
          <cell r="AW194" t="str">
            <v>-</v>
          </cell>
          <cell r="AX194" t="str">
            <v>-</v>
          </cell>
          <cell r="AY194" t="str">
            <v>-</v>
          </cell>
          <cell r="AZ194" t="str">
            <v>-</v>
          </cell>
          <cell r="BA194" t="str">
            <v>-</v>
          </cell>
          <cell r="BB194" t="str">
            <v>-</v>
          </cell>
          <cell r="BC194" t="str">
            <v>-</v>
          </cell>
          <cell r="BD194" t="str">
            <v>-</v>
          </cell>
          <cell r="BE194" t="str">
            <v>-</v>
          </cell>
          <cell r="BF194" t="str">
            <v>-</v>
          </cell>
          <cell r="BG194" t="str">
            <v>-</v>
          </cell>
          <cell r="BH194" t="str">
            <v>-</v>
          </cell>
          <cell r="BI194" t="str">
            <v>-</v>
          </cell>
          <cell r="BJ194" t="str">
            <v>-</v>
          </cell>
          <cell r="BK194" t="str">
            <v>-</v>
          </cell>
          <cell r="BL194" t="str">
            <v>-</v>
          </cell>
          <cell r="BM194" t="str">
            <v>-</v>
          </cell>
          <cell r="BN194" t="str">
            <v>-</v>
          </cell>
          <cell r="BO194" t="str">
            <v>-</v>
          </cell>
          <cell r="BP194" t="str">
            <v>-</v>
          </cell>
        </row>
        <row r="195">
          <cell r="A195">
            <v>190</v>
          </cell>
          <cell r="B195" t="str">
            <v>-</v>
          </cell>
          <cell r="C195" t="str">
            <v>-</v>
          </cell>
          <cell r="D195" t="str">
            <v>-</v>
          </cell>
          <cell r="E195" t="str">
            <v>-</v>
          </cell>
          <cell r="F195" t="str">
            <v>-</v>
          </cell>
          <cell r="G195" t="str">
            <v>-</v>
          </cell>
          <cell r="H195" t="str">
            <v>-</v>
          </cell>
          <cell r="I195" t="str">
            <v>-</v>
          </cell>
          <cell r="J195" t="str">
            <v>-</v>
          </cell>
          <cell r="K195" t="str">
            <v>-</v>
          </cell>
          <cell r="L195" t="str">
            <v>-</v>
          </cell>
          <cell r="M195" t="str">
            <v>-</v>
          </cell>
          <cell r="N195" t="str">
            <v>-</v>
          </cell>
          <cell r="O195" t="str">
            <v>-</v>
          </cell>
          <cell r="P195" t="str">
            <v>-</v>
          </cell>
          <cell r="Q195" t="str">
            <v>-</v>
          </cell>
          <cell r="R195" t="str">
            <v>-</v>
          </cell>
          <cell r="S195" t="str">
            <v>-</v>
          </cell>
          <cell r="T195" t="str">
            <v>-</v>
          </cell>
          <cell r="U195" t="str">
            <v>-</v>
          </cell>
          <cell r="V195" t="str">
            <v>-</v>
          </cell>
          <cell r="W195" t="str">
            <v>-</v>
          </cell>
          <cell r="X195" t="str">
            <v>-</v>
          </cell>
          <cell r="Y195" t="str">
            <v>-</v>
          </cell>
          <cell r="Z195" t="str">
            <v>-</v>
          </cell>
          <cell r="AA195" t="str">
            <v>-</v>
          </cell>
          <cell r="AB195" t="str">
            <v>-</v>
          </cell>
          <cell r="AC195" t="str">
            <v>-</v>
          </cell>
          <cell r="AD195" t="str">
            <v>-</v>
          </cell>
          <cell r="AE195" t="str">
            <v>-</v>
          </cell>
          <cell r="AF195" t="str">
            <v>-</v>
          </cell>
          <cell r="AG195" t="str">
            <v>-</v>
          </cell>
          <cell r="AH195" t="str">
            <v>-</v>
          </cell>
          <cell r="AI195" t="str">
            <v>-</v>
          </cell>
          <cell r="AJ195" t="str">
            <v>-</v>
          </cell>
          <cell r="AK195" t="str">
            <v>-</v>
          </cell>
          <cell r="AL195" t="str">
            <v>-</v>
          </cell>
          <cell r="AM195" t="str">
            <v>-</v>
          </cell>
          <cell r="AN195" t="str">
            <v>-</v>
          </cell>
          <cell r="AO195" t="str">
            <v>-</v>
          </cell>
          <cell r="AP195" t="str">
            <v>-</v>
          </cell>
          <cell r="AQ195" t="str">
            <v>-</v>
          </cell>
          <cell r="AR195" t="str">
            <v>-</v>
          </cell>
          <cell r="AS195" t="str">
            <v>-</v>
          </cell>
          <cell r="AT195" t="str">
            <v>-</v>
          </cell>
          <cell r="AU195" t="str">
            <v>-</v>
          </cell>
          <cell r="AV195" t="str">
            <v>-</v>
          </cell>
          <cell r="AW195" t="str">
            <v>-</v>
          </cell>
          <cell r="AX195" t="str">
            <v>-</v>
          </cell>
          <cell r="AY195" t="str">
            <v>-</v>
          </cell>
          <cell r="AZ195" t="str">
            <v>-</v>
          </cell>
          <cell r="BA195" t="str">
            <v>-</v>
          </cell>
          <cell r="BB195" t="str">
            <v>-</v>
          </cell>
          <cell r="BC195" t="str">
            <v>-</v>
          </cell>
          <cell r="BD195" t="str">
            <v>-</v>
          </cell>
          <cell r="BE195" t="str">
            <v>-</v>
          </cell>
          <cell r="BF195" t="str">
            <v>-</v>
          </cell>
          <cell r="BG195" t="str">
            <v>-</v>
          </cell>
          <cell r="BH195" t="str">
            <v>-</v>
          </cell>
          <cell r="BI195" t="str">
            <v>-</v>
          </cell>
          <cell r="BJ195" t="str">
            <v>-</v>
          </cell>
          <cell r="BK195" t="str">
            <v>-</v>
          </cell>
          <cell r="BL195" t="str">
            <v>-</v>
          </cell>
          <cell r="BM195" t="str">
            <v>-</v>
          </cell>
          <cell r="BN195" t="str">
            <v>-</v>
          </cell>
          <cell r="BO195" t="str">
            <v>-</v>
          </cell>
          <cell r="BP195" t="str">
            <v>-</v>
          </cell>
        </row>
        <row r="196">
          <cell r="A196">
            <v>191</v>
          </cell>
          <cell r="B196" t="str">
            <v>-</v>
          </cell>
          <cell r="C196" t="str">
            <v>-</v>
          </cell>
          <cell r="D196" t="str">
            <v>-</v>
          </cell>
          <cell r="E196" t="str">
            <v>-</v>
          </cell>
          <cell r="F196" t="str">
            <v>-</v>
          </cell>
          <cell r="G196" t="str">
            <v>-</v>
          </cell>
          <cell r="H196" t="str">
            <v>-</v>
          </cell>
          <cell r="I196" t="str">
            <v>-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-</v>
          </cell>
          <cell r="N196" t="str">
            <v>-</v>
          </cell>
          <cell r="O196" t="str">
            <v>-</v>
          </cell>
          <cell r="P196" t="str">
            <v>-</v>
          </cell>
          <cell r="Q196" t="str">
            <v>-</v>
          </cell>
          <cell r="R196" t="str">
            <v>-</v>
          </cell>
          <cell r="S196" t="str">
            <v>-</v>
          </cell>
          <cell r="T196" t="str">
            <v>-</v>
          </cell>
          <cell r="U196" t="str">
            <v>-</v>
          </cell>
          <cell r="V196" t="str">
            <v>-</v>
          </cell>
          <cell r="W196" t="str">
            <v>-</v>
          </cell>
          <cell r="X196" t="str">
            <v>-</v>
          </cell>
          <cell r="Y196" t="str">
            <v>-</v>
          </cell>
          <cell r="Z196" t="str">
            <v>-</v>
          </cell>
          <cell r="AA196" t="str">
            <v>-</v>
          </cell>
          <cell r="AB196" t="str">
            <v>-</v>
          </cell>
          <cell r="AC196" t="str">
            <v>-</v>
          </cell>
          <cell r="AD196" t="str">
            <v>-</v>
          </cell>
          <cell r="AE196" t="str">
            <v>-</v>
          </cell>
          <cell r="AF196" t="str">
            <v>-</v>
          </cell>
          <cell r="AG196" t="str">
            <v>-</v>
          </cell>
          <cell r="AH196" t="str">
            <v>-</v>
          </cell>
          <cell r="AI196" t="str">
            <v>-</v>
          </cell>
          <cell r="AJ196" t="str">
            <v>-</v>
          </cell>
          <cell r="AK196" t="str">
            <v>-</v>
          </cell>
          <cell r="AL196" t="str">
            <v>-</v>
          </cell>
          <cell r="AM196" t="str">
            <v>-</v>
          </cell>
          <cell r="AN196" t="str">
            <v>-</v>
          </cell>
          <cell r="AO196" t="str">
            <v>-</v>
          </cell>
          <cell r="AP196" t="str">
            <v>-</v>
          </cell>
          <cell r="AQ196" t="str">
            <v>-</v>
          </cell>
          <cell r="AR196" t="str">
            <v>-</v>
          </cell>
          <cell r="AS196" t="str">
            <v>-</v>
          </cell>
          <cell r="AT196" t="str">
            <v>-</v>
          </cell>
          <cell r="AU196" t="str">
            <v>-</v>
          </cell>
          <cell r="AV196" t="str">
            <v>-</v>
          </cell>
          <cell r="AW196" t="str">
            <v>-</v>
          </cell>
          <cell r="AX196" t="str">
            <v>-</v>
          </cell>
          <cell r="AY196" t="str">
            <v>-</v>
          </cell>
          <cell r="AZ196" t="str">
            <v>-</v>
          </cell>
          <cell r="BA196" t="str">
            <v>-</v>
          </cell>
          <cell r="BB196" t="str">
            <v>-</v>
          </cell>
          <cell r="BC196" t="str">
            <v>-</v>
          </cell>
          <cell r="BD196" t="str">
            <v>-</v>
          </cell>
          <cell r="BE196" t="str">
            <v>-</v>
          </cell>
          <cell r="BF196" t="str">
            <v>-</v>
          </cell>
          <cell r="BG196" t="str">
            <v>-</v>
          </cell>
          <cell r="BH196" t="str">
            <v>-</v>
          </cell>
          <cell r="BI196" t="str">
            <v>-</v>
          </cell>
          <cell r="BJ196" t="str">
            <v>-</v>
          </cell>
          <cell r="BK196" t="str">
            <v>-</v>
          </cell>
          <cell r="BL196" t="str">
            <v>-</v>
          </cell>
          <cell r="BM196" t="str">
            <v>-</v>
          </cell>
          <cell r="BN196" t="str">
            <v>-</v>
          </cell>
          <cell r="BO196" t="str">
            <v>-</v>
          </cell>
          <cell r="BP196" t="str">
            <v>-</v>
          </cell>
        </row>
        <row r="197">
          <cell r="A197">
            <v>192</v>
          </cell>
          <cell r="B197" t="str">
            <v>-</v>
          </cell>
          <cell r="C197" t="str">
            <v>-</v>
          </cell>
          <cell r="D197" t="str">
            <v>-</v>
          </cell>
          <cell r="E197" t="str">
            <v>-</v>
          </cell>
          <cell r="F197" t="str">
            <v>-</v>
          </cell>
          <cell r="G197" t="str">
            <v>-</v>
          </cell>
          <cell r="H197" t="str">
            <v>-</v>
          </cell>
          <cell r="I197" t="str">
            <v>-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-</v>
          </cell>
          <cell r="N197" t="str">
            <v>-</v>
          </cell>
          <cell r="O197" t="str">
            <v>-</v>
          </cell>
          <cell r="P197" t="str">
            <v>-</v>
          </cell>
          <cell r="Q197" t="str">
            <v>-</v>
          </cell>
          <cell r="R197" t="str">
            <v>-</v>
          </cell>
          <cell r="S197" t="str">
            <v>-</v>
          </cell>
          <cell r="T197" t="str">
            <v>-</v>
          </cell>
          <cell r="U197" t="str">
            <v>-</v>
          </cell>
          <cell r="V197" t="str">
            <v>-</v>
          </cell>
          <cell r="W197" t="str">
            <v>-</v>
          </cell>
          <cell r="X197" t="str">
            <v>-</v>
          </cell>
          <cell r="Y197" t="str">
            <v>-</v>
          </cell>
          <cell r="Z197" t="str">
            <v>-</v>
          </cell>
          <cell r="AA197" t="str">
            <v>-</v>
          </cell>
          <cell r="AB197" t="str">
            <v>-</v>
          </cell>
          <cell r="AC197" t="str">
            <v>-</v>
          </cell>
          <cell r="AD197" t="str">
            <v>-</v>
          </cell>
          <cell r="AE197" t="str">
            <v>-</v>
          </cell>
          <cell r="AF197" t="str">
            <v>-</v>
          </cell>
          <cell r="AG197" t="str">
            <v>-</v>
          </cell>
          <cell r="AH197" t="str">
            <v>-</v>
          </cell>
          <cell r="AI197" t="str">
            <v>-</v>
          </cell>
          <cell r="AJ197" t="str">
            <v>-</v>
          </cell>
          <cell r="AK197" t="str">
            <v>-</v>
          </cell>
          <cell r="AL197" t="str">
            <v>-</v>
          </cell>
          <cell r="AM197" t="str">
            <v>-</v>
          </cell>
          <cell r="AN197" t="str">
            <v>-</v>
          </cell>
          <cell r="AO197" t="str">
            <v>-</v>
          </cell>
          <cell r="AP197" t="str">
            <v>-</v>
          </cell>
          <cell r="AQ197" t="str">
            <v>-</v>
          </cell>
          <cell r="AR197" t="str">
            <v>-</v>
          </cell>
          <cell r="AS197" t="str">
            <v>-</v>
          </cell>
          <cell r="AT197" t="str">
            <v>-</v>
          </cell>
          <cell r="AU197" t="str">
            <v>-</v>
          </cell>
          <cell r="AV197" t="str">
            <v>-</v>
          </cell>
          <cell r="AW197" t="str">
            <v>-</v>
          </cell>
          <cell r="AX197" t="str">
            <v>-</v>
          </cell>
          <cell r="AY197" t="str">
            <v>-</v>
          </cell>
          <cell r="AZ197" t="str">
            <v>-</v>
          </cell>
          <cell r="BA197" t="str">
            <v>-</v>
          </cell>
          <cell r="BB197" t="str">
            <v>-</v>
          </cell>
          <cell r="BC197" t="str">
            <v>-</v>
          </cell>
          <cell r="BD197" t="str">
            <v>-</v>
          </cell>
          <cell r="BE197" t="str">
            <v>-</v>
          </cell>
          <cell r="BF197" t="str">
            <v>-</v>
          </cell>
          <cell r="BG197" t="str">
            <v>-</v>
          </cell>
          <cell r="BH197" t="str">
            <v>-</v>
          </cell>
          <cell r="BI197" t="str">
            <v>-</v>
          </cell>
          <cell r="BJ197" t="str">
            <v>-</v>
          </cell>
          <cell r="BK197" t="str">
            <v>-</v>
          </cell>
          <cell r="BL197" t="str">
            <v>-</v>
          </cell>
          <cell r="BM197" t="str">
            <v>-</v>
          </cell>
          <cell r="BN197" t="str">
            <v>-</v>
          </cell>
          <cell r="BO197" t="str">
            <v>-</v>
          </cell>
          <cell r="BP197" t="str">
            <v>-</v>
          </cell>
        </row>
        <row r="198">
          <cell r="A198">
            <v>193</v>
          </cell>
          <cell r="B198" t="str">
            <v>-</v>
          </cell>
          <cell r="C198" t="str">
            <v>-</v>
          </cell>
          <cell r="D198" t="str">
            <v>-</v>
          </cell>
          <cell r="E198" t="str">
            <v>-</v>
          </cell>
          <cell r="F198" t="str">
            <v>-</v>
          </cell>
          <cell r="G198" t="str">
            <v>-</v>
          </cell>
          <cell r="H198" t="str">
            <v>-</v>
          </cell>
          <cell r="I198" t="str">
            <v>-</v>
          </cell>
          <cell r="J198" t="str">
            <v>-</v>
          </cell>
          <cell r="K198" t="str">
            <v>-</v>
          </cell>
          <cell r="L198" t="str">
            <v>-</v>
          </cell>
          <cell r="M198" t="str">
            <v>-</v>
          </cell>
          <cell r="N198" t="str">
            <v>-</v>
          </cell>
          <cell r="O198" t="str">
            <v>-</v>
          </cell>
          <cell r="P198" t="str">
            <v>-</v>
          </cell>
          <cell r="Q198" t="str">
            <v>-</v>
          </cell>
          <cell r="R198" t="str">
            <v>-</v>
          </cell>
          <cell r="S198" t="str">
            <v>-</v>
          </cell>
          <cell r="T198" t="str">
            <v>-</v>
          </cell>
          <cell r="U198" t="str">
            <v>-</v>
          </cell>
          <cell r="V198" t="str">
            <v>-</v>
          </cell>
          <cell r="W198" t="str">
            <v>-</v>
          </cell>
          <cell r="X198" t="str">
            <v>-</v>
          </cell>
          <cell r="Y198" t="str">
            <v>-</v>
          </cell>
          <cell r="Z198" t="str">
            <v>-</v>
          </cell>
          <cell r="AA198" t="str">
            <v>-</v>
          </cell>
          <cell r="AB198" t="str">
            <v>-</v>
          </cell>
          <cell r="AC198" t="str">
            <v>-</v>
          </cell>
          <cell r="AD198" t="str">
            <v>-</v>
          </cell>
          <cell r="AE198" t="str">
            <v>-</v>
          </cell>
          <cell r="AF198" t="str">
            <v>-</v>
          </cell>
          <cell r="AG198" t="str">
            <v>-</v>
          </cell>
          <cell r="AH198" t="str">
            <v>-</v>
          </cell>
          <cell r="AI198" t="str">
            <v>-</v>
          </cell>
          <cell r="AJ198" t="str">
            <v>-</v>
          </cell>
          <cell r="AK198" t="str">
            <v>-</v>
          </cell>
          <cell r="AL198" t="str">
            <v>-</v>
          </cell>
          <cell r="AM198" t="str">
            <v>-</v>
          </cell>
          <cell r="AN198" t="str">
            <v>-</v>
          </cell>
          <cell r="AO198" t="str">
            <v>-</v>
          </cell>
          <cell r="AP198" t="str">
            <v>-</v>
          </cell>
          <cell r="AQ198" t="str">
            <v>-</v>
          </cell>
          <cell r="AR198" t="str">
            <v>-</v>
          </cell>
          <cell r="AS198" t="str">
            <v>-</v>
          </cell>
          <cell r="AT198" t="str">
            <v>-</v>
          </cell>
          <cell r="AU198" t="str">
            <v>-</v>
          </cell>
          <cell r="AV198" t="str">
            <v>-</v>
          </cell>
          <cell r="AW198" t="str">
            <v>-</v>
          </cell>
          <cell r="AX198" t="str">
            <v>-</v>
          </cell>
          <cell r="AY198" t="str">
            <v>-</v>
          </cell>
          <cell r="AZ198" t="str">
            <v>-</v>
          </cell>
          <cell r="BA198" t="str">
            <v>-</v>
          </cell>
          <cell r="BB198" t="str">
            <v>-</v>
          </cell>
          <cell r="BC198" t="str">
            <v>-</v>
          </cell>
          <cell r="BD198" t="str">
            <v>-</v>
          </cell>
          <cell r="BE198" t="str">
            <v>-</v>
          </cell>
          <cell r="BF198" t="str">
            <v>-</v>
          </cell>
          <cell r="BG198" t="str">
            <v>-</v>
          </cell>
          <cell r="BH198" t="str">
            <v>-</v>
          </cell>
          <cell r="BI198" t="str">
            <v>-</v>
          </cell>
          <cell r="BJ198" t="str">
            <v>-</v>
          </cell>
          <cell r="BK198" t="str">
            <v>-</v>
          </cell>
          <cell r="BL198" t="str">
            <v>-</v>
          </cell>
          <cell r="BM198" t="str">
            <v>-</v>
          </cell>
          <cell r="BN198" t="str">
            <v>-</v>
          </cell>
          <cell r="BO198" t="str">
            <v>-</v>
          </cell>
          <cell r="BP198" t="str">
            <v>-</v>
          </cell>
        </row>
        <row r="199">
          <cell r="A199">
            <v>194</v>
          </cell>
          <cell r="B199" t="str">
            <v>-</v>
          </cell>
          <cell r="C199" t="str">
            <v>-</v>
          </cell>
          <cell r="D199" t="str">
            <v>-</v>
          </cell>
          <cell r="E199" t="str">
            <v>-</v>
          </cell>
          <cell r="F199" t="str">
            <v>-</v>
          </cell>
          <cell r="G199" t="str">
            <v>-</v>
          </cell>
          <cell r="H199" t="str">
            <v>-</v>
          </cell>
          <cell r="I199" t="str">
            <v>-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-</v>
          </cell>
          <cell r="N199" t="str">
            <v>-</v>
          </cell>
          <cell r="O199" t="str">
            <v>-</v>
          </cell>
          <cell r="P199" t="str">
            <v>-</v>
          </cell>
          <cell r="Q199" t="str">
            <v>-</v>
          </cell>
          <cell r="R199" t="str">
            <v>-</v>
          </cell>
          <cell r="S199" t="str">
            <v>-</v>
          </cell>
          <cell r="T199" t="str">
            <v>-</v>
          </cell>
          <cell r="U199" t="str">
            <v>-</v>
          </cell>
          <cell r="V199" t="str">
            <v>-</v>
          </cell>
          <cell r="W199" t="str">
            <v>-</v>
          </cell>
          <cell r="X199" t="str">
            <v>-</v>
          </cell>
          <cell r="Y199" t="str">
            <v>-</v>
          </cell>
          <cell r="Z199" t="str">
            <v>-</v>
          </cell>
          <cell r="AA199" t="str">
            <v>-</v>
          </cell>
          <cell r="AB199" t="str">
            <v>-</v>
          </cell>
          <cell r="AC199" t="str">
            <v>-</v>
          </cell>
          <cell r="AD199" t="str">
            <v>-</v>
          </cell>
          <cell r="AE199" t="str">
            <v>-</v>
          </cell>
          <cell r="AF199" t="str">
            <v>-</v>
          </cell>
          <cell r="AG199" t="str">
            <v>-</v>
          </cell>
          <cell r="AH199" t="str">
            <v>-</v>
          </cell>
          <cell r="AI199" t="str">
            <v>-</v>
          </cell>
          <cell r="AJ199" t="str">
            <v>-</v>
          </cell>
          <cell r="AK199" t="str">
            <v>-</v>
          </cell>
          <cell r="AL199" t="str">
            <v>-</v>
          </cell>
          <cell r="AM199" t="str">
            <v>-</v>
          </cell>
          <cell r="AN199" t="str">
            <v>-</v>
          </cell>
          <cell r="AO199" t="str">
            <v>-</v>
          </cell>
          <cell r="AP199" t="str">
            <v>-</v>
          </cell>
          <cell r="AQ199" t="str">
            <v>-</v>
          </cell>
          <cell r="AR199" t="str">
            <v>-</v>
          </cell>
          <cell r="AS199" t="str">
            <v>-</v>
          </cell>
          <cell r="AT199" t="str">
            <v>-</v>
          </cell>
          <cell r="AU199" t="str">
            <v>-</v>
          </cell>
          <cell r="AV199" t="str">
            <v>-</v>
          </cell>
          <cell r="AW199" t="str">
            <v>-</v>
          </cell>
          <cell r="AX199" t="str">
            <v>-</v>
          </cell>
          <cell r="AY199" t="str">
            <v>-</v>
          </cell>
          <cell r="AZ199" t="str">
            <v>-</v>
          </cell>
          <cell r="BA199" t="str">
            <v>-</v>
          </cell>
          <cell r="BB199" t="str">
            <v>-</v>
          </cell>
          <cell r="BC199" t="str">
            <v>-</v>
          </cell>
          <cell r="BD199" t="str">
            <v>-</v>
          </cell>
          <cell r="BE199" t="str">
            <v>-</v>
          </cell>
          <cell r="BF199" t="str">
            <v>-</v>
          </cell>
          <cell r="BG199" t="str">
            <v>-</v>
          </cell>
          <cell r="BH199" t="str">
            <v>-</v>
          </cell>
          <cell r="BI199" t="str">
            <v>-</v>
          </cell>
          <cell r="BJ199" t="str">
            <v>-</v>
          </cell>
          <cell r="BK199" t="str">
            <v>-</v>
          </cell>
          <cell r="BL199" t="str">
            <v>-</v>
          </cell>
          <cell r="BM199" t="str">
            <v>-</v>
          </cell>
          <cell r="BN199" t="str">
            <v>-</v>
          </cell>
          <cell r="BO199" t="str">
            <v>-</v>
          </cell>
          <cell r="BP199" t="str">
            <v>-</v>
          </cell>
        </row>
        <row r="200">
          <cell r="A200">
            <v>195</v>
          </cell>
          <cell r="B200" t="str">
            <v>-</v>
          </cell>
          <cell r="C200" t="str">
            <v>-</v>
          </cell>
          <cell r="D200" t="str">
            <v>-</v>
          </cell>
          <cell r="E200" t="str">
            <v>-</v>
          </cell>
          <cell r="F200" t="str">
            <v>-</v>
          </cell>
          <cell r="G200" t="str">
            <v>-</v>
          </cell>
          <cell r="H200" t="str">
            <v>-</v>
          </cell>
          <cell r="I200" t="str">
            <v>-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-</v>
          </cell>
          <cell r="N200" t="str">
            <v>-</v>
          </cell>
          <cell r="O200" t="str">
            <v>-</v>
          </cell>
          <cell r="P200" t="str">
            <v>-</v>
          </cell>
          <cell r="Q200" t="str">
            <v>-</v>
          </cell>
          <cell r="R200" t="str">
            <v>-</v>
          </cell>
          <cell r="S200" t="str">
            <v>-</v>
          </cell>
          <cell r="T200" t="str">
            <v>-</v>
          </cell>
          <cell r="U200" t="str">
            <v>-</v>
          </cell>
          <cell r="V200" t="str">
            <v>-</v>
          </cell>
          <cell r="W200" t="str">
            <v>-</v>
          </cell>
          <cell r="X200" t="str">
            <v>-</v>
          </cell>
          <cell r="Y200" t="str">
            <v>-</v>
          </cell>
          <cell r="Z200" t="str">
            <v>-</v>
          </cell>
          <cell r="AA200" t="str">
            <v>-</v>
          </cell>
          <cell r="AB200" t="str">
            <v>-</v>
          </cell>
          <cell r="AC200" t="str">
            <v>-</v>
          </cell>
          <cell r="AD200" t="str">
            <v>-</v>
          </cell>
          <cell r="AE200" t="str">
            <v>-</v>
          </cell>
          <cell r="AF200" t="str">
            <v>-</v>
          </cell>
          <cell r="AG200" t="str">
            <v>-</v>
          </cell>
          <cell r="AH200" t="str">
            <v>-</v>
          </cell>
          <cell r="AI200" t="str">
            <v>-</v>
          </cell>
          <cell r="AJ200" t="str">
            <v>-</v>
          </cell>
          <cell r="AK200" t="str">
            <v>-</v>
          </cell>
          <cell r="AL200" t="str">
            <v>-</v>
          </cell>
          <cell r="AM200" t="str">
            <v>-</v>
          </cell>
          <cell r="AN200" t="str">
            <v>-</v>
          </cell>
          <cell r="AO200" t="str">
            <v>-</v>
          </cell>
          <cell r="AP200" t="str">
            <v>-</v>
          </cell>
          <cell r="AQ200" t="str">
            <v>-</v>
          </cell>
          <cell r="AR200" t="str">
            <v>-</v>
          </cell>
          <cell r="AS200" t="str">
            <v>-</v>
          </cell>
          <cell r="AT200" t="str">
            <v>-</v>
          </cell>
          <cell r="AU200" t="str">
            <v>-</v>
          </cell>
          <cell r="AV200" t="str">
            <v>-</v>
          </cell>
          <cell r="AW200" t="str">
            <v>-</v>
          </cell>
          <cell r="AX200" t="str">
            <v>-</v>
          </cell>
          <cell r="AY200" t="str">
            <v>-</v>
          </cell>
          <cell r="AZ200" t="str">
            <v>-</v>
          </cell>
          <cell r="BA200" t="str">
            <v>-</v>
          </cell>
          <cell r="BB200" t="str">
            <v>-</v>
          </cell>
          <cell r="BC200" t="str">
            <v>-</v>
          </cell>
          <cell r="BD200" t="str">
            <v>-</v>
          </cell>
          <cell r="BE200" t="str">
            <v>-</v>
          </cell>
          <cell r="BF200" t="str">
            <v>-</v>
          </cell>
          <cell r="BG200" t="str">
            <v>-</v>
          </cell>
          <cell r="BH200" t="str">
            <v>-</v>
          </cell>
          <cell r="BI200" t="str">
            <v>-</v>
          </cell>
          <cell r="BJ200" t="str">
            <v>-</v>
          </cell>
          <cell r="BK200" t="str">
            <v>-</v>
          </cell>
          <cell r="BL200" t="str">
            <v>-</v>
          </cell>
          <cell r="BM200" t="str">
            <v>-</v>
          </cell>
          <cell r="BN200" t="str">
            <v>-</v>
          </cell>
          <cell r="BO200" t="str">
            <v>-</v>
          </cell>
          <cell r="BP200" t="str">
            <v>-</v>
          </cell>
        </row>
        <row r="201">
          <cell r="A201">
            <v>196</v>
          </cell>
          <cell r="B201" t="str">
            <v>-</v>
          </cell>
          <cell r="C201" t="str">
            <v>-</v>
          </cell>
          <cell r="D201" t="str">
            <v>-</v>
          </cell>
          <cell r="E201" t="str">
            <v>-</v>
          </cell>
          <cell r="F201" t="str">
            <v>-</v>
          </cell>
          <cell r="G201" t="str">
            <v>-</v>
          </cell>
          <cell r="H201" t="str">
            <v>-</v>
          </cell>
          <cell r="I201" t="str">
            <v>-</v>
          </cell>
          <cell r="J201" t="str">
            <v>-</v>
          </cell>
          <cell r="K201" t="str">
            <v>-</v>
          </cell>
          <cell r="L201" t="str">
            <v>-</v>
          </cell>
          <cell r="M201" t="str">
            <v>-</v>
          </cell>
          <cell r="N201" t="str">
            <v>-</v>
          </cell>
          <cell r="O201" t="str">
            <v>-</v>
          </cell>
          <cell r="P201" t="str">
            <v>-</v>
          </cell>
          <cell r="Q201" t="str">
            <v>-</v>
          </cell>
          <cell r="R201" t="str">
            <v>-</v>
          </cell>
          <cell r="S201" t="str">
            <v>-</v>
          </cell>
          <cell r="T201" t="str">
            <v>-</v>
          </cell>
          <cell r="U201" t="str">
            <v>-</v>
          </cell>
          <cell r="V201" t="str">
            <v>-</v>
          </cell>
          <cell r="W201" t="str">
            <v>-</v>
          </cell>
          <cell r="X201" t="str">
            <v>-</v>
          </cell>
          <cell r="Y201" t="str">
            <v>-</v>
          </cell>
          <cell r="Z201" t="str">
            <v>-</v>
          </cell>
          <cell r="AA201" t="str">
            <v>-</v>
          </cell>
          <cell r="AB201" t="str">
            <v>-</v>
          </cell>
          <cell r="AC201" t="str">
            <v>-</v>
          </cell>
          <cell r="AD201" t="str">
            <v>-</v>
          </cell>
          <cell r="AE201" t="str">
            <v>-</v>
          </cell>
          <cell r="AF201" t="str">
            <v>-</v>
          </cell>
          <cell r="AG201" t="str">
            <v>-</v>
          </cell>
          <cell r="AH201" t="str">
            <v>-</v>
          </cell>
          <cell r="AI201" t="str">
            <v>-</v>
          </cell>
          <cell r="AJ201" t="str">
            <v>-</v>
          </cell>
          <cell r="AK201" t="str">
            <v>-</v>
          </cell>
          <cell r="AL201" t="str">
            <v>-</v>
          </cell>
          <cell r="AM201" t="str">
            <v>-</v>
          </cell>
          <cell r="AN201" t="str">
            <v>-</v>
          </cell>
          <cell r="AO201" t="str">
            <v>-</v>
          </cell>
          <cell r="AP201" t="str">
            <v>-</v>
          </cell>
          <cell r="AQ201" t="str">
            <v>-</v>
          </cell>
          <cell r="AR201" t="str">
            <v>-</v>
          </cell>
          <cell r="AS201" t="str">
            <v>-</v>
          </cell>
          <cell r="AT201" t="str">
            <v>-</v>
          </cell>
          <cell r="AU201" t="str">
            <v>-</v>
          </cell>
          <cell r="AV201" t="str">
            <v>-</v>
          </cell>
          <cell r="AW201" t="str">
            <v>-</v>
          </cell>
          <cell r="AX201" t="str">
            <v>-</v>
          </cell>
          <cell r="AY201" t="str">
            <v>-</v>
          </cell>
          <cell r="AZ201" t="str">
            <v>-</v>
          </cell>
          <cell r="BA201" t="str">
            <v>-</v>
          </cell>
          <cell r="BB201" t="str">
            <v>-</v>
          </cell>
          <cell r="BC201" t="str">
            <v>-</v>
          </cell>
          <cell r="BD201" t="str">
            <v>-</v>
          </cell>
          <cell r="BE201" t="str">
            <v>-</v>
          </cell>
          <cell r="BF201" t="str">
            <v>-</v>
          </cell>
          <cell r="BG201" t="str">
            <v>-</v>
          </cell>
          <cell r="BH201" t="str">
            <v>-</v>
          </cell>
          <cell r="BI201" t="str">
            <v>-</v>
          </cell>
          <cell r="BJ201" t="str">
            <v>-</v>
          </cell>
          <cell r="BK201" t="str">
            <v>-</v>
          </cell>
          <cell r="BL201" t="str">
            <v>-</v>
          </cell>
          <cell r="BM201" t="str">
            <v>-</v>
          </cell>
          <cell r="BN201" t="str">
            <v>-</v>
          </cell>
          <cell r="BO201" t="str">
            <v>-</v>
          </cell>
          <cell r="BP201" t="str">
            <v>-</v>
          </cell>
        </row>
        <row r="202">
          <cell r="A202">
            <v>197</v>
          </cell>
          <cell r="B202" t="str">
            <v>-</v>
          </cell>
          <cell r="C202" t="str">
            <v>-</v>
          </cell>
          <cell r="D202" t="str">
            <v>-</v>
          </cell>
          <cell r="E202" t="str">
            <v>-</v>
          </cell>
          <cell r="F202" t="str">
            <v>-</v>
          </cell>
          <cell r="G202" t="str">
            <v>-</v>
          </cell>
          <cell r="H202" t="str">
            <v>-</v>
          </cell>
          <cell r="I202" t="str">
            <v>-</v>
          </cell>
          <cell r="J202" t="str">
            <v>-</v>
          </cell>
          <cell r="K202" t="str">
            <v>-</v>
          </cell>
          <cell r="L202" t="str">
            <v>-</v>
          </cell>
          <cell r="M202" t="str">
            <v>-</v>
          </cell>
          <cell r="N202" t="str">
            <v>-</v>
          </cell>
          <cell r="O202" t="str">
            <v>-</v>
          </cell>
          <cell r="P202" t="str">
            <v>-</v>
          </cell>
          <cell r="Q202" t="str">
            <v>-</v>
          </cell>
          <cell r="R202" t="str">
            <v>-</v>
          </cell>
          <cell r="S202" t="str">
            <v>-</v>
          </cell>
          <cell r="T202" t="str">
            <v>-</v>
          </cell>
          <cell r="U202" t="str">
            <v>-</v>
          </cell>
          <cell r="V202" t="str">
            <v>-</v>
          </cell>
          <cell r="W202" t="str">
            <v>-</v>
          </cell>
          <cell r="X202" t="str">
            <v>-</v>
          </cell>
          <cell r="Y202" t="str">
            <v>-</v>
          </cell>
          <cell r="Z202" t="str">
            <v>-</v>
          </cell>
          <cell r="AA202" t="str">
            <v>-</v>
          </cell>
          <cell r="AB202" t="str">
            <v>-</v>
          </cell>
          <cell r="AC202" t="str">
            <v>-</v>
          </cell>
          <cell r="AD202" t="str">
            <v>-</v>
          </cell>
          <cell r="AE202" t="str">
            <v>-</v>
          </cell>
          <cell r="AF202" t="str">
            <v>-</v>
          </cell>
          <cell r="AG202" t="str">
            <v>-</v>
          </cell>
          <cell r="AH202" t="str">
            <v>-</v>
          </cell>
          <cell r="AI202" t="str">
            <v>-</v>
          </cell>
          <cell r="AJ202" t="str">
            <v>-</v>
          </cell>
          <cell r="AK202" t="str">
            <v>-</v>
          </cell>
          <cell r="AL202" t="str">
            <v>-</v>
          </cell>
          <cell r="AM202" t="str">
            <v>-</v>
          </cell>
          <cell r="AN202" t="str">
            <v>-</v>
          </cell>
          <cell r="AO202" t="str">
            <v>-</v>
          </cell>
          <cell r="AP202" t="str">
            <v>-</v>
          </cell>
          <cell r="AQ202" t="str">
            <v>-</v>
          </cell>
          <cell r="AR202" t="str">
            <v>-</v>
          </cell>
          <cell r="AS202" t="str">
            <v>-</v>
          </cell>
          <cell r="AT202" t="str">
            <v>-</v>
          </cell>
          <cell r="AU202" t="str">
            <v>-</v>
          </cell>
          <cell r="AV202" t="str">
            <v>-</v>
          </cell>
          <cell r="AW202" t="str">
            <v>-</v>
          </cell>
          <cell r="AX202" t="str">
            <v>-</v>
          </cell>
          <cell r="AY202" t="str">
            <v>-</v>
          </cell>
          <cell r="AZ202" t="str">
            <v>-</v>
          </cell>
          <cell r="BA202" t="str">
            <v>-</v>
          </cell>
          <cell r="BB202" t="str">
            <v>-</v>
          </cell>
          <cell r="BC202" t="str">
            <v>-</v>
          </cell>
          <cell r="BD202" t="str">
            <v>-</v>
          </cell>
          <cell r="BE202" t="str">
            <v>-</v>
          </cell>
          <cell r="BF202" t="str">
            <v>-</v>
          </cell>
          <cell r="BG202" t="str">
            <v>-</v>
          </cell>
          <cell r="BH202" t="str">
            <v>-</v>
          </cell>
          <cell r="BI202" t="str">
            <v>-</v>
          </cell>
          <cell r="BJ202" t="str">
            <v>-</v>
          </cell>
          <cell r="BK202" t="str">
            <v>-</v>
          </cell>
          <cell r="BL202" t="str">
            <v>-</v>
          </cell>
          <cell r="BM202" t="str">
            <v>-</v>
          </cell>
          <cell r="BN202" t="str">
            <v>-</v>
          </cell>
          <cell r="BO202" t="str">
            <v>-</v>
          </cell>
          <cell r="BP202" t="str">
            <v>-</v>
          </cell>
        </row>
        <row r="203">
          <cell r="A203">
            <v>198</v>
          </cell>
          <cell r="B203" t="str">
            <v>-</v>
          </cell>
          <cell r="C203" t="str">
            <v>-</v>
          </cell>
          <cell r="D203" t="str">
            <v>-</v>
          </cell>
          <cell r="E203" t="str">
            <v>-</v>
          </cell>
          <cell r="F203" t="str">
            <v>-</v>
          </cell>
          <cell r="G203" t="str">
            <v>-</v>
          </cell>
          <cell r="H203" t="str">
            <v>-</v>
          </cell>
          <cell r="I203" t="str">
            <v>-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-</v>
          </cell>
          <cell r="N203" t="str">
            <v>-</v>
          </cell>
          <cell r="O203" t="str">
            <v>-</v>
          </cell>
          <cell r="P203" t="str">
            <v>-</v>
          </cell>
          <cell r="Q203" t="str">
            <v>-</v>
          </cell>
          <cell r="R203" t="str">
            <v>-</v>
          </cell>
          <cell r="S203" t="str">
            <v>-</v>
          </cell>
          <cell r="T203" t="str">
            <v>-</v>
          </cell>
          <cell r="U203" t="str">
            <v>-</v>
          </cell>
          <cell r="V203" t="str">
            <v>-</v>
          </cell>
          <cell r="W203" t="str">
            <v>-</v>
          </cell>
          <cell r="X203" t="str">
            <v>-</v>
          </cell>
          <cell r="Y203" t="str">
            <v>-</v>
          </cell>
          <cell r="Z203" t="str">
            <v>-</v>
          </cell>
          <cell r="AA203" t="str">
            <v>-</v>
          </cell>
          <cell r="AB203" t="str">
            <v>-</v>
          </cell>
          <cell r="AC203" t="str">
            <v>-</v>
          </cell>
          <cell r="AD203" t="str">
            <v>-</v>
          </cell>
          <cell r="AE203" t="str">
            <v>-</v>
          </cell>
          <cell r="AF203" t="str">
            <v>-</v>
          </cell>
          <cell r="AG203" t="str">
            <v>-</v>
          </cell>
          <cell r="AH203" t="str">
            <v>-</v>
          </cell>
          <cell r="AI203" t="str">
            <v>-</v>
          </cell>
          <cell r="AJ203" t="str">
            <v>-</v>
          </cell>
          <cell r="AK203" t="str">
            <v>-</v>
          </cell>
          <cell r="AL203" t="str">
            <v>-</v>
          </cell>
          <cell r="AM203" t="str">
            <v>-</v>
          </cell>
          <cell r="AN203" t="str">
            <v>-</v>
          </cell>
          <cell r="AO203" t="str">
            <v>-</v>
          </cell>
          <cell r="AP203" t="str">
            <v>-</v>
          </cell>
          <cell r="AQ203" t="str">
            <v>-</v>
          </cell>
          <cell r="AR203" t="str">
            <v>-</v>
          </cell>
          <cell r="AS203" t="str">
            <v>-</v>
          </cell>
          <cell r="AT203" t="str">
            <v>-</v>
          </cell>
          <cell r="AU203" t="str">
            <v>-</v>
          </cell>
          <cell r="AV203" t="str">
            <v>-</v>
          </cell>
          <cell r="AW203" t="str">
            <v>-</v>
          </cell>
          <cell r="AX203" t="str">
            <v>-</v>
          </cell>
          <cell r="AY203" t="str">
            <v>-</v>
          </cell>
          <cell r="AZ203" t="str">
            <v>-</v>
          </cell>
          <cell r="BA203" t="str">
            <v>-</v>
          </cell>
          <cell r="BB203" t="str">
            <v>-</v>
          </cell>
          <cell r="BC203" t="str">
            <v>-</v>
          </cell>
          <cell r="BD203" t="str">
            <v>-</v>
          </cell>
          <cell r="BE203" t="str">
            <v>-</v>
          </cell>
          <cell r="BF203" t="str">
            <v>-</v>
          </cell>
          <cell r="BG203" t="str">
            <v>-</v>
          </cell>
          <cell r="BH203" t="str">
            <v>-</v>
          </cell>
          <cell r="BI203" t="str">
            <v>-</v>
          </cell>
          <cell r="BJ203" t="str">
            <v>-</v>
          </cell>
          <cell r="BK203" t="str">
            <v>-</v>
          </cell>
          <cell r="BL203" t="str">
            <v>-</v>
          </cell>
          <cell r="BM203" t="str">
            <v>-</v>
          </cell>
          <cell r="BN203" t="str">
            <v>-</v>
          </cell>
          <cell r="BO203" t="str">
            <v>-</v>
          </cell>
          <cell r="BP203" t="str">
            <v>-</v>
          </cell>
        </row>
        <row r="204">
          <cell r="A204">
            <v>199</v>
          </cell>
          <cell r="B204" t="str">
            <v>-</v>
          </cell>
          <cell r="C204" t="str">
            <v>-</v>
          </cell>
          <cell r="D204" t="str">
            <v>-</v>
          </cell>
          <cell r="E204" t="str">
            <v>-</v>
          </cell>
          <cell r="F204" t="str">
            <v>-</v>
          </cell>
          <cell r="G204" t="str">
            <v>-</v>
          </cell>
          <cell r="H204" t="str">
            <v>-</v>
          </cell>
          <cell r="I204" t="str">
            <v>-</v>
          </cell>
          <cell r="J204" t="str">
            <v>-</v>
          </cell>
          <cell r="K204" t="str">
            <v>-</v>
          </cell>
          <cell r="L204" t="str">
            <v>-</v>
          </cell>
          <cell r="M204" t="str">
            <v>-</v>
          </cell>
          <cell r="N204" t="str">
            <v>-</v>
          </cell>
          <cell r="O204" t="str">
            <v>-</v>
          </cell>
          <cell r="P204" t="str">
            <v>-</v>
          </cell>
          <cell r="Q204" t="str">
            <v>-</v>
          </cell>
          <cell r="R204" t="str">
            <v>-</v>
          </cell>
          <cell r="S204" t="str">
            <v>-</v>
          </cell>
          <cell r="T204" t="str">
            <v>-</v>
          </cell>
          <cell r="U204" t="str">
            <v>-</v>
          </cell>
          <cell r="V204" t="str">
            <v>-</v>
          </cell>
          <cell r="W204" t="str">
            <v>-</v>
          </cell>
          <cell r="X204" t="str">
            <v>-</v>
          </cell>
          <cell r="Y204" t="str">
            <v>-</v>
          </cell>
          <cell r="Z204" t="str">
            <v>-</v>
          </cell>
          <cell r="AA204" t="str">
            <v>-</v>
          </cell>
          <cell r="AB204" t="str">
            <v>-</v>
          </cell>
          <cell r="AC204" t="str">
            <v>-</v>
          </cell>
          <cell r="AD204" t="str">
            <v>-</v>
          </cell>
          <cell r="AE204" t="str">
            <v>-</v>
          </cell>
          <cell r="AF204" t="str">
            <v>-</v>
          </cell>
          <cell r="AG204" t="str">
            <v>-</v>
          </cell>
          <cell r="AH204" t="str">
            <v>-</v>
          </cell>
          <cell r="AI204" t="str">
            <v>-</v>
          </cell>
          <cell r="AJ204" t="str">
            <v>-</v>
          </cell>
          <cell r="AK204" t="str">
            <v>-</v>
          </cell>
          <cell r="AL204" t="str">
            <v>-</v>
          </cell>
          <cell r="AM204" t="str">
            <v>-</v>
          </cell>
          <cell r="AN204" t="str">
            <v>-</v>
          </cell>
          <cell r="AO204" t="str">
            <v>-</v>
          </cell>
          <cell r="AP204" t="str">
            <v>-</v>
          </cell>
          <cell r="AQ204" t="str">
            <v>-</v>
          </cell>
          <cell r="AR204" t="str">
            <v>-</v>
          </cell>
          <cell r="AS204" t="str">
            <v>-</v>
          </cell>
          <cell r="AT204" t="str">
            <v>-</v>
          </cell>
          <cell r="AU204" t="str">
            <v>-</v>
          </cell>
          <cell r="AV204" t="str">
            <v>-</v>
          </cell>
          <cell r="AW204" t="str">
            <v>-</v>
          </cell>
          <cell r="AX204" t="str">
            <v>-</v>
          </cell>
          <cell r="AY204" t="str">
            <v>-</v>
          </cell>
          <cell r="AZ204" t="str">
            <v>-</v>
          </cell>
          <cell r="BA204" t="str">
            <v>-</v>
          </cell>
          <cell r="BB204" t="str">
            <v>-</v>
          </cell>
          <cell r="BC204" t="str">
            <v>-</v>
          </cell>
          <cell r="BD204" t="str">
            <v>-</v>
          </cell>
          <cell r="BE204" t="str">
            <v>-</v>
          </cell>
          <cell r="BF204" t="str">
            <v>-</v>
          </cell>
          <cell r="BG204" t="str">
            <v>-</v>
          </cell>
          <cell r="BH204" t="str">
            <v>-</v>
          </cell>
          <cell r="BI204" t="str">
            <v>-</v>
          </cell>
          <cell r="BJ204" t="str">
            <v>-</v>
          </cell>
          <cell r="BK204" t="str">
            <v>-</v>
          </cell>
          <cell r="BL204" t="str">
            <v>-</v>
          </cell>
          <cell r="BM204" t="str">
            <v>-</v>
          </cell>
          <cell r="BN204" t="str">
            <v>-</v>
          </cell>
          <cell r="BO204" t="str">
            <v>-</v>
          </cell>
          <cell r="BP204" t="str">
            <v>-</v>
          </cell>
        </row>
        <row r="205">
          <cell r="A205">
            <v>200</v>
          </cell>
          <cell r="B205" t="str">
            <v>-</v>
          </cell>
          <cell r="C205" t="str">
            <v>-</v>
          </cell>
          <cell r="D205" t="str">
            <v>-</v>
          </cell>
          <cell r="E205" t="str">
            <v>-</v>
          </cell>
          <cell r="F205" t="str">
            <v>-</v>
          </cell>
          <cell r="G205" t="str">
            <v>-</v>
          </cell>
          <cell r="H205" t="str">
            <v>-</v>
          </cell>
          <cell r="I205" t="str">
            <v>-</v>
          </cell>
          <cell r="J205" t="str">
            <v>-</v>
          </cell>
          <cell r="K205" t="str">
            <v>-</v>
          </cell>
          <cell r="L205" t="str">
            <v>-</v>
          </cell>
          <cell r="M205" t="str">
            <v>-</v>
          </cell>
          <cell r="N205" t="str">
            <v>-</v>
          </cell>
          <cell r="O205" t="str">
            <v>-</v>
          </cell>
          <cell r="P205" t="str">
            <v>-</v>
          </cell>
          <cell r="Q205" t="str">
            <v>-</v>
          </cell>
          <cell r="R205" t="str">
            <v>-</v>
          </cell>
          <cell r="S205" t="str">
            <v>-</v>
          </cell>
          <cell r="T205" t="str">
            <v>-</v>
          </cell>
          <cell r="U205" t="str">
            <v>-</v>
          </cell>
          <cell r="V205" t="str">
            <v>-</v>
          </cell>
          <cell r="W205" t="str">
            <v>-</v>
          </cell>
          <cell r="X205" t="str">
            <v>-</v>
          </cell>
          <cell r="Y205" t="str">
            <v>-</v>
          </cell>
          <cell r="Z205" t="str">
            <v>-</v>
          </cell>
          <cell r="AA205" t="str">
            <v>-</v>
          </cell>
          <cell r="AB205" t="str">
            <v>-</v>
          </cell>
          <cell r="AC205" t="str">
            <v>-</v>
          </cell>
          <cell r="AD205" t="str">
            <v>-</v>
          </cell>
          <cell r="AE205" t="str">
            <v>-</v>
          </cell>
          <cell r="AF205" t="str">
            <v>-</v>
          </cell>
          <cell r="AG205" t="str">
            <v>-</v>
          </cell>
          <cell r="AH205" t="str">
            <v>-</v>
          </cell>
          <cell r="AI205" t="str">
            <v>-</v>
          </cell>
          <cell r="AJ205" t="str">
            <v>-</v>
          </cell>
          <cell r="AK205" t="str">
            <v>-</v>
          </cell>
          <cell r="AL205" t="str">
            <v>-</v>
          </cell>
          <cell r="AM205" t="str">
            <v>-</v>
          </cell>
          <cell r="AN205" t="str">
            <v>-</v>
          </cell>
          <cell r="AO205" t="str">
            <v>-</v>
          </cell>
          <cell r="AP205" t="str">
            <v>-</v>
          </cell>
          <cell r="AQ205" t="str">
            <v>-</v>
          </cell>
          <cell r="AR205" t="str">
            <v>-</v>
          </cell>
          <cell r="AS205" t="str">
            <v>-</v>
          </cell>
          <cell r="AT205" t="str">
            <v>-</v>
          </cell>
          <cell r="AU205" t="str">
            <v>-</v>
          </cell>
          <cell r="AV205" t="str">
            <v>-</v>
          </cell>
          <cell r="AW205" t="str">
            <v>-</v>
          </cell>
          <cell r="AX205" t="str">
            <v>-</v>
          </cell>
          <cell r="AY205" t="str">
            <v>-</v>
          </cell>
          <cell r="AZ205" t="str">
            <v>-</v>
          </cell>
          <cell r="BA205" t="str">
            <v>-</v>
          </cell>
          <cell r="BB205" t="str">
            <v>-</v>
          </cell>
          <cell r="BC205" t="str">
            <v>-</v>
          </cell>
          <cell r="BD205" t="str">
            <v>-</v>
          </cell>
          <cell r="BE205" t="str">
            <v>-</v>
          </cell>
          <cell r="BF205" t="str">
            <v>-</v>
          </cell>
          <cell r="BG205" t="str">
            <v>-</v>
          </cell>
          <cell r="BH205" t="str">
            <v>-</v>
          </cell>
          <cell r="BI205" t="str">
            <v>-</v>
          </cell>
          <cell r="BJ205" t="str">
            <v>-</v>
          </cell>
          <cell r="BK205" t="str">
            <v>-</v>
          </cell>
          <cell r="BL205" t="str">
            <v>-</v>
          </cell>
          <cell r="BM205" t="str">
            <v>-</v>
          </cell>
          <cell r="BN205" t="str">
            <v>-</v>
          </cell>
          <cell r="BO205" t="str">
            <v>-</v>
          </cell>
          <cell r="BP205" t="str">
            <v>-</v>
          </cell>
        </row>
        <row r="206">
          <cell r="A206">
            <v>201</v>
          </cell>
          <cell r="B206" t="str">
            <v>-</v>
          </cell>
          <cell r="C206" t="str">
            <v>-</v>
          </cell>
          <cell r="D206" t="str">
            <v>-</v>
          </cell>
          <cell r="E206" t="str">
            <v>-</v>
          </cell>
          <cell r="F206" t="str">
            <v>-</v>
          </cell>
          <cell r="G206" t="str">
            <v>-</v>
          </cell>
          <cell r="H206" t="str">
            <v>-</v>
          </cell>
          <cell r="I206" t="str">
            <v>-</v>
          </cell>
          <cell r="J206" t="str">
            <v>-</v>
          </cell>
          <cell r="K206" t="str">
            <v>-</v>
          </cell>
          <cell r="L206" t="str">
            <v>-</v>
          </cell>
          <cell r="M206" t="str">
            <v>-</v>
          </cell>
          <cell r="N206" t="str">
            <v>-</v>
          </cell>
          <cell r="O206" t="str">
            <v>-</v>
          </cell>
          <cell r="P206" t="str">
            <v>-</v>
          </cell>
          <cell r="Q206" t="str">
            <v>-</v>
          </cell>
          <cell r="R206" t="str">
            <v>-</v>
          </cell>
          <cell r="S206" t="str">
            <v>-</v>
          </cell>
          <cell r="T206" t="str">
            <v>-</v>
          </cell>
          <cell r="U206" t="str">
            <v>-</v>
          </cell>
          <cell r="V206" t="str">
            <v>-</v>
          </cell>
          <cell r="W206" t="str">
            <v>-</v>
          </cell>
          <cell r="X206" t="str">
            <v>-</v>
          </cell>
          <cell r="Y206" t="str">
            <v>-</v>
          </cell>
          <cell r="Z206" t="str">
            <v>-</v>
          </cell>
          <cell r="AA206" t="str">
            <v>-</v>
          </cell>
          <cell r="AB206" t="str">
            <v>-</v>
          </cell>
          <cell r="AC206" t="str">
            <v>-</v>
          </cell>
          <cell r="AD206" t="str">
            <v>-</v>
          </cell>
          <cell r="AE206" t="str">
            <v>-</v>
          </cell>
          <cell r="AF206" t="str">
            <v>-</v>
          </cell>
          <cell r="AG206" t="str">
            <v>-</v>
          </cell>
          <cell r="AH206" t="str">
            <v>-</v>
          </cell>
          <cell r="AI206" t="str">
            <v>-</v>
          </cell>
          <cell r="AJ206" t="str">
            <v>-</v>
          </cell>
          <cell r="AK206" t="str">
            <v>-</v>
          </cell>
          <cell r="AL206" t="str">
            <v>-</v>
          </cell>
          <cell r="AM206" t="str">
            <v>-</v>
          </cell>
          <cell r="AN206" t="str">
            <v>-</v>
          </cell>
          <cell r="AO206" t="str">
            <v>-</v>
          </cell>
          <cell r="AP206" t="str">
            <v>-</v>
          </cell>
          <cell r="AQ206" t="str">
            <v>-</v>
          </cell>
          <cell r="AR206" t="str">
            <v>-</v>
          </cell>
          <cell r="AS206" t="str">
            <v>-</v>
          </cell>
          <cell r="AT206" t="str">
            <v>-</v>
          </cell>
          <cell r="AU206" t="str">
            <v>-</v>
          </cell>
          <cell r="AV206" t="str">
            <v>-</v>
          </cell>
          <cell r="AW206" t="str">
            <v>-</v>
          </cell>
          <cell r="AX206" t="str">
            <v>-</v>
          </cell>
          <cell r="AY206" t="str">
            <v>-</v>
          </cell>
          <cell r="AZ206" t="str">
            <v>-</v>
          </cell>
          <cell r="BA206" t="str">
            <v>-</v>
          </cell>
          <cell r="BB206" t="str">
            <v>-</v>
          </cell>
          <cell r="BC206" t="str">
            <v>-</v>
          </cell>
          <cell r="BD206" t="str">
            <v>-</v>
          </cell>
          <cell r="BE206" t="str">
            <v>-</v>
          </cell>
          <cell r="BF206" t="str">
            <v>-</v>
          </cell>
          <cell r="BG206" t="str">
            <v>-</v>
          </cell>
          <cell r="BH206" t="str">
            <v>-</v>
          </cell>
          <cell r="BI206" t="str">
            <v>-</v>
          </cell>
          <cell r="BJ206" t="str">
            <v>-</v>
          </cell>
          <cell r="BK206" t="str">
            <v>-</v>
          </cell>
          <cell r="BL206" t="str">
            <v>-</v>
          </cell>
          <cell r="BM206" t="str">
            <v>-</v>
          </cell>
          <cell r="BN206" t="str">
            <v>-</v>
          </cell>
          <cell r="BO206" t="str">
            <v>-</v>
          </cell>
          <cell r="BP206" t="str">
            <v>-</v>
          </cell>
        </row>
        <row r="207">
          <cell r="A207">
            <v>202</v>
          </cell>
          <cell r="B207" t="str">
            <v>-</v>
          </cell>
          <cell r="C207" t="str">
            <v>-</v>
          </cell>
          <cell r="D207" t="str">
            <v>-</v>
          </cell>
          <cell r="E207" t="str">
            <v>-</v>
          </cell>
          <cell r="F207" t="str">
            <v>-</v>
          </cell>
          <cell r="G207" t="str">
            <v>-</v>
          </cell>
          <cell r="H207" t="str">
            <v>-</v>
          </cell>
          <cell r="I207" t="str">
            <v>-</v>
          </cell>
          <cell r="J207" t="str">
            <v>-</v>
          </cell>
          <cell r="K207" t="str">
            <v>-</v>
          </cell>
          <cell r="L207" t="str">
            <v>-</v>
          </cell>
          <cell r="M207" t="str">
            <v>-</v>
          </cell>
          <cell r="N207" t="str">
            <v>-</v>
          </cell>
          <cell r="O207" t="str">
            <v>-</v>
          </cell>
          <cell r="P207" t="str">
            <v>-</v>
          </cell>
          <cell r="Q207" t="str">
            <v>-</v>
          </cell>
          <cell r="R207" t="str">
            <v>-</v>
          </cell>
          <cell r="S207" t="str">
            <v>-</v>
          </cell>
          <cell r="T207" t="str">
            <v>-</v>
          </cell>
          <cell r="U207" t="str">
            <v>-</v>
          </cell>
          <cell r="V207" t="str">
            <v>-</v>
          </cell>
          <cell r="W207" t="str">
            <v>-</v>
          </cell>
          <cell r="X207" t="str">
            <v>-</v>
          </cell>
          <cell r="Y207" t="str">
            <v>-</v>
          </cell>
          <cell r="Z207" t="str">
            <v>-</v>
          </cell>
          <cell r="AA207" t="str">
            <v>-</v>
          </cell>
          <cell r="AB207" t="str">
            <v>-</v>
          </cell>
          <cell r="AC207" t="str">
            <v>-</v>
          </cell>
          <cell r="AD207" t="str">
            <v>-</v>
          </cell>
          <cell r="AE207" t="str">
            <v>-</v>
          </cell>
          <cell r="AF207" t="str">
            <v>-</v>
          </cell>
          <cell r="AG207" t="str">
            <v>-</v>
          </cell>
          <cell r="AH207" t="str">
            <v>-</v>
          </cell>
          <cell r="AI207" t="str">
            <v>-</v>
          </cell>
          <cell r="AJ207" t="str">
            <v>-</v>
          </cell>
          <cell r="AK207" t="str">
            <v>-</v>
          </cell>
          <cell r="AL207" t="str">
            <v>-</v>
          </cell>
          <cell r="AM207" t="str">
            <v>-</v>
          </cell>
          <cell r="AN207" t="str">
            <v>-</v>
          </cell>
          <cell r="AO207" t="str">
            <v>-</v>
          </cell>
          <cell r="AP207" t="str">
            <v>-</v>
          </cell>
          <cell r="AQ207" t="str">
            <v>-</v>
          </cell>
          <cell r="AR207" t="str">
            <v>-</v>
          </cell>
          <cell r="AS207" t="str">
            <v>-</v>
          </cell>
          <cell r="AT207" t="str">
            <v>-</v>
          </cell>
          <cell r="AU207" t="str">
            <v>-</v>
          </cell>
          <cell r="AV207" t="str">
            <v>-</v>
          </cell>
          <cell r="AW207" t="str">
            <v>-</v>
          </cell>
          <cell r="AX207" t="str">
            <v>-</v>
          </cell>
          <cell r="AY207" t="str">
            <v>-</v>
          </cell>
          <cell r="AZ207" t="str">
            <v>-</v>
          </cell>
          <cell r="BA207" t="str">
            <v>-</v>
          </cell>
          <cell r="BB207" t="str">
            <v>-</v>
          </cell>
          <cell r="BC207" t="str">
            <v>-</v>
          </cell>
          <cell r="BD207" t="str">
            <v>-</v>
          </cell>
          <cell r="BE207" t="str">
            <v>-</v>
          </cell>
          <cell r="BF207" t="str">
            <v>-</v>
          </cell>
          <cell r="BG207" t="str">
            <v>-</v>
          </cell>
          <cell r="BH207" t="str">
            <v>-</v>
          </cell>
          <cell r="BI207" t="str">
            <v>-</v>
          </cell>
          <cell r="BJ207" t="str">
            <v>-</v>
          </cell>
          <cell r="BK207" t="str">
            <v>-</v>
          </cell>
          <cell r="BL207" t="str">
            <v>-</v>
          </cell>
          <cell r="BM207" t="str">
            <v>-</v>
          </cell>
          <cell r="BN207" t="str">
            <v>-</v>
          </cell>
          <cell r="BO207" t="str">
            <v>-</v>
          </cell>
          <cell r="BP207" t="str">
            <v>-</v>
          </cell>
        </row>
        <row r="208">
          <cell r="A208">
            <v>203</v>
          </cell>
          <cell r="B208" t="str">
            <v>-</v>
          </cell>
          <cell r="C208" t="str">
            <v>-</v>
          </cell>
          <cell r="D208" t="str">
            <v>-</v>
          </cell>
          <cell r="E208" t="str">
            <v>-</v>
          </cell>
          <cell r="F208" t="str">
            <v>-</v>
          </cell>
          <cell r="G208" t="str">
            <v>-</v>
          </cell>
          <cell r="H208" t="str">
            <v>-</v>
          </cell>
          <cell r="I208" t="str">
            <v>-</v>
          </cell>
          <cell r="J208" t="str">
            <v>-</v>
          </cell>
          <cell r="K208" t="str">
            <v>-</v>
          </cell>
          <cell r="L208" t="str">
            <v>-</v>
          </cell>
          <cell r="M208" t="str">
            <v>-</v>
          </cell>
          <cell r="N208" t="str">
            <v>-</v>
          </cell>
          <cell r="O208" t="str">
            <v>-</v>
          </cell>
          <cell r="P208" t="str">
            <v>-</v>
          </cell>
          <cell r="Q208" t="str">
            <v>-</v>
          </cell>
          <cell r="R208" t="str">
            <v>-</v>
          </cell>
          <cell r="S208" t="str">
            <v>-</v>
          </cell>
          <cell r="T208" t="str">
            <v>-</v>
          </cell>
          <cell r="U208" t="str">
            <v>-</v>
          </cell>
          <cell r="V208" t="str">
            <v>-</v>
          </cell>
          <cell r="W208" t="str">
            <v>-</v>
          </cell>
          <cell r="X208" t="str">
            <v>-</v>
          </cell>
          <cell r="Y208" t="str">
            <v>-</v>
          </cell>
          <cell r="Z208" t="str">
            <v>-</v>
          </cell>
          <cell r="AA208" t="str">
            <v>-</v>
          </cell>
          <cell r="AB208" t="str">
            <v>-</v>
          </cell>
          <cell r="AC208" t="str">
            <v>-</v>
          </cell>
          <cell r="AD208" t="str">
            <v>-</v>
          </cell>
          <cell r="AE208" t="str">
            <v>-</v>
          </cell>
          <cell r="AF208" t="str">
            <v>-</v>
          </cell>
          <cell r="AG208" t="str">
            <v>-</v>
          </cell>
          <cell r="AH208" t="str">
            <v>-</v>
          </cell>
          <cell r="AI208" t="str">
            <v>-</v>
          </cell>
          <cell r="AJ208" t="str">
            <v>-</v>
          </cell>
          <cell r="AK208" t="str">
            <v>-</v>
          </cell>
          <cell r="AL208" t="str">
            <v>-</v>
          </cell>
          <cell r="AM208" t="str">
            <v>-</v>
          </cell>
          <cell r="AN208" t="str">
            <v>-</v>
          </cell>
          <cell r="AO208" t="str">
            <v>-</v>
          </cell>
          <cell r="AP208" t="str">
            <v>-</v>
          </cell>
          <cell r="AQ208" t="str">
            <v>-</v>
          </cell>
          <cell r="AR208" t="str">
            <v>-</v>
          </cell>
          <cell r="AS208" t="str">
            <v>-</v>
          </cell>
          <cell r="AT208" t="str">
            <v>-</v>
          </cell>
          <cell r="AU208" t="str">
            <v>-</v>
          </cell>
          <cell r="AV208" t="str">
            <v>-</v>
          </cell>
          <cell r="AW208" t="str">
            <v>-</v>
          </cell>
          <cell r="AX208" t="str">
            <v>-</v>
          </cell>
          <cell r="AY208" t="str">
            <v>-</v>
          </cell>
          <cell r="AZ208" t="str">
            <v>-</v>
          </cell>
          <cell r="BA208" t="str">
            <v>-</v>
          </cell>
          <cell r="BB208" t="str">
            <v>-</v>
          </cell>
          <cell r="BC208" t="str">
            <v>-</v>
          </cell>
          <cell r="BD208" t="str">
            <v>-</v>
          </cell>
          <cell r="BE208" t="str">
            <v>-</v>
          </cell>
          <cell r="BF208" t="str">
            <v>-</v>
          </cell>
          <cell r="BG208" t="str">
            <v>-</v>
          </cell>
          <cell r="BH208" t="str">
            <v>-</v>
          </cell>
          <cell r="BI208" t="str">
            <v>-</v>
          </cell>
          <cell r="BJ208" t="str">
            <v>-</v>
          </cell>
          <cell r="BK208" t="str">
            <v>-</v>
          </cell>
          <cell r="BL208" t="str">
            <v>-</v>
          </cell>
          <cell r="BM208" t="str">
            <v>-</v>
          </cell>
          <cell r="BN208" t="str">
            <v>-</v>
          </cell>
          <cell r="BO208" t="str">
            <v>-</v>
          </cell>
          <cell r="BP208" t="str">
            <v>-</v>
          </cell>
        </row>
        <row r="209">
          <cell r="A209">
            <v>204</v>
          </cell>
          <cell r="B209" t="str">
            <v>-</v>
          </cell>
          <cell r="C209" t="str">
            <v>-</v>
          </cell>
          <cell r="D209" t="str">
            <v>-</v>
          </cell>
          <cell r="E209" t="str">
            <v>-</v>
          </cell>
          <cell r="F209" t="str">
            <v>-</v>
          </cell>
          <cell r="G209" t="str">
            <v>-</v>
          </cell>
          <cell r="H209" t="str">
            <v>-</v>
          </cell>
          <cell r="I209" t="str">
            <v>-</v>
          </cell>
          <cell r="J209" t="str">
            <v>-</v>
          </cell>
          <cell r="K209" t="str">
            <v>-</v>
          </cell>
          <cell r="L209" t="str">
            <v>-</v>
          </cell>
          <cell r="M209" t="str">
            <v>-</v>
          </cell>
          <cell r="N209" t="str">
            <v>-</v>
          </cell>
          <cell r="O209" t="str">
            <v>-</v>
          </cell>
          <cell r="P209" t="str">
            <v>-</v>
          </cell>
          <cell r="Q209" t="str">
            <v>-</v>
          </cell>
          <cell r="R209" t="str">
            <v>-</v>
          </cell>
          <cell r="S209" t="str">
            <v>-</v>
          </cell>
          <cell r="T209" t="str">
            <v>-</v>
          </cell>
          <cell r="U209" t="str">
            <v>-</v>
          </cell>
          <cell r="V209" t="str">
            <v>-</v>
          </cell>
          <cell r="W209" t="str">
            <v>-</v>
          </cell>
          <cell r="X209" t="str">
            <v>-</v>
          </cell>
          <cell r="Y209" t="str">
            <v>-</v>
          </cell>
          <cell r="Z209" t="str">
            <v>-</v>
          </cell>
          <cell r="AA209" t="str">
            <v>-</v>
          </cell>
          <cell r="AB209" t="str">
            <v>-</v>
          </cell>
          <cell r="AC209" t="str">
            <v>-</v>
          </cell>
          <cell r="AD209" t="str">
            <v>-</v>
          </cell>
          <cell r="AE209" t="str">
            <v>-</v>
          </cell>
          <cell r="AF209" t="str">
            <v>-</v>
          </cell>
          <cell r="AG209" t="str">
            <v>-</v>
          </cell>
          <cell r="AH209" t="str">
            <v>-</v>
          </cell>
          <cell r="AI209" t="str">
            <v>-</v>
          </cell>
          <cell r="AJ209" t="str">
            <v>-</v>
          </cell>
          <cell r="AK209" t="str">
            <v>-</v>
          </cell>
          <cell r="AL209" t="str">
            <v>-</v>
          </cell>
          <cell r="AM209" t="str">
            <v>-</v>
          </cell>
          <cell r="AN209" t="str">
            <v>-</v>
          </cell>
          <cell r="AO209" t="str">
            <v>-</v>
          </cell>
          <cell r="AP209" t="str">
            <v>-</v>
          </cell>
          <cell r="AQ209" t="str">
            <v>-</v>
          </cell>
          <cell r="AR209" t="str">
            <v>-</v>
          </cell>
          <cell r="AS209" t="str">
            <v>-</v>
          </cell>
          <cell r="AT209" t="str">
            <v>-</v>
          </cell>
          <cell r="AU209" t="str">
            <v>-</v>
          </cell>
          <cell r="AV209" t="str">
            <v>-</v>
          </cell>
          <cell r="AW209" t="str">
            <v>-</v>
          </cell>
          <cell r="AX209" t="str">
            <v>-</v>
          </cell>
          <cell r="AY209" t="str">
            <v>-</v>
          </cell>
          <cell r="AZ209" t="str">
            <v>-</v>
          </cell>
          <cell r="BA209" t="str">
            <v>-</v>
          </cell>
          <cell r="BB209" t="str">
            <v>-</v>
          </cell>
          <cell r="BC209" t="str">
            <v>-</v>
          </cell>
          <cell r="BD209" t="str">
            <v>-</v>
          </cell>
          <cell r="BE209" t="str">
            <v>-</v>
          </cell>
          <cell r="BF209" t="str">
            <v>-</v>
          </cell>
          <cell r="BG209" t="str">
            <v>-</v>
          </cell>
          <cell r="BH209" t="str">
            <v>-</v>
          </cell>
          <cell r="BI209" t="str">
            <v>-</v>
          </cell>
          <cell r="BJ209" t="str">
            <v>-</v>
          </cell>
          <cell r="BK209" t="str">
            <v>-</v>
          </cell>
          <cell r="BL209" t="str">
            <v>-</v>
          </cell>
          <cell r="BM209" t="str">
            <v>-</v>
          </cell>
          <cell r="BN209" t="str">
            <v>-</v>
          </cell>
          <cell r="BO209" t="str">
            <v>-</v>
          </cell>
          <cell r="BP209" t="str">
            <v>-</v>
          </cell>
        </row>
        <row r="210">
          <cell r="A210">
            <v>205</v>
          </cell>
          <cell r="B210" t="str">
            <v>-</v>
          </cell>
          <cell r="C210" t="str">
            <v>-</v>
          </cell>
          <cell r="D210" t="str">
            <v>-</v>
          </cell>
          <cell r="E210" t="str">
            <v>-</v>
          </cell>
          <cell r="F210" t="str">
            <v>-</v>
          </cell>
          <cell r="G210" t="str">
            <v>-</v>
          </cell>
          <cell r="H210" t="str">
            <v>-</v>
          </cell>
          <cell r="I210" t="str">
            <v>-</v>
          </cell>
          <cell r="J210" t="str">
            <v>-</v>
          </cell>
          <cell r="K210" t="str">
            <v>-</v>
          </cell>
          <cell r="L210" t="str">
            <v>-</v>
          </cell>
          <cell r="M210" t="str">
            <v>-</v>
          </cell>
          <cell r="N210" t="str">
            <v>-</v>
          </cell>
          <cell r="O210" t="str">
            <v>-</v>
          </cell>
          <cell r="P210" t="str">
            <v>-</v>
          </cell>
          <cell r="Q210" t="str">
            <v>-</v>
          </cell>
          <cell r="R210" t="str">
            <v>-</v>
          </cell>
          <cell r="S210" t="str">
            <v>-</v>
          </cell>
          <cell r="T210" t="str">
            <v>-</v>
          </cell>
          <cell r="U210" t="str">
            <v>-</v>
          </cell>
          <cell r="V210" t="str">
            <v>-</v>
          </cell>
          <cell r="W210" t="str">
            <v>-</v>
          </cell>
          <cell r="X210" t="str">
            <v>-</v>
          </cell>
          <cell r="Y210" t="str">
            <v>-</v>
          </cell>
          <cell r="Z210" t="str">
            <v>-</v>
          </cell>
          <cell r="AA210" t="str">
            <v>-</v>
          </cell>
          <cell r="AB210" t="str">
            <v>-</v>
          </cell>
          <cell r="AC210" t="str">
            <v>-</v>
          </cell>
          <cell r="AD210" t="str">
            <v>-</v>
          </cell>
          <cell r="AE210" t="str">
            <v>-</v>
          </cell>
          <cell r="AF210" t="str">
            <v>-</v>
          </cell>
          <cell r="AG210" t="str">
            <v>-</v>
          </cell>
          <cell r="AH210" t="str">
            <v>-</v>
          </cell>
          <cell r="AI210" t="str">
            <v>-</v>
          </cell>
          <cell r="AJ210" t="str">
            <v>-</v>
          </cell>
          <cell r="AK210" t="str">
            <v>-</v>
          </cell>
          <cell r="AL210" t="str">
            <v>-</v>
          </cell>
          <cell r="AM210" t="str">
            <v>-</v>
          </cell>
          <cell r="AN210" t="str">
            <v>-</v>
          </cell>
          <cell r="AO210" t="str">
            <v>-</v>
          </cell>
          <cell r="AP210" t="str">
            <v>-</v>
          </cell>
          <cell r="AQ210" t="str">
            <v>-</v>
          </cell>
          <cell r="AR210" t="str">
            <v>-</v>
          </cell>
          <cell r="AS210" t="str">
            <v>-</v>
          </cell>
          <cell r="AT210" t="str">
            <v>-</v>
          </cell>
          <cell r="AU210" t="str">
            <v>-</v>
          </cell>
          <cell r="AV210" t="str">
            <v>-</v>
          </cell>
          <cell r="AW210" t="str">
            <v>-</v>
          </cell>
          <cell r="AX210" t="str">
            <v>-</v>
          </cell>
          <cell r="AY210" t="str">
            <v>-</v>
          </cell>
          <cell r="AZ210" t="str">
            <v>-</v>
          </cell>
          <cell r="BA210" t="str">
            <v>-</v>
          </cell>
          <cell r="BB210" t="str">
            <v>-</v>
          </cell>
          <cell r="BC210" t="str">
            <v>-</v>
          </cell>
          <cell r="BD210" t="str">
            <v>-</v>
          </cell>
          <cell r="BE210" t="str">
            <v>-</v>
          </cell>
          <cell r="BF210" t="str">
            <v>-</v>
          </cell>
          <cell r="BG210" t="str">
            <v>-</v>
          </cell>
          <cell r="BH210" t="str">
            <v>-</v>
          </cell>
          <cell r="BI210" t="str">
            <v>-</v>
          </cell>
          <cell r="BJ210" t="str">
            <v>-</v>
          </cell>
          <cell r="BK210" t="str">
            <v>-</v>
          </cell>
          <cell r="BL210" t="str">
            <v>-</v>
          </cell>
          <cell r="BM210" t="str">
            <v>-</v>
          </cell>
          <cell r="BN210" t="str">
            <v>-</v>
          </cell>
          <cell r="BO210" t="str">
            <v>-</v>
          </cell>
          <cell r="BP210" t="str">
            <v>-</v>
          </cell>
        </row>
        <row r="211">
          <cell r="A211">
            <v>206</v>
          </cell>
          <cell r="B211" t="str">
            <v>-</v>
          </cell>
          <cell r="C211" t="str">
            <v>-</v>
          </cell>
          <cell r="D211" t="str">
            <v>-</v>
          </cell>
          <cell r="E211" t="str">
            <v>-</v>
          </cell>
          <cell r="F211" t="str">
            <v>-</v>
          </cell>
          <cell r="G211" t="str">
            <v>-</v>
          </cell>
          <cell r="H211" t="str">
            <v>-</v>
          </cell>
          <cell r="I211" t="str">
            <v>-</v>
          </cell>
          <cell r="J211" t="str">
            <v>-</v>
          </cell>
          <cell r="K211" t="str">
            <v>-</v>
          </cell>
          <cell r="L211" t="str">
            <v>-</v>
          </cell>
          <cell r="M211" t="str">
            <v>-</v>
          </cell>
          <cell r="N211" t="str">
            <v>-</v>
          </cell>
          <cell r="O211" t="str">
            <v>-</v>
          </cell>
          <cell r="P211" t="str">
            <v>-</v>
          </cell>
          <cell r="Q211" t="str">
            <v>-</v>
          </cell>
          <cell r="R211" t="str">
            <v>-</v>
          </cell>
          <cell r="S211" t="str">
            <v>-</v>
          </cell>
          <cell r="T211" t="str">
            <v>-</v>
          </cell>
          <cell r="U211" t="str">
            <v>-</v>
          </cell>
          <cell r="V211" t="str">
            <v>-</v>
          </cell>
          <cell r="W211" t="str">
            <v>-</v>
          </cell>
          <cell r="X211" t="str">
            <v>-</v>
          </cell>
          <cell r="Y211" t="str">
            <v>-</v>
          </cell>
          <cell r="Z211" t="str">
            <v>-</v>
          </cell>
          <cell r="AA211" t="str">
            <v>-</v>
          </cell>
          <cell r="AB211" t="str">
            <v>-</v>
          </cell>
          <cell r="AC211" t="str">
            <v>-</v>
          </cell>
          <cell r="AD211" t="str">
            <v>-</v>
          </cell>
          <cell r="AE211" t="str">
            <v>-</v>
          </cell>
          <cell r="AF211" t="str">
            <v>-</v>
          </cell>
          <cell r="AG211" t="str">
            <v>-</v>
          </cell>
          <cell r="AH211" t="str">
            <v>-</v>
          </cell>
          <cell r="AI211" t="str">
            <v>-</v>
          </cell>
          <cell r="AJ211" t="str">
            <v>-</v>
          </cell>
          <cell r="AK211" t="str">
            <v>-</v>
          </cell>
          <cell r="AL211" t="str">
            <v>-</v>
          </cell>
          <cell r="AM211" t="str">
            <v>-</v>
          </cell>
          <cell r="AN211" t="str">
            <v>-</v>
          </cell>
          <cell r="AO211" t="str">
            <v>-</v>
          </cell>
          <cell r="AP211" t="str">
            <v>-</v>
          </cell>
          <cell r="AQ211" t="str">
            <v>-</v>
          </cell>
          <cell r="AR211" t="str">
            <v>-</v>
          </cell>
          <cell r="AS211" t="str">
            <v>-</v>
          </cell>
          <cell r="AT211" t="str">
            <v>-</v>
          </cell>
          <cell r="AU211" t="str">
            <v>-</v>
          </cell>
          <cell r="AV211" t="str">
            <v>-</v>
          </cell>
          <cell r="AW211" t="str">
            <v>-</v>
          </cell>
          <cell r="AX211" t="str">
            <v>-</v>
          </cell>
          <cell r="AY211" t="str">
            <v>-</v>
          </cell>
          <cell r="AZ211" t="str">
            <v>-</v>
          </cell>
          <cell r="BA211" t="str">
            <v>-</v>
          </cell>
          <cell r="BB211" t="str">
            <v>-</v>
          </cell>
          <cell r="BC211" t="str">
            <v>-</v>
          </cell>
          <cell r="BD211" t="str">
            <v>-</v>
          </cell>
          <cell r="BE211" t="str">
            <v>-</v>
          </cell>
          <cell r="BF211" t="str">
            <v>-</v>
          </cell>
          <cell r="BG211" t="str">
            <v>-</v>
          </cell>
          <cell r="BH211" t="str">
            <v>-</v>
          </cell>
          <cell r="BI211" t="str">
            <v>-</v>
          </cell>
          <cell r="BJ211" t="str">
            <v>-</v>
          </cell>
          <cell r="BK211" t="str">
            <v>-</v>
          </cell>
          <cell r="BL211" t="str">
            <v>-</v>
          </cell>
          <cell r="BM211" t="str">
            <v>-</v>
          </cell>
          <cell r="BN211" t="str">
            <v>-</v>
          </cell>
          <cell r="BO211" t="str">
            <v>-</v>
          </cell>
          <cell r="BP211" t="str">
            <v>-</v>
          </cell>
        </row>
        <row r="212">
          <cell r="A212">
            <v>207</v>
          </cell>
          <cell r="B212" t="str">
            <v>-</v>
          </cell>
          <cell r="C212" t="str">
            <v>-</v>
          </cell>
          <cell r="D212" t="str">
            <v>-</v>
          </cell>
          <cell r="E212" t="str">
            <v>-</v>
          </cell>
          <cell r="F212" t="str">
            <v>-</v>
          </cell>
          <cell r="G212" t="str">
            <v>-</v>
          </cell>
          <cell r="H212" t="str">
            <v>-</v>
          </cell>
          <cell r="I212" t="str">
            <v>-</v>
          </cell>
          <cell r="J212" t="str">
            <v>-</v>
          </cell>
          <cell r="K212" t="str">
            <v>-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P212" t="str">
            <v>-</v>
          </cell>
          <cell r="Q212" t="str">
            <v>-</v>
          </cell>
          <cell r="R212" t="str">
            <v>-</v>
          </cell>
          <cell r="S212" t="str">
            <v>-</v>
          </cell>
          <cell r="T212" t="str">
            <v>-</v>
          </cell>
          <cell r="U212" t="str">
            <v>-</v>
          </cell>
          <cell r="V212" t="str">
            <v>-</v>
          </cell>
          <cell r="W212" t="str">
            <v>-</v>
          </cell>
          <cell r="X212" t="str">
            <v>-</v>
          </cell>
          <cell r="Y212" t="str">
            <v>-</v>
          </cell>
          <cell r="Z212" t="str">
            <v>-</v>
          </cell>
          <cell r="AA212" t="str">
            <v>-</v>
          </cell>
          <cell r="AB212" t="str">
            <v>-</v>
          </cell>
          <cell r="AC212" t="str">
            <v>-</v>
          </cell>
          <cell r="AD212" t="str">
            <v>-</v>
          </cell>
          <cell r="AE212" t="str">
            <v>-</v>
          </cell>
          <cell r="AF212" t="str">
            <v>-</v>
          </cell>
          <cell r="AG212" t="str">
            <v>-</v>
          </cell>
          <cell r="AH212" t="str">
            <v>-</v>
          </cell>
          <cell r="AI212" t="str">
            <v>-</v>
          </cell>
          <cell r="AJ212" t="str">
            <v>-</v>
          </cell>
          <cell r="AK212" t="str">
            <v>-</v>
          </cell>
          <cell r="AL212" t="str">
            <v>-</v>
          </cell>
          <cell r="AM212" t="str">
            <v>-</v>
          </cell>
          <cell r="AN212" t="str">
            <v>-</v>
          </cell>
          <cell r="AO212" t="str">
            <v>-</v>
          </cell>
          <cell r="AP212" t="str">
            <v>-</v>
          </cell>
          <cell r="AQ212" t="str">
            <v>-</v>
          </cell>
          <cell r="AR212" t="str">
            <v>-</v>
          </cell>
          <cell r="AS212" t="str">
            <v>-</v>
          </cell>
          <cell r="AT212" t="str">
            <v>-</v>
          </cell>
          <cell r="AU212" t="str">
            <v>-</v>
          </cell>
          <cell r="AV212" t="str">
            <v>-</v>
          </cell>
          <cell r="AW212" t="str">
            <v>-</v>
          </cell>
          <cell r="AX212" t="str">
            <v>-</v>
          </cell>
          <cell r="AY212" t="str">
            <v>-</v>
          </cell>
          <cell r="AZ212" t="str">
            <v>-</v>
          </cell>
          <cell r="BA212" t="str">
            <v>-</v>
          </cell>
          <cell r="BB212" t="str">
            <v>-</v>
          </cell>
          <cell r="BC212" t="str">
            <v>-</v>
          </cell>
          <cell r="BD212" t="str">
            <v>-</v>
          </cell>
          <cell r="BE212" t="str">
            <v>-</v>
          </cell>
          <cell r="BF212" t="str">
            <v>-</v>
          </cell>
          <cell r="BG212" t="str">
            <v>-</v>
          </cell>
          <cell r="BH212" t="str">
            <v>-</v>
          </cell>
          <cell r="BI212" t="str">
            <v>-</v>
          </cell>
          <cell r="BJ212" t="str">
            <v>-</v>
          </cell>
          <cell r="BK212" t="str">
            <v>-</v>
          </cell>
          <cell r="BL212" t="str">
            <v>-</v>
          </cell>
          <cell r="BM212" t="str">
            <v>-</v>
          </cell>
          <cell r="BN212" t="str">
            <v>-</v>
          </cell>
          <cell r="BO212" t="str">
            <v>-</v>
          </cell>
          <cell r="BP212" t="str">
            <v>-</v>
          </cell>
        </row>
        <row r="213">
          <cell r="A213">
            <v>208</v>
          </cell>
          <cell r="B213" t="str">
            <v>-</v>
          </cell>
          <cell r="C213" t="str">
            <v>-</v>
          </cell>
          <cell r="D213" t="str">
            <v>-</v>
          </cell>
          <cell r="E213" t="str">
            <v>-</v>
          </cell>
          <cell r="F213" t="str">
            <v>-</v>
          </cell>
          <cell r="G213" t="str">
            <v>-</v>
          </cell>
          <cell r="H213" t="str">
            <v>-</v>
          </cell>
          <cell r="I213" t="str">
            <v>-</v>
          </cell>
          <cell r="J213" t="str">
            <v>-</v>
          </cell>
          <cell r="K213" t="str">
            <v>-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P213" t="str">
            <v>-</v>
          </cell>
          <cell r="Q213" t="str">
            <v>-</v>
          </cell>
          <cell r="R213" t="str">
            <v>-</v>
          </cell>
          <cell r="S213" t="str">
            <v>-</v>
          </cell>
          <cell r="T213" t="str">
            <v>-</v>
          </cell>
          <cell r="U213" t="str">
            <v>-</v>
          </cell>
          <cell r="V213" t="str">
            <v>-</v>
          </cell>
          <cell r="W213" t="str">
            <v>-</v>
          </cell>
          <cell r="X213" t="str">
            <v>-</v>
          </cell>
          <cell r="Y213" t="str">
            <v>-</v>
          </cell>
          <cell r="Z213" t="str">
            <v>-</v>
          </cell>
          <cell r="AA213" t="str">
            <v>-</v>
          </cell>
          <cell r="AB213" t="str">
            <v>-</v>
          </cell>
          <cell r="AC213" t="str">
            <v>-</v>
          </cell>
          <cell r="AD213" t="str">
            <v>-</v>
          </cell>
          <cell r="AE213" t="str">
            <v>-</v>
          </cell>
          <cell r="AF213" t="str">
            <v>-</v>
          </cell>
          <cell r="AG213" t="str">
            <v>-</v>
          </cell>
          <cell r="AH213" t="str">
            <v>-</v>
          </cell>
          <cell r="AI213" t="str">
            <v>-</v>
          </cell>
          <cell r="AJ213" t="str">
            <v>-</v>
          </cell>
          <cell r="AK213" t="str">
            <v>-</v>
          </cell>
          <cell r="AL213" t="str">
            <v>-</v>
          </cell>
          <cell r="AM213" t="str">
            <v>-</v>
          </cell>
          <cell r="AN213" t="str">
            <v>-</v>
          </cell>
          <cell r="AO213" t="str">
            <v>-</v>
          </cell>
          <cell r="AP213" t="str">
            <v>-</v>
          </cell>
          <cell r="AQ213" t="str">
            <v>-</v>
          </cell>
          <cell r="AR213" t="str">
            <v>-</v>
          </cell>
          <cell r="AS213" t="str">
            <v>-</v>
          </cell>
          <cell r="AT213" t="str">
            <v>-</v>
          </cell>
          <cell r="AU213" t="str">
            <v>-</v>
          </cell>
          <cell r="AV213" t="str">
            <v>-</v>
          </cell>
          <cell r="AW213" t="str">
            <v>-</v>
          </cell>
          <cell r="AX213" t="str">
            <v>-</v>
          </cell>
          <cell r="AY213" t="str">
            <v>-</v>
          </cell>
          <cell r="AZ213" t="str">
            <v>-</v>
          </cell>
          <cell r="BA213" t="str">
            <v>-</v>
          </cell>
          <cell r="BB213" t="str">
            <v>-</v>
          </cell>
          <cell r="BC213" t="str">
            <v>-</v>
          </cell>
          <cell r="BD213" t="str">
            <v>-</v>
          </cell>
          <cell r="BE213" t="str">
            <v>-</v>
          </cell>
          <cell r="BF213" t="str">
            <v>-</v>
          </cell>
          <cell r="BG213" t="str">
            <v>-</v>
          </cell>
          <cell r="BH213" t="str">
            <v>-</v>
          </cell>
          <cell r="BI213" t="str">
            <v>-</v>
          </cell>
          <cell r="BJ213" t="str">
            <v>-</v>
          </cell>
          <cell r="BK213" t="str">
            <v>-</v>
          </cell>
          <cell r="BL213" t="str">
            <v>-</v>
          </cell>
          <cell r="BM213" t="str">
            <v>-</v>
          </cell>
          <cell r="BN213" t="str">
            <v>-</v>
          </cell>
          <cell r="BO213" t="str">
            <v>-</v>
          </cell>
          <cell r="BP213" t="str">
            <v>-</v>
          </cell>
        </row>
        <row r="214">
          <cell r="A214">
            <v>209</v>
          </cell>
          <cell r="B214" t="str">
            <v>-</v>
          </cell>
          <cell r="C214" t="str">
            <v>-</v>
          </cell>
          <cell r="D214" t="str">
            <v>-</v>
          </cell>
          <cell r="E214" t="str">
            <v>-</v>
          </cell>
          <cell r="F214" t="str">
            <v>-</v>
          </cell>
          <cell r="G214" t="str">
            <v>-</v>
          </cell>
          <cell r="H214" t="str">
            <v>-</v>
          </cell>
          <cell r="I214" t="str">
            <v>-</v>
          </cell>
          <cell r="J214" t="str">
            <v>-</v>
          </cell>
          <cell r="K214" t="str">
            <v>-</v>
          </cell>
          <cell r="L214" t="str">
            <v>-</v>
          </cell>
          <cell r="M214" t="str">
            <v>-</v>
          </cell>
          <cell r="N214" t="str">
            <v>-</v>
          </cell>
          <cell r="O214" t="str">
            <v>-</v>
          </cell>
          <cell r="P214" t="str">
            <v>-</v>
          </cell>
          <cell r="Q214" t="str">
            <v>-</v>
          </cell>
          <cell r="R214" t="str">
            <v>-</v>
          </cell>
          <cell r="S214" t="str">
            <v>-</v>
          </cell>
          <cell r="T214" t="str">
            <v>-</v>
          </cell>
          <cell r="U214" t="str">
            <v>-</v>
          </cell>
          <cell r="V214" t="str">
            <v>-</v>
          </cell>
          <cell r="W214" t="str">
            <v>-</v>
          </cell>
          <cell r="X214" t="str">
            <v>-</v>
          </cell>
          <cell r="Y214" t="str">
            <v>-</v>
          </cell>
          <cell r="Z214" t="str">
            <v>-</v>
          </cell>
          <cell r="AA214" t="str">
            <v>-</v>
          </cell>
          <cell r="AB214" t="str">
            <v>-</v>
          </cell>
          <cell r="AC214" t="str">
            <v>-</v>
          </cell>
          <cell r="AD214" t="str">
            <v>-</v>
          </cell>
          <cell r="AE214" t="str">
            <v>-</v>
          </cell>
          <cell r="AF214" t="str">
            <v>-</v>
          </cell>
          <cell r="AG214" t="str">
            <v>-</v>
          </cell>
          <cell r="AH214" t="str">
            <v>-</v>
          </cell>
          <cell r="AI214" t="str">
            <v>-</v>
          </cell>
          <cell r="AJ214" t="str">
            <v>-</v>
          </cell>
          <cell r="AK214" t="str">
            <v>-</v>
          </cell>
          <cell r="AL214" t="str">
            <v>-</v>
          </cell>
          <cell r="AM214" t="str">
            <v>-</v>
          </cell>
          <cell r="AN214" t="str">
            <v>-</v>
          </cell>
          <cell r="AO214" t="str">
            <v>-</v>
          </cell>
          <cell r="AP214" t="str">
            <v>-</v>
          </cell>
          <cell r="AQ214" t="str">
            <v>-</v>
          </cell>
          <cell r="AR214" t="str">
            <v>-</v>
          </cell>
          <cell r="AS214" t="str">
            <v>-</v>
          </cell>
          <cell r="AT214" t="str">
            <v>-</v>
          </cell>
          <cell r="AU214" t="str">
            <v>-</v>
          </cell>
          <cell r="AV214" t="str">
            <v>-</v>
          </cell>
          <cell r="AW214" t="str">
            <v>-</v>
          </cell>
          <cell r="AX214" t="str">
            <v>-</v>
          </cell>
          <cell r="AY214" t="str">
            <v>-</v>
          </cell>
          <cell r="AZ214" t="str">
            <v>-</v>
          </cell>
          <cell r="BA214" t="str">
            <v>-</v>
          </cell>
          <cell r="BB214" t="str">
            <v>-</v>
          </cell>
          <cell r="BC214" t="str">
            <v>-</v>
          </cell>
          <cell r="BD214" t="str">
            <v>-</v>
          </cell>
          <cell r="BE214" t="str">
            <v>-</v>
          </cell>
          <cell r="BF214" t="str">
            <v>-</v>
          </cell>
          <cell r="BG214" t="str">
            <v>-</v>
          </cell>
          <cell r="BH214" t="str">
            <v>-</v>
          </cell>
          <cell r="BI214" t="str">
            <v>-</v>
          </cell>
          <cell r="BJ214" t="str">
            <v>-</v>
          </cell>
          <cell r="BK214" t="str">
            <v>-</v>
          </cell>
          <cell r="BL214" t="str">
            <v>-</v>
          </cell>
          <cell r="BM214" t="str">
            <v>-</v>
          </cell>
          <cell r="BN214" t="str">
            <v>-</v>
          </cell>
          <cell r="BO214" t="str">
            <v>-</v>
          </cell>
          <cell r="BP214" t="str">
            <v>-</v>
          </cell>
        </row>
        <row r="215">
          <cell r="A215">
            <v>210</v>
          </cell>
          <cell r="B215" t="str">
            <v>-</v>
          </cell>
          <cell r="C215" t="str">
            <v>-</v>
          </cell>
          <cell r="D215" t="str">
            <v>-</v>
          </cell>
          <cell r="E215" t="str">
            <v>-</v>
          </cell>
          <cell r="F215" t="str">
            <v>-</v>
          </cell>
          <cell r="G215" t="str">
            <v>-</v>
          </cell>
          <cell r="H215" t="str">
            <v>-</v>
          </cell>
          <cell r="I215" t="str">
            <v>-</v>
          </cell>
          <cell r="J215" t="str">
            <v>-</v>
          </cell>
          <cell r="K215" t="str">
            <v>-</v>
          </cell>
          <cell r="L215" t="str">
            <v>-</v>
          </cell>
          <cell r="M215" t="str">
            <v>-</v>
          </cell>
          <cell r="N215" t="str">
            <v>-</v>
          </cell>
          <cell r="O215" t="str">
            <v>-</v>
          </cell>
          <cell r="P215" t="str">
            <v>-</v>
          </cell>
          <cell r="Q215" t="str">
            <v>-</v>
          </cell>
          <cell r="R215" t="str">
            <v>-</v>
          </cell>
          <cell r="S215" t="str">
            <v>-</v>
          </cell>
          <cell r="T215" t="str">
            <v>-</v>
          </cell>
          <cell r="U215" t="str">
            <v>-</v>
          </cell>
          <cell r="V215" t="str">
            <v>-</v>
          </cell>
          <cell r="W215" t="str">
            <v>-</v>
          </cell>
          <cell r="X215" t="str">
            <v>-</v>
          </cell>
          <cell r="Y215" t="str">
            <v>-</v>
          </cell>
          <cell r="Z215" t="str">
            <v>-</v>
          </cell>
          <cell r="AA215" t="str">
            <v>-</v>
          </cell>
          <cell r="AB215" t="str">
            <v>-</v>
          </cell>
          <cell r="AC215" t="str">
            <v>-</v>
          </cell>
          <cell r="AD215" t="str">
            <v>-</v>
          </cell>
          <cell r="AE215" t="str">
            <v>-</v>
          </cell>
          <cell r="AF215" t="str">
            <v>-</v>
          </cell>
          <cell r="AG215" t="str">
            <v>-</v>
          </cell>
          <cell r="AH215" t="str">
            <v>-</v>
          </cell>
          <cell r="AI215" t="str">
            <v>-</v>
          </cell>
          <cell r="AJ215" t="str">
            <v>-</v>
          </cell>
          <cell r="AK215" t="str">
            <v>-</v>
          </cell>
          <cell r="AL215" t="str">
            <v>-</v>
          </cell>
          <cell r="AM215" t="str">
            <v>-</v>
          </cell>
          <cell r="AN215" t="str">
            <v>-</v>
          </cell>
          <cell r="AO215" t="str">
            <v>-</v>
          </cell>
          <cell r="AP215" t="str">
            <v>-</v>
          </cell>
          <cell r="AQ215" t="str">
            <v>-</v>
          </cell>
          <cell r="AR215" t="str">
            <v>-</v>
          </cell>
          <cell r="AS215" t="str">
            <v>-</v>
          </cell>
          <cell r="AT215" t="str">
            <v>-</v>
          </cell>
          <cell r="AU215" t="str">
            <v>-</v>
          </cell>
          <cell r="AV215" t="str">
            <v>-</v>
          </cell>
          <cell r="AW215" t="str">
            <v>-</v>
          </cell>
          <cell r="AX215" t="str">
            <v>-</v>
          </cell>
          <cell r="AY215" t="str">
            <v>-</v>
          </cell>
          <cell r="AZ215" t="str">
            <v>-</v>
          </cell>
          <cell r="BA215" t="str">
            <v>-</v>
          </cell>
          <cell r="BB215" t="str">
            <v>-</v>
          </cell>
          <cell r="BC215" t="str">
            <v>-</v>
          </cell>
          <cell r="BD215" t="str">
            <v>-</v>
          </cell>
          <cell r="BE215" t="str">
            <v>-</v>
          </cell>
          <cell r="BF215" t="str">
            <v>-</v>
          </cell>
          <cell r="BG215" t="str">
            <v>-</v>
          </cell>
          <cell r="BH215" t="str">
            <v>-</v>
          </cell>
          <cell r="BI215" t="str">
            <v>-</v>
          </cell>
          <cell r="BJ215" t="str">
            <v>-</v>
          </cell>
          <cell r="BK215" t="str">
            <v>-</v>
          </cell>
          <cell r="BL215" t="str">
            <v>-</v>
          </cell>
          <cell r="BM215" t="str">
            <v>-</v>
          </cell>
          <cell r="BN215" t="str">
            <v>-</v>
          </cell>
          <cell r="BO215" t="str">
            <v>-</v>
          </cell>
          <cell r="BP215" t="str">
            <v>-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e"/>
      <sheetName val="Cadastro dos Padrões"/>
      <sheetName val="Histórico de revisões"/>
      <sheetName val="Planilha1"/>
      <sheetName val="Planilha2"/>
    </sheetNames>
    <sheetDataSet>
      <sheetData sheetId="0">
        <row r="6">
          <cell r="A6">
            <v>1</v>
          </cell>
          <cell r="B6" t="str">
            <v>X.TH.LV-001</v>
          </cell>
          <cell r="C6" t="str">
            <v>Termohigrômetro Digital</v>
          </cell>
          <cell r="D6">
            <v>20</v>
          </cell>
          <cell r="E6" t="str">
            <v>Elus</v>
          </cell>
          <cell r="F6" t="str">
            <v>RBC - CAL 0439</v>
          </cell>
          <cell r="G6" t="str">
            <v>E0643A/25</v>
          </cell>
          <cell r="H6">
            <v>45910</v>
          </cell>
          <cell r="I6">
            <v>46295</v>
          </cell>
          <cell r="J6" t="str">
            <v>%ur</v>
          </cell>
          <cell r="K6">
            <v>10</v>
          </cell>
          <cell r="L6">
            <v>90</v>
          </cell>
          <cell r="M6">
            <v>0.01</v>
          </cell>
          <cell r="N6">
            <v>1.2999999999999972</v>
          </cell>
          <cell r="O6">
            <v>1.2</v>
          </cell>
          <cell r="P6">
            <v>1.5</v>
          </cell>
          <cell r="Q6">
            <v>8.987611964784703E-3</v>
          </cell>
          <cell r="R6">
            <v>4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-3.2655712156056859E-7</v>
          </cell>
          <cell r="X6">
            <v>6.0579675871904894E-5</v>
          </cell>
          <cell r="Y6">
            <v>-3.7173888714108648E-3</v>
          </cell>
          <cell r="Z6">
            <v>1.0702837287214311</v>
          </cell>
          <cell r="AA6">
            <v>-0.14499576804372349</v>
          </cell>
          <cell r="AB6">
            <v>10</v>
          </cell>
          <cell r="AC6">
            <v>0.81</v>
          </cell>
          <cell r="AD6">
            <v>2</v>
          </cell>
          <cell r="AE6">
            <v>1000000</v>
          </cell>
          <cell r="AF6">
            <v>30</v>
          </cell>
          <cell r="AG6">
            <v>0.94</v>
          </cell>
          <cell r="AH6">
            <v>2</v>
          </cell>
          <cell r="AI6">
            <v>1000000</v>
          </cell>
          <cell r="AJ6">
            <v>50</v>
          </cell>
          <cell r="AK6">
            <v>1.1000000000000001</v>
          </cell>
          <cell r="AL6">
            <v>2</v>
          </cell>
          <cell r="AM6">
            <v>1000000</v>
          </cell>
          <cell r="AN6">
            <v>70</v>
          </cell>
          <cell r="AO6">
            <v>1.1000000000000001</v>
          </cell>
          <cell r="AP6">
            <v>2</v>
          </cell>
          <cell r="AQ6">
            <v>1000000</v>
          </cell>
          <cell r="AR6">
            <v>80</v>
          </cell>
          <cell r="AS6">
            <v>1.2</v>
          </cell>
          <cell r="AT6">
            <v>2</v>
          </cell>
          <cell r="AU6">
            <v>1000000</v>
          </cell>
          <cell r="AV6">
            <v>90</v>
          </cell>
          <cell r="AW6">
            <v>1.2</v>
          </cell>
          <cell r="AX6">
            <v>2</v>
          </cell>
          <cell r="AY6">
            <v>1000000</v>
          </cell>
          <cell r="AZ6" t="str">
            <v>-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</row>
        <row r="7">
          <cell r="A7">
            <v>2</v>
          </cell>
          <cell r="B7" t="str">
            <v>EL-797</v>
          </cell>
          <cell r="C7" t="str">
            <v>Termohigrômetro Digital</v>
          </cell>
          <cell r="D7">
            <v>20</v>
          </cell>
          <cell r="E7" t="str">
            <v>Elus</v>
          </cell>
          <cell r="F7" t="str">
            <v>RBC - CAL 0439</v>
          </cell>
          <cell r="G7" t="str">
            <v>R51822/23</v>
          </cell>
          <cell r="H7">
            <v>45064</v>
          </cell>
          <cell r="I7">
            <v>45443</v>
          </cell>
          <cell r="J7" t="str">
            <v>%ur</v>
          </cell>
          <cell r="K7">
            <v>30</v>
          </cell>
          <cell r="L7">
            <v>80</v>
          </cell>
          <cell r="M7">
            <v>1</v>
          </cell>
          <cell r="N7">
            <v>5</v>
          </cell>
          <cell r="O7">
            <v>2</v>
          </cell>
          <cell r="P7">
            <v>1</v>
          </cell>
          <cell r="Q7">
            <v>0.75619906535743553</v>
          </cell>
          <cell r="R7">
            <v>1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1.1651179413867045</v>
          </cell>
          <cell r="AA7">
            <v>-11.136526090064315</v>
          </cell>
          <cell r="AB7">
            <v>30</v>
          </cell>
          <cell r="AC7">
            <v>1</v>
          </cell>
          <cell r="AD7">
            <v>2.0099999999999998</v>
          </cell>
          <cell r="AE7">
            <v>362</v>
          </cell>
          <cell r="AF7">
            <v>50</v>
          </cell>
          <cell r="AG7">
            <v>1</v>
          </cell>
          <cell r="AH7">
            <v>2</v>
          </cell>
          <cell r="AI7">
            <v>1000000</v>
          </cell>
          <cell r="AJ7">
            <v>80</v>
          </cell>
          <cell r="AK7">
            <v>2</v>
          </cell>
          <cell r="AL7">
            <v>2</v>
          </cell>
          <cell r="AM7">
            <v>1000000</v>
          </cell>
          <cell r="AN7" t="str">
            <v>-</v>
          </cell>
          <cell r="AO7" t="str">
            <v>-</v>
          </cell>
          <cell r="AP7" t="str">
            <v>-</v>
          </cell>
          <cell r="AQ7" t="str">
            <v>-</v>
          </cell>
          <cell r="AR7" t="str">
            <v>-</v>
          </cell>
          <cell r="AS7" t="str">
            <v>-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</row>
        <row r="8">
          <cell r="A8">
            <v>3</v>
          </cell>
          <cell r="B8" t="str">
            <v>EL-800</v>
          </cell>
          <cell r="C8" t="str">
            <v>Termohigrômetro Digital</v>
          </cell>
          <cell r="D8">
            <v>20</v>
          </cell>
          <cell r="E8" t="str">
            <v>Elus</v>
          </cell>
          <cell r="F8" t="str">
            <v>RBC - CAL 0439</v>
          </cell>
          <cell r="G8" t="str">
            <v>R0038/14</v>
          </cell>
          <cell r="H8">
            <v>45412</v>
          </cell>
          <cell r="I8">
            <v>45777</v>
          </cell>
          <cell r="J8" t="str">
            <v>%ur</v>
          </cell>
          <cell r="K8">
            <v>30</v>
          </cell>
          <cell r="L8">
            <v>80</v>
          </cell>
          <cell r="M8">
            <v>1</v>
          </cell>
          <cell r="N8">
            <v>3</v>
          </cell>
          <cell r="O8">
            <v>2</v>
          </cell>
          <cell r="P8">
            <v>1</v>
          </cell>
          <cell r="Q8">
            <v>0.67728546147860413</v>
          </cell>
          <cell r="R8">
            <v>1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1.0435779816513759</v>
          </cell>
          <cell r="AA8">
            <v>-4.7591743119265857</v>
          </cell>
          <cell r="AB8">
            <v>30</v>
          </cell>
          <cell r="AC8">
            <v>2</v>
          </cell>
          <cell r="AD8">
            <v>2</v>
          </cell>
          <cell r="AE8">
            <v>1000000</v>
          </cell>
          <cell r="AF8">
            <v>50</v>
          </cell>
          <cell r="AG8">
            <v>2</v>
          </cell>
          <cell r="AH8">
            <v>2</v>
          </cell>
          <cell r="AI8">
            <v>1000000</v>
          </cell>
          <cell r="AJ8">
            <v>80</v>
          </cell>
          <cell r="AK8">
            <v>2</v>
          </cell>
          <cell r="AL8">
            <v>2</v>
          </cell>
          <cell r="AM8">
            <v>1000000</v>
          </cell>
          <cell r="AN8" t="str">
            <v>-</v>
          </cell>
          <cell r="AO8" t="str">
            <v>-</v>
          </cell>
          <cell r="AP8" t="str">
            <v>-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>-</v>
          </cell>
          <cell r="AU8" t="str">
            <v>-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</row>
        <row r="9">
          <cell r="A9">
            <v>4</v>
          </cell>
          <cell r="B9" t="str">
            <v>EL-159</v>
          </cell>
          <cell r="C9" t="str">
            <v>Termohigrômetro Digital</v>
          </cell>
          <cell r="D9">
            <v>20</v>
          </cell>
          <cell r="E9" t="str">
            <v>Elus</v>
          </cell>
          <cell r="F9" t="str">
            <v>RBC - CAL 0439</v>
          </cell>
          <cell r="G9" t="str">
            <v>R0371/21</v>
          </cell>
          <cell r="H9">
            <v>44498</v>
          </cell>
          <cell r="I9">
            <v>44865</v>
          </cell>
          <cell r="J9" t="str">
            <v>%ur</v>
          </cell>
          <cell r="K9">
            <v>30</v>
          </cell>
          <cell r="L9">
            <v>90</v>
          </cell>
          <cell r="M9">
            <v>1</v>
          </cell>
          <cell r="N9">
            <v>9</v>
          </cell>
          <cell r="O9">
            <v>2</v>
          </cell>
          <cell r="P9">
            <v>1</v>
          </cell>
          <cell r="Q9">
            <v>0.40359057361334871</v>
          </cell>
          <cell r="R9">
            <v>2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-1.1432515581001907E-3</v>
          </cell>
          <cell r="Z9">
            <v>1.0894708872975898</v>
          </cell>
          <cell r="AA9">
            <v>7.5312190136070356</v>
          </cell>
          <cell r="AB9">
            <v>30</v>
          </cell>
          <cell r="AC9">
            <v>2</v>
          </cell>
          <cell r="AD9">
            <v>2</v>
          </cell>
          <cell r="AE9">
            <v>1000000</v>
          </cell>
          <cell r="AF9">
            <v>50</v>
          </cell>
          <cell r="AG9">
            <v>2</v>
          </cell>
          <cell r="AH9">
            <v>2</v>
          </cell>
          <cell r="AI9">
            <v>1000000</v>
          </cell>
          <cell r="AJ9">
            <v>70</v>
          </cell>
          <cell r="AK9">
            <v>2</v>
          </cell>
          <cell r="AL9">
            <v>2</v>
          </cell>
          <cell r="AM9">
            <v>1000000</v>
          </cell>
          <cell r="AN9">
            <v>90</v>
          </cell>
          <cell r="AO9">
            <v>2</v>
          </cell>
          <cell r="AP9">
            <v>2</v>
          </cell>
          <cell r="AQ9">
            <v>1000000</v>
          </cell>
          <cell r="AR9" t="str">
            <v>-</v>
          </cell>
          <cell r="AS9" t="str">
            <v>-</v>
          </cell>
          <cell r="AT9" t="str">
            <v>-</v>
          </cell>
          <cell r="AU9" t="str">
            <v>-</v>
          </cell>
          <cell r="AV9" t="str">
            <v>-</v>
          </cell>
          <cell r="AW9" t="str">
            <v>-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</row>
        <row r="10">
          <cell r="A10">
            <v>5</v>
          </cell>
          <cell r="B10" t="str">
            <v>E.TH.FS-051</v>
          </cell>
          <cell r="C10" t="str">
            <v>Termohigrômetro Digital</v>
          </cell>
          <cell r="D10">
            <v>20</v>
          </cell>
          <cell r="E10" t="str">
            <v>Elus</v>
          </cell>
          <cell r="F10" t="str">
            <v>RBC - CAL 0439</v>
          </cell>
          <cell r="G10" t="str">
            <v>E0051/26</v>
          </cell>
          <cell r="H10">
            <v>46056</v>
          </cell>
          <cell r="I10">
            <v>46446</v>
          </cell>
          <cell r="J10" t="str">
            <v>%ur</v>
          </cell>
          <cell r="K10">
            <v>30</v>
          </cell>
          <cell r="L10">
            <v>80</v>
          </cell>
          <cell r="M10">
            <v>1</v>
          </cell>
          <cell r="N10">
            <v>3</v>
          </cell>
          <cell r="O10">
            <v>2</v>
          </cell>
          <cell r="P10">
            <v>8</v>
          </cell>
          <cell r="Q10">
            <v>1.3176871827811567</v>
          </cell>
          <cell r="R10">
            <v>1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1.0146500271296797</v>
          </cell>
          <cell r="AA10">
            <v>-2.8106348345089387</v>
          </cell>
          <cell r="AB10">
            <v>30</v>
          </cell>
          <cell r="AC10">
            <v>2</v>
          </cell>
          <cell r="AD10">
            <v>2</v>
          </cell>
          <cell r="AE10">
            <v>1000000</v>
          </cell>
          <cell r="AF10">
            <v>50</v>
          </cell>
          <cell r="AG10">
            <v>2</v>
          </cell>
          <cell r="AH10">
            <v>2</v>
          </cell>
          <cell r="AI10">
            <v>1000000</v>
          </cell>
          <cell r="AJ10">
            <v>80</v>
          </cell>
          <cell r="AK10">
            <v>2</v>
          </cell>
          <cell r="AL10">
            <v>2</v>
          </cell>
          <cell r="AM10">
            <v>1000000</v>
          </cell>
          <cell r="AN10" t="str">
            <v>-</v>
          </cell>
          <cell r="AO10" t="str">
            <v>-</v>
          </cell>
          <cell r="AP10" t="str">
            <v>-</v>
          </cell>
          <cell r="AQ10" t="str">
            <v>-</v>
          </cell>
          <cell r="AR10" t="str">
            <v>-</v>
          </cell>
          <cell r="AS10" t="str">
            <v>-</v>
          </cell>
          <cell r="AT10" t="str">
            <v>-</v>
          </cell>
          <cell r="AU10" t="str">
            <v>-</v>
          </cell>
          <cell r="AV10" t="str">
            <v>-</v>
          </cell>
          <cell r="AW10" t="str">
            <v>-</v>
          </cell>
          <cell r="AX10" t="str">
            <v>-</v>
          </cell>
          <cell r="AY10" t="str">
            <v>-</v>
          </cell>
          <cell r="AZ10" t="str">
            <v>-</v>
          </cell>
          <cell r="BA10" t="str">
            <v>-</v>
          </cell>
          <cell r="BB10" t="str">
            <v>-</v>
          </cell>
          <cell r="BC10" t="str">
            <v>-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</row>
        <row r="11">
          <cell r="A11">
            <v>6</v>
          </cell>
          <cell r="B11" t="str">
            <v>E.TH.PMR-006</v>
          </cell>
          <cell r="C11" t="str">
            <v>Termohigrômetro Digital</v>
          </cell>
          <cell r="D11">
            <v>20</v>
          </cell>
          <cell r="E11" t="str">
            <v>Elus</v>
          </cell>
          <cell r="F11" t="str">
            <v>RBC - CAL 0439</v>
          </cell>
          <cell r="G11" t="str">
            <v>E0208/25</v>
          </cell>
          <cell r="H11">
            <v>45761</v>
          </cell>
          <cell r="I11">
            <v>46142</v>
          </cell>
          <cell r="J11" t="str">
            <v>%ur</v>
          </cell>
          <cell r="K11">
            <v>20</v>
          </cell>
          <cell r="L11">
            <v>80</v>
          </cell>
          <cell r="M11">
            <v>0.1</v>
          </cell>
          <cell r="N11">
            <v>1.2999999999999972</v>
          </cell>
          <cell r="O11">
            <v>1.1000000000000001</v>
          </cell>
          <cell r="P11">
            <v>1.2999999999999972</v>
          </cell>
          <cell r="Q11">
            <v>0.11987667038827254</v>
          </cell>
          <cell r="R11">
            <v>1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0.9787850079303404</v>
          </cell>
          <cell r="AA11">
            <v>0.47347859872477471</v>
          </cell>
          <cell r="AB11">
            <v>20</v>
          </cell>
          <cell r="AC11">
            <v>0.7</v>
          </cell>
          <cell r="AD11">
            <v>2</v>
          </cell>
          <cell r="AE11">
            <v>1000000</v>
          </cell>
          <cell r="AF11">
            <v>50</v>
          </cell>
          <cell r="AG11">
            <v>1.1000000000000001</v>
          </cell>
          <cell r="AH11">
            <v>2</v>
          </cell>
          <cell r="AI11">
            <v>1000000</v>
          </cell>
          <cell r="AJ11">
            <v>80</v>
          </cell>
          <cell r="AK11">
            <v>1.1000000000000001</v>
          </cell>
          <cell r="AL11">
            <v>2</v>
          </cell>
          <cell r="AM11">
            <v>1000000</v>
          </cell>
          <cell r="AN11" t="str">
            <v>-</v>
          </cell>
          <cell r="AO11" t="str">
            <v>-</v>
          </cell>
          <cell r="AP11" t="str">
            <v>-</v>
          </cell>
          <cell r="AQ11" t="str">
            <v>-</v>
          </cell>
          <cell r="AR11" t="str">
            <v>-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>-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  <cell r="BB11" t="str">
            <v>-</v>
          </cell>
          <cell r="BC11" t="str">
            <v>-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</row>
        <row r="12">
          <cell r="A12">
            <v>7</v>
          </cell>
          <cell r="B12" t="str">
            <v>E.TH.PMR-007</v>
          </cell>
          <cell r="C12" t="str">
            <v>Termohigrômetro Digital</v>
          </cell>
          <cell r="D12">
            <v>20</v>
          </cell>
          <cell r="E12" t="str">
            <v>Elus</v>
          </cell>
          <cell r="F12" t="str">
            <v>RBC - CAL 0439</v>
          </cell>
          <cell r="G12" t="str">
            <v>E0209/25</v>
          </cell>
          <cell r="H12">
            <v>45761</v>
          </cell>
          <cell r="I12">
            <v>46142</v>
          </cell>
          <cell r="J12" t="str">
            <v>%ur</v>
          </cell>
          <cell r="K12">
            <v>20</v>
          </cell>
          <cell r="L12">
            <v>80</v>
          </cell>
          <cell r="M12">
            <v>0.1</v>
          </cell>
          <cell r="N12">
            <v>0.90000000000000568</v>
          </cell>
          <cell r="O12">
            <v>1.1000000000000001</v>
          </cell>
          <cell r="P12">
            <v>0.90000000000000568</v>
          </cell>
          <cell r="Q12">
            <v>0.12350316122964955</v>
          </cell>
          <cell r="R12">
            <v>1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1.0083948162292247</v>
          </cell>
          <cell r="AA12">
            <v>0.2861355598992219</v>
          </cell>
          <cell r="AB12">
            <v>20</v>
          </cell>
          <cell r="AC12">
            <v>0.7</v>
          </cell>
          <cell r="AD12">
            <v>2</v>
          </cell>
          <cell r="AE12">
            <v>1000000</v>
          </cell>
          <cell r="AF12">
            <v>50</v>
          </cell>
          <cell r="AG12">
            <v>1.1000000000000001</v>
          </cell>
          <cell r="AH12">
            <v>2</v>
          </cell>
          <cell r="AI12">
            <v>1000000</v>
          </cell>
          <cell r="AJ12">
            <v>80</v>
          </cell>
          <cell r="AK12">
            <v>1.1000000000000001</v>
          </cell>
          <cell r="AL12">
            <v>2</v>
          </cell>
          <cell r="AM12">
            <v>1000000</v>
          </cell>
          <cell r="AN12" t="str">
            <v>-</v>
          </cell>
          <cell r="AO12" t="str">
            <v>-</v>
          </cell>
          <cell r="AP12" t="str">
            <v>-</v>
          </cell>
          <cell r="AQ12" t="str">
            <v>-</v>
          </cell>
          <cell r="AR12" t="str">
            <v>-</v>
          </cell>
          <cell r="AS12" t="str">
            <v>-</v>
          </cell>
          <cell r="AT12" t="str">
            <v>-</v>
          </cell>
          <cell r="AU12" t="str">
            <v>-</v>
          </cell>
          <cell r="AV12" t="str">
            <v>-</v>
          </cell>
          <cell r="AW12" t="str">
            <v>-</v>
          </cell>
          <cell r="AX12" t="str">
            <v>-</v>
          </cell>
          <cell r="AY12" t="str">
            <v>-</v>
          </cell>
          <cell r="AZ12" t="str">
            <v>-</v>
          </cell>
          <cell r="BA12" t="str">
            <v>-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</row>
        <row r="13">
          <cell r="A13">
            <v>8</v>
          </cell>
          <cell r="B13" t="str">
            <v>E.TH.PMR-008</v>
          </cell>
          <cell r="C13" t="str">
            <v>Termohigrômetro Digital</v>
          </cell>
          <cell r="D13">
            <v>20</v>
          </cell>
          <cell r="E13" t="str">
            <v>Elus</v>
          </cell>
          <cell r="F13" t="str">
            <v>RBC - CAL 0439</v>
          </cell>
          <cell r="G13" t="str">
            <v>E0210/25</v>
          </cell>
          <cell r="H13">
            <v>45761</v>
          </cell>
          <cell r="I13">
            <v>46142</v>
          </cell>
          <cell r="J13" t="str">
            <v>%ur</v>
          </cell>
          <cell r="K13">
            <v>20</v>
          </cell>
          <cell r="L13">
            <v>80</v>
          </cell>
          <cell r="M13">
            <v>0.1</v>
          </cell>
          <cell r="N13">
            <v>1</v>
          </cell>
          <cell r="O13">
            <v>1.1000000000000001</v>
          </cell>
          <cell r="P13">
            <v>1</v>
          </cell>
          <cell r="Q13">
            <v>0.12308941878433188</v>
          </cell>
          <cell r="R13">
            <v>1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1.0050166661055184</v>
          </cell>
          <cell r="AA13">
            <v>0.55318002760849794</v>
          </cell>
          <cell r="AB13">
            <v>20</v>
          </cell>
          <cell r="AC13">
            <v>0.7</v>
          </cell>
          <cell r="AD13">
            <v>2</v>
          </cell>
          <cell r="AE13">
            <v>1000000</v>
          </cell>
          <cell r="AF13">
            <v>50</v>
          </cell>
          <cell r="AG13">
            <v>1.1000000000000001</v>
          </cell>
          <cell r="AH13">
            <v>2</v>
          </cell>
          <cell r="AI13">
            <v>1000000</v>
          </cell>
          <cell r="AJ13">
            <v>80</v>
          </cell>
          <cell r="AK13">
            <v>1.1000000000000001</v>
          </cell>
          <cell r="AL13">
            <v>2</v>
          </cell>
          <cell r="AM13">
            <v>1000000</v>
          </cell>
          <cell r="AN13" t="str">
            <v>-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</row>
        <row r="14">
          <cell r="A14">
            <v>9</v>
          </cell>
          <cell r="B14" t="str">
            <v>E.TH.LT-006</v>
          </cell>
          <cell r="C14" t="str">
            <v>Termohigrômetro Digital</v>
          </cell>
          <cell r="D14">
            <v>20</v>
          </cell>
          <cell r="E14" t="str">
            <v>Elus</v>
          </cell>
          <cell r="F14" t="str">
            <v>RBC - CAL 0439</v>
          </cell>
          <cell r="G14" t="str">
            <v>E0843/25</v>
          </cell>
          <cell r="H14">
            <v>45989</v>
          </cell>
          <cell r="I14">
            <v>46170</v>
          </cell>
          <cell r="J14" t="str">
            <v>%ur</v>
          </cell>
          <cell r="K14">
            <v>5.01</v>
          </cell>
          <cell r="L14">
            <v>97.96</v>
          </cell>
          <cell r="M14">
            <v>0.01</v>
          </cell>
          <cell r="N14">
            <v>0.68000000000000327</v>
          </cell>
          <cell r="O14">
            <v>0.99</v>
          </cell>
          <cell r="P14">
            <v>0.45000000000000018</v>
          </cell>
          <cell r="Q14">
            <v>0.20467235703562636</v>
          </cell>
          <cell r="R14">
            <v>4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-3.2294994809459297E-7</v>
          </cell>
          <cell r="X14">
            <v>6.388775761934544E-5</v>
          </cell>
          <cell r="Y14">
            <v>-3.9161576302145637E-3</v>
          </cell>
          <cell r="Z14">
            <v>1.0710134479490356</v>
          </cell>
          <cell r="AA14">
            <v>0.23473038532220514</v>
          </cell>
          <cell r="AB14">
            <v>5.01</v>
          </cell>
          <cell r="AC14">
            <v>0.25</v>
          </cell>
          <cell r="AD14">
            <v>2.0299999999999998</v>
          </cell>
          <cell r="AE14">
            <v>87</v>
          </cell>
          <cell r="AF14">
            <v>20.010000000000002</v>
          </cell>
          <cell r="AG14">
            <v>0.27</v>
          </cell>
          <cell r="AH14">
            <v>2.04</v>
          </cell>
          <cell r="AI14">
            <v>65</v>
          </cell>
          <cell r="AJ14">
            <v>29.99</v>
          </cell>
          <cell r="AK14">
            <v>0.35</v>
          </cell>
          <cell r="AL14">
            <v>2.04</v>
          </cell>
          <cell r="AM14">
            <v>67</v>
          </cell>
          <cell r="AN14">
            <v>50.01</v>
          </cell>
          <cell r="AO14">
            <v>0.55000000000000004</v>
          </cell>
          <cell r="AP14">
            <v>2.04</v>
          </cell>
          <cell r="AQ14">
            <v>67</v>
          </cell>
          <cell r="AR14">
            <v>80.010000000000005</v>
          </cell>
          <cell r="AS14">
            <v>0.83</v>
          </cell>
          <cell r="AT14">
            <v>2.04</v>
          </cell>
          <cell r="AU14">
            <v>68</v>
          </cell>
          <cell r="AV14">
            <v>97.96</v>
          </cell>
          <cell r="AW14">
            <v>0.99</v>
          </cell>
          <cell r="AX14">
            <v>2.04</v>
          </cell>
          <cell r="AY14">
            <v>68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</row>
        <row r="15">
          <cell r="A15">
            <v>10</v>
          </cell>
          <cell r="B15" t="str">
            <v>E.TH.LT-006</v>
          </cell>
          <cell r="C15" t="str">
            <v>Termohigrômetro Digital</v>
          </cell>
          <cell r="D15">
            <v>25</v>
          </cell>
          <cell r="E15" t="str">
            <v>Elus</v>
          </cell>
          <cell r="F15" t="str">
            <v>RBC - CAL 0439</v>
          </cell>
          <cell r="G15" t="str">
            <v>E0843/25</v>
          </cell>
          <cell r="H15">
            <v>45989</v>
          </cell>
          <cell r="I15">
            <v>46170</v>
          </cell>
          <cell r="J15" t="str">
            <v>%ur</v>
          </cell>
          <cell r="K15">
            <v>5.01</v>
          </cell>
          <cell r="L15">
            <v>97.97</v>
          </cell>
          <cell r="M15">
            <v>0.01</v>
          </cell>
          <cell r="N15">
            <v>0.76999999999999957</v>
          </cell>
          <cell r="O15">
            <v>0.93</v>
          </cell>
          <cell r="P15">
            <v>0.85000000000000853</v>
          </cell>
          <cell r="Q15">
            <v>2.8328902343051077E-2</v>
          </cell>
          <cell r="R15">
            <v>4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-9.4175686986420247E-8</v>
          </cell>
          <cell r="X15">
            <v>1.5559031970882384E-5</v>
          </cell>
          <cell r="Y15">
            <v>-5.2680065819076427E-4</v>
          </cell>
          <cell r="Z15">
            <v>0.98371024885885616</v>
          </cell>
          <cell r="AA15">
            <v>0.84446984104603784</v>
          </cell>
          <cell r="AB15">
            <v>5.01</v>
          </cell>
          <cell r="AC15">
            <v>0.25</v>
          </cell>
          <cell r="AD15">
            <v>2.0299999999999998</v>
          </cell>
          <cell r="AE15">
            <v>87</v>
          </cell>
          <cell r="AF15">
            <v>19.989999999999998</v>
          </cell>
          <cell r="AG15">
            <v>0.25</v>
          </cell>
          <cell r="AH15">
            <v>2.04</v>
          </cell>
          <cell r="AI15">
            <v>66</v>
          </cell>
          <cell r="AJ15">
            <v>30.01</v>
          </cell>
          <cell r="AK15">
            <v>0.33</v>
          </cell>
          <cell r="AL15">
            <v>2.04</v>
          </cell>
          <cell r="AM15">
            <v>67</v>
          </cell>
          <cell r="AN15">
            <v>50</v>
          </cell>
          <cell r="AO15">
            <v>0.53</v>
          </cell>
          <cell r="AP15">
            <v>2.04</v>
          </cell>
          <cell r="AQ15">
            <v>67</v>
          </cell>
          <cell r="AR15">
            <v>79.989999999999995</v>
          </cell>
          <cell r="AS15">
            <v>0.8</v>
          </cell>
          <cell r="AT15">
            <v>2.04</v>
          </cell>
          <cell r="AU15">
            <v>68</v>
          </cell>
          <cell r="AV15">
            <v>97.97</v>
          </cell>
          <cell r="AW15">
            <v>0.93</v>
          </cell>
          <cell r="AX15">
            <v>2.04</v>
          </cell>
          <cell r="AY15">
            <v>62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</row>
        <row r="16">
          <cell r="A16">
            <v>11</v>
          </cell>
          <cell r="B16" t="str">
            <v>-</v>
          </cell>
          <cell r="C16" t="str">
            <v>-</v>
          </cell>
          <cell r="D16" t="str">
            <v>-</v>
          </cell>
          <cell r="E16" t="str">
            <v>-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-</v>
          </cell>
          <cell r="O16" t="str">
            <v>-</v>
          </cell>
          <cell r="P16" t="str">
            <v>-</v>
          </cell>
          <cell r="Q16" t="str">
            <v>-</v>
          </cell>
          <cell r="R16" t="str">
            <v>-</v>
          </cell>
          <cell r="S16" t="str">
            <v>-</v>
          </cell>
          <cell r="T16" t="str">
            <v>-</v>
          </cell>
          <cell r="U16" t="str">
            <v>-</v>
          </cell>
          <cell r="V16" t="str">
            <v>-</v>
          </cell>
          <cell r="W16" t="str">
            <v>-</v>
          </cell>
          <cell r="X16" t="str">
            <v>-</v>
          </cell>
          <cell r="Y16" t="str">
            <v>-</v>
          </cell>
          <cell r="Z16" t="str">
            <v>-</v>
          </cell>
          <cell r="AA16" t="str">
            <v>-</v>
          </cell>
          <cell r="AB16" t="str">
            <v>-</v>
          </cell>
          <cell r="AC16" t="str">
            <v>-</v>
          </cell>
          <cell r="AD16" t="str">
            <v>-</v>
          </cell>
          <cell r="AE16" t="str">
            <v>-</v>
          </cell>
          <cell r="AF16" t="str">
            <v>-</v>
          </cell>
          <cell r="AG16" t="str">
            <v>-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</row>
        <row r="17">
          <cell r="A17">
            <v>12</v>
          </cell>
          <cell r="B17" t="str">
            <v>E.TH.LT-019</v>
          </cell>
          <cell r="C17" t="str">
            <v>Higrômetro de Ponto de Orvalho</v>
          </cell>
          <cell r="D17" t="str">
            <v>-</v>
          </cell>
          <cell r="E17" t="str">
            <v>Elus</v>
          </cell>
          <cell r="F17" t="str">
            <v>RBC - CAL 0439</v>
          </cell>
          <cell r="G17" t="str">
            <v>E0177/25</v>
          </cell>
          <cell r="H17">
            <v>45748</v>
          </cell>
          <cell r="I17">
            <v>46142</v>
          </cell>
          <cell r="J17" t="str">
            <v>°CTd/f</v>
          </cell>
          <cell r="K17">
            <v>-60</v>
          </cell>
          <cell r="L17">
            <v>0</v>
          </cell>
          <cell r="M17">
            <v>0.01</v>
          </cell>
          <cell r="N17">
            <v>1.69</v>
          </cell>
          <cell r="O17">
            <v>0.28000000000000003</v>
          </cell>
          <cell r="P17">
            <v>4.9999999999997158E-2</v>
          </cell>
          <cell r="Q17">
            <v>7.6745049498854967E-2</v>
          </cell>
          <cell r="R17">
            <v>5</v>
          </cell>
          <cell r="S17">
            <v>0</v>
          </cell>
          <cell r="T17">
            <v>0</v>
          </cell>
          <cell r="U17">
            <v>0</v>
          </cell>
          <cell r="V17">
            <v>-9.4674692167357336E-9</v>
          </cell>
          <cell r="W17">
            <v>-1.9958038609525072E-6</v>
          </cell>
          <cell r="X17">
            <v>-1.4769373489171385E-4</v>
          </cell>
          <cell r="Y17">
            <v>-4.8624460398508538E-3</v>
          </cell>
          <cell r="Z17">
            <v>0.92755887727692632</v>
          </cell>
          <cell r="AA17">
            <v>-1.5552394150979905</v>
          </cell>
          <cell r="AB17">
            <v>-60</v>
          </cell>
          <cell r="AC17">
            <v>0.26</v>
          </cell>
          <cell r="AD17">
            <v>2</v>
          </cell>
          <cell r="AE17">
            <v>1000000</v>
          </cell>
          <cell r="AF17">
            <v>-50</v>
          </cell>
          <cell r="AG17">
            <v>0.26</v>
          </cell>
          <cell r="AH17">
            <v>2</v>
          </cell>
          <cell r="AI17">
            <v>1000000</v>
          </cell>
          <cell r="AJ17">
            <v>-40</v>
          </cell>
          <cell r="AK17">
            <v>0.27</v>
          </cell>
          <cell r="AL17">
            <v>2</v>
          </cell>
          <cell r="AM17">
            <v>1000000</v>
          </cell>
          <cell r="AN17">
            <v>-30</v>
          </cell>
          <cell r="AO17">
            <v>0.27</v>
          </cell>
          <cell r="AP17">
            <v>2</v>
          </cell>
          <cell r="AQ17">
            <v>1000000</v>
          </cell>
          <cell r="AR17">
            <v>-20</v>
          </cell>
          <cell r="AS17">
            <v>0.28000000000000003</v>
          </cell>
          <cell r="AT17">
            <v>2</v>
          </cell>
          <cell r="AU17">
            <v>1000000</v>
          </cell>
          <cell r="AV17">
            <v>-10</v>
          </cell>
          <cell r="AW17">
            <v>0.28000000000000003</v>
          </cell>
          <cell r="AX17">
            <v>2</v>
          </cell>
          <cell r="AY17">
            <v>1000000</v>
          </cell>
          <cell r="AZ17">
            <v>0</v>
          </cell>
          <cell r="BA17">
            <v>0.28000000000000003</v>
          </cell>
          <cell r="BB17">
            <v>2</v>
          </cell>
          <cell r="BC17">
            <v>1000000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</row>
        <row r="18">
          <cell r="A18">
            <v>13</v>
          </cell>
          <cell r="B18" t="str">
            <v>EL-194</v>
          </cell>
          <cell r="C18" t="str">
            <v>Higrômetro de Ponto de Orvalho</v>
          </cell>
          <cell r="D18" t="str">
            <v>-</v>
          </cell>
          <cell r="E18" t="str">
            <v>Elus</v>
          </cell>
          <cell r="F18" t="str">
            <v>RBC - CAL 0439</v>
          </cell>
          <cell r="G18" t="str">
            <v>R0124/22</v>
          </cell>
          <cell r="H18">
            <v>44607</v>
          </cell>
          <cell r="I18">
            <v>44985</v>
          </cell>
          <cell r="J18" t="str">
            <v>°CTd/f</v>
          </cell>
          <cell r="K18">
            <v>-60</v>
          </cell>
          <cell r="L18">
            <v>0</v>
          </cell>
          <cell r="M18">
            <v>0.01</v>
          </cell>
          <cell r="N18">
            <v>1.61</v>
          </cell>
          <cell r="O18">
            <v>0.28000000000000003</v>
          </cell>
          <cell r="P18">
            <v>1.3800000000000001</v>
          </cell>
          <cell r="Q18">
            <v>5.7078710338287708E-2</v>
          </cell>
          <cell r="R18">
            <v>5</v>
          </cell>
          <cell r="S18">
            <v>0</v>
          </cell>
          <cell r="T18">
            <v>0</v>
          </cell>
          <cell r="U18">
            <v>0</v>
          </cell>
          <cell r="V18">
            <v>4.2761370987454003E-8</v>
          </cell>
          <cell r="W18">
            <v>6.1182783721849177E-6</v>
          </cell>
          <cell r="X18">
            <v>2.7051697492641835E-4</v>
          </cell>
          <cell r="Y18">
            <v>3.4929307343563839E-3</v>
          </cell>
          <cell r="Z18">
            <v>0.98551427756820997</v>
          </cell>
          <cell r="AA18">
            <v>-1.5951148735383649</v>
          </cell>
          <cell r="AB18">
            <v>-60</v>
          </cell>
          <cell r="AC18">
            <v>0.28000000000000003</v>
          </cell>
          <cell r="AD18">
            <v>2</v>
          </cell>
          <cell r="AE18">
            <v>1000000</v>
          </cell>
          <cell r="AF18">
            <v>-50</v>
          </cell>
          <cell r="AG18">
            <v>0.28000000000000003</v>
          </cell>
          <cell r="AH18">
            <v>2</v>
          </cell>
          <cell r="AI18">
            <v>1000000</v>
          </cell>
          <cell r="AJ18">
            <v>-40</v>
          </cell>
          <cell r="AK18">
            <v>0.28000000000000003</v>
          </cell>
          <cell r="AL18">
            <v>2</v>
          </cell>
          <cell r="AM18">
            <v>1000000</v>
          </cell>
          <cell r="AN18">
            <v>-30</v>
          </cell>
          <cell r="AO18">
            <v>0.28000000000000003</v>
          </cell>
          <cell r="AP18">
            <v>2</v>
          </cell>
          <cell r="AQ18">
            <v>1000000</v>
          </cell>
          <cell r="AR18">
            <v>-20</v>
          </cell>
          <cell r="AS18">
            <v>0.24</v>
          </cell>
          <cell r="AT18">
            <v>2</v>
          </cell>
          <cell r="AU18">
            <v>1000000</v>
          </cell>
          <cell r="AV18">
            <v>-10</v>
          </cell>
          <cell r="AW18">
            <v>0.24</v>
          </cell>
          <cell r="AX18">
            <v>2</v>
          </cell>
          <cell r="AY18">
            <v>1000000</v>
          </cell>
          <cell r="AZ18">
            <v>0</v>
          </cell>
          <cell r="BA18">
            <v>0.24</v>
          </cell>
          <cell r="BB18">
            <v>2</v>
          </cell>
          <cell r="BC18">
            <v>1000000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</row>
        <row r="19">
          <cell r="A19">
            <v>14</v>
          </cell>
          <cell r="B19" t="str">
            <v>-</v>
          </cell>
          <cell r="C19" t="str">
            <v>-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-</v>
          </cell>
          <cell r="O19" t="str">
            <v>-</v>
          </cell>
          <cell r="P19" t="str">
            <v>-</v>
          </cell>
          <cell r="Q19" t="str">
            <v>-</v>
          </cell>
          <cell r="R19" t="str">
            <v>-</v>
          </cell>
          <cell r="S19" t="str">
            <v>-</v>
          </cell>
          <cell r="T19" t="str">
            <v>-</v>
          </cell>
          <cell r="U19" t="str">
            <v>-</v>
          </cell>
          <cell r="V19" t="str">
            <v>-</v>
          </cell>
          <cell r="W19" t="str">
            <v>-</v>
          </cell>
          <cell r="X19" t="str">
            <v>-</v>
          </cell>
          <cell r="Y19" t="str">
            <v>-</v>
          </cell>
          <cell r="Z19" t="str">
            <v>-</v>
          </cell>
          <cell r="AA19" t="str">
            <v>-</v>
          </cell>
          <cell r="AB19" t="str">
            <v>-</v>
          </cell>
          <cell r="AC19" t="str">
            <v>-</v>
          </cell>
          <cell r="AD19" t="str">
            <v>-</v>
          </cell>
          <cell r="AE19" t="str">
            <v>-</v>
          </cell>
          <cell r="AF19" t="str">
            <v>-</v>
          </cell>
          <cell r="AG19" t="str">
            <v>-</v>
          </cell>
          <cell r="AH19" t="str">
            <v>-</v>
          </cell>
          <cell r="AI19" t="str">
            <v>-</v>
          </cell>
          <cell r="AJ19" t="str">
            <v>-</v>
          </cell>
          <cell r="AK19" t="str">
            <v>-</v>
          </cell>
          <cell r="AL19" t="str">
            <v>-</v>
          </cell>
          <cell r="AM19" t="str">
            <v>-</v>
          </cell>
          <cell r="AN19" t="str">
            <v>-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-</v>
          </cell>
          <cell r="AY19" t="str">
            <v>-</v>
          </cell>
          <cell r="AZ19" t="str">
            <v>-</v>
          </cell>
          <cell r="BA19" t="str">
            <v>-</v>
          </cell>
          <cell r="BB19" t="str">
            <v>-</v>
          </cell>
          <cell r="BC19" t="str">
            <v>-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</row>
        <row r="20">
          <cell r="A20">
            <v>15</v>
          </cell>
          <cell r="B20" t="str">
            <v>EL-2151</v>
          </cell>
          <cell r="C20" t="str">
            <v>Termohigrômetro Digital</v>
          </cell>
          <cell r="D20">
            <v>20</v>
          </cell>
          <cell r="E20" t="str">
            <v>Elus</v>
          </cell>
          <cell r="F20" t="str">
            <v>RBC - CAL 0439</v>
          </cell>
          <cell r="G20" t="str">
            <v>E15366/23</v>
          </cell>
          <cell r="H20">
            <v>45260</v>
          </cell>
          <cell r="I20">
            <v>45442</v>
          </cell>
          <cell r="J20" t="str">
            <v>%ur</v>
          </cell>
          <cell r="K20">
            <v>5</v>
          </cell>
          <cell r="L20">
            <v>97.98</v>
          </cell>
          <cell r="M20">
            <v>0.01</v>
          </cell>
          <cell r="N20">
            <v>0.44999999999999929</v>
          </cell>
          <cell r="O20">
            <v>0.93</v>
          </cell>
          <cell r="P20">
            <v>0.35</v>
          </cell>
          <cell r="Q20">
            <v>2.2692871885138466E-2</v>
          </cell>
          <cell r="R20">
            <v>4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-1.8536148923327379E-7</v>
          </cell>
          <cell r="X20">
            <v>3.9755305544744543E-5</v>
          </cell>
          <cell r="Y20">
            <v>-2.6740613243078073E-3</v>
          </cell>
          <cell r="Z20">
            <v>1.0580605849540461</v>
          </cell>
          <cell r="AA20">
            <v>5.3549522681626271E-2</v>
          </cell>
          <cell r="AB20">
            <v>5</v>
          </cell>
          <cell r="AC20">
            <v>0.25</v>
          </cell>
          <cell r="AD20">
            <v>2</v>
          </cell>
          <cell r="AE20">
            <v>1000000</v>
          </cell>
          <cell r="AF20">
            <v>19.989999999999998</v>
          </cell>
          <cell r="AG20">
            <v>0.26</v>
          </cell>
          <cell r="AH20">
            <v>2</v>
          </cell>
          <cell r="AI20">
            <v>1000000</v>
          </cell>
          <cell r="AJ20">
            <v>30</v>
          </cell>
          <cell r="AK20">
            <v>0.33</v>
          </cell>
          <cell r="AL20">
            <v>2</v>
          </cell>
          <cell r="AM20">
            <v>1000000</v>
          </cell>
          <cell r="AN20">
            <v>49.99</v>
          </cell>
          <cell r="AO20">
            <v>0.51</v>
          </cell>
          <cell r="AP20">
            <v>2</v>
          </cell>
          <cell r="AQ20">
            <v>1000000</v>
          </cell>
          <cell r="AR20">
            <v>80.03</v>
          </cell>
          <cell r="AS20">
            <v>0.78</v>
          </cell>
          <cell r="AT20">
            <v>2</v>
          </cell>
          <cell r="AU20">
            <v>1000000</v>
          </cell>
          <cell r="AV20">
            <v>97.98</v>
          </cell>
          <cell r="AW20">
            <v>0.93</v>
          </cell>
          <cell r="AX20">
            <v>2</v>
          </cell>
          <cell r="AY20">
            <v>1000000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</row>
        <row r="21">
          <cell r="A21">
            <v>16</v>
          </cell>
          <cell r="B21" t="str">
            <v>EL-2151</v>
          </cell>
          <cell r="C21" t="str">
            <v>Termohigrômetro Digital</v>
          </cell>
          <cell r="D21">
            <v>25</v>
          </cell>
          <cell r="E21" t="str">
            <v>Elus</v>
          </cell>
          <cell r="F21" t="str">
            <v>RBC - CAL 0439</v>
          </cell>
          <cell r="G21" t="str">
            <v>E15366/23</v>
          </cell>
          <cell r="H21">
            <v>45260</v>
          </cell>
          <cell r="I21">
            <v>45442</v>
          </cell>
          <cell r="J21" t="str">
            <v>%ur</v>
          </cell>
          <cell r="K21">
            <v>5.01</v>
          </cell>
          <cell r="L21">
            <v>97.99</v>
          </cell>
          <cell r="M21">
            <v>0.01</v>
          </cell>
          <cell r="N21">
            <v>0.67000000000000171</v>
          </cell>
          <cell r="O21">
            <v>0.84</v>
          </cell>
          <cell r="P21">
            <v>0.46000000000000441</v>
          </cell>
          <cell r="Q21">
            <v>0.11959927046829599</v>
          </cell>
          <cell r="R21">
            <v>4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-5.618841914387737E-9</v>
          </cell>
          <cell r="X21">
            <v>3.3224469686809301E-6</v>
          </cell>
          <cell r="Y21">
            <v>-4.0961354675490152E-4</v>
          </cell>
          <cell r="Z21">
            <v>1.0186688120158724</v>
          </cell>
          <cell r="AA21">
            <v>0.17775750073295152</v>
          </cell>
          <cell r="AB21">
            <v>5.01</v>
          </cell>
          <cell r="AC21">
            <v>0.25</v>
          </cell>
          <cell r="AD21">
            <v>2</v>
          </cell>
          <cell r="AE21">
            <v>1000000</v>
          </cell>
          <cell r="AF21">
            <v>19.989999999999998</v>
          </cell>
          <cell r="AG21">
            <v>0.25</v>
          </cell>
          <cell r="AH21">
            <v>2</v>
          </cell>
          <cell r="AI21">
            <v>1000000</v>
          </cell>
          <cell r="AJ21">
            <v>30.01</v>
          </cell>
          <cell r="AK21">
            <v>0.32</v>
          </cell>
          <cell r="AL21">
            <v>2</v>
          </cell>
          <cell r="AM21">
            <v>1000000</v>
          </cell>
          <cell r="AN21">
            <v>50.01</v>
          </cell>
          <cell r="AO21">
            <v>0.5</v>
          </cell>
          <cell r="AP21">
            <v>2</v>
          </cell>
          <cell r="AQ21">
            <v>1000000</v>
          </cell>
          <cell r="AR21">
            <v>80.010000000000005</v>
          </cell>
          <cell r="AS21">
            <v>0.75</v>
          </cell>
          <cell r="AT21">
            <v>2</v>
          </cell>
          <cell r="AU21">
            <v>1000000</v>
          </cell>
          <cell r="AV21">
            <v>97.99</v>
          </cell>
          <cell r="AW21">
            <v>0.84</v>
          </cell>
          <cell r="AX21">
            <v>2</v>
          </cell>
          <cell r="AY21">
            <v>1000000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</row>
        <row r="22">
          <cell r="A22">
            <v>17</v>
          </cell>
          <cell r="B22" t="str">
            <v>-</v>
          </cell>
          <cell r="C22" t="str">
            <v>-</v>
          </cell>
          <cell r="D22" t="str">
            <v>-</v>
          </cell>
          <cell r="E22" t="str">
            <v>-</v>
          </cell>
          <cell r="F22" t="str">
            <v>-</v>
          </cell>
          <cell r="G22" t="str">
            <v>-</v>
          </cell>
          <cell r="H22" t="str">
            <v>-</v>
          </cell>
          <cell r="I22" t="str">
            <v>-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P22" t="str">
            <v>-</v>
          </cell>
          <cell r="Q22" t="str">
            <v>-</v>
          </cell>
          <cell r="R22" t="str">
            <v>-</v>
          </cell>
          <cell r="S22" t="str">
            <v>-</v>
          </cell>
          <cell r="T22" t="str">
            <v>-</v>
          </cell>
          <cell r="U22" t="str">
            <v>-</v>
          </cell>
          <cell r="V22" t="str">
            <v>-</v>
          </cell>
          <cell r="W22" t="str">
            <v>-</v>
          </cell>
          <cell r="X22" t="str">
            <v>-</v>
          </cell>
          <cell r="Y22" t="str">
            <v>-</v>
          </cell>
          <cell r="Z22" t="str">
            <v>-</v>
          </cell>
          <cell r="AA22" t="str">
            <v>-</v>
          </cell>
          <cell r="AB22" t="str">
            <v>-</v>
          </cell>
          <cell r="AC22" t="str">
            <v>-</v>
          </cell>
          <cell r="AD22" t="str">
            <v>-</v>
          </cell>
          <cell r="AE22" t="str">
            <v>-</v>
          </cell>
          <cell r="AF22" t="str">
            <v>-</v>
          </cell>
          <cell r="AG22" t="str">
            <v>-</v>
          </cell>
          <cell r="AH22" t="str">
            <v>-</v>
          </cell>
          <cell r="AI22" t="str">
            <v>-</v>
          </cell>
          <cell r="AJ22" t="str">
            <v>-</v>
          </cell>
          <cell r="AK22" t="str">
            <v>-</v>
          </cell>
          <cell r="AL22" t="str">
            <v>-</v>
          </cell>
          <cell r="AM22" t="str">
            <v>-</v>
          </cell>
          <cell r="AN22" t="str">
            <v>-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</row>
        <row r="23">
          <cell r="A23">
            <v>18</v>
          </cell>
          <cell r="B23" t="str">
            <v>E. TH.LT-007</v>
          </cell>
          <cell r="C23" t="str">
            <v>Termohigrômetro Digital</v>
          </cell>
          <cell r="D23">
            <v>20</v>
          </cell>
          <cell r="E23" t="str">
            <v>Elus</v>
          </cell>
          <cell r="F23" t="str">
            <v>RBC - CAL 0439</v>
          </cell>
          <cell r="G23" t="str">
            <v>E0844/25</v>
          </cell>
          <cell r="H23">
            <v>45989</v>
          </cell>
          <cell r="I23">
            <v>46170</v>
          </cell>
          <cell r="J23" t="str">
            <v>%ur</v>
          </cell>
          <cell r="K23">
            <v>5.01</v>
          </cell>
          <cell r="L23">
            <v>97.96</v>
          </cell>
          <cell r="M23">
            <v>0.01</v>
          </cell>
          <cell r="N23">
            <v>2.7299999999999898</v>
          </cell>
          <cell r="O23">
            <v>0.99</v>
          </cell>
          <cell r="P23">
            <v>2.5299999999999869</v>
          </cell>
          <cell r="Q23">
            <v>0.22177973826064212</v>
          </cell>
          <cell r="R23">
            <v>4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-2.8337796885863479E-7</v>
          </cell>
          <cell r="X23">
            <v>4.5898195795382721E-5</v>
          </cell>
          <cell r="Y23">
            <v>-1.3065328712094019E-3</v>
          </cell>
          <cell r="Z23">
            <v>0.97479228674402874</v>
          </cell>
          <cell r="AA23">
            <v>0.63869411428818434</v>
          </cell>
          <cell r="AB23">
            <v>5.01</v>
          </cell>
          <cell r="AC23">
            <v>0.25</v>
          </cell>
          <cell r="AD23">
            <v>2.0299999999999998</v>
          </cell>
          <cell r="AE23">
            <v>87</v>
          </cell>
          <cell r="AF23">
            <v>20.010000000000002</v>
          </cell>
          <cell r="AG23">
            <v>0.27</v>
          </cell>
          <cell r="AH23">
            <v>2.04</v>
          </cell>
          <cell r="AI23">
            <v>65</v>
          </cell>
          <cell r="AJ23">
            <v>29.99</v>
          </cell>
          <cell r="AK23">
            <v>0.35</v>
          </cell>
          <cell r="AL23">
            <v>2.04</v>
          </cell>
          <cell r="AM23">
            <v>67</v>
          </cell>
          <cell r="AN23">
            <v>50.01</v>
          </cell>
          <cell r="AO23">
            <v>0.55000000000000004</v>
          </cell>
          <cell r="AP23">
            <v>2.04</v>
          </cell>
          <cell r="AQ23">
            <v>67</v>
          </cell>
          <cell r="AR23">
            <v>80.010000000000005</v>
          </cell>
          <cell r="AS23">
            <v>0.83</v>
          </cell>
          <cell r="AT23">
            <v>2.04</v>
          </cell>
          <cell r="AU23">
            <v>68</v>
          </cell>
          <cell r="AV23">
            <v>97.96</v>
          </cell>
          <cell r="AW23">
            <v>0.99</v>
          </cell>
          <cell r="AX23">
            <v>2.04</v>
          </cell>
          <cell r="AY23">
            <v>68</v>
          </cell>
          <cell r="AZ23" t="str">
            <v>-</v>
          </cell>
          <cell r="BA23" t="str">
            <v>-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</row>
        <row r="24">
          <cell r="A24">
            <v>19</v>
          </cell>
          <cell r="B24" t="str">
            <v>E. TH.LT-007</v>
          </cell>
          <cell r="C24" t="str">
            <v>Termohigrômetro Digital</v>
          </cell>
          <cell r="D24">
            <v>25</v>
          </cell>
          <cell r="E24" t="str">
            <v>Elus</v>
          </cell>
          <cell r="F24" t="str">
            <v>RBC - CAL 0439</v>
          </cell>
          <cell r="G24" t="str">
            <v>E0844/25</v>
          </cell>
          <cell r="H24">
            <v>45989</v>
          </cell>
          <cell r="I24">
            <v>46170</v>
          </cell>
          <cell r="J24" t="str">
            <v>%ur</v>
          </cell>
          <cell r="K24">
            <v>5.01</v>
          </cell>
          <cell r="L24">
            <v>97.97</v>
          </cell>
          <cell r="M24">
            <v>0.01</v>
          </cell>
          <cell r="N24">
            <v>2.4299999999999926</v>
          </cell>
          <cell r="O24">
            <v>0.93</v>
          </cell>
          <cell r="P24">
            <v>2.5299999999999869</v>
          </cell>
          <cell r="Q24">
            <v>0.21999928713900863</v>
          </cell>
          <cell r="R24">
            <v>4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-1.2783919580699958E-7</v>
          </cell>
          <cell r="X24">
            <v>2.2545503696244692E-5</v>
          </cell>
          <cell r="Y24">
            <v>-4.4488065481288169E-4</v>
          </cell>
          <cell r="Z24">
            <v>0.96950637927180283</v>
          </cell>
          <cell r="AA24">
            <v>0.38627791339066864</v>
          </cell>
          <cell r="AB24">
            <v>5.01</v>
          </cell>
          <cell r="AC24">
            <v>0.25</v>
          </cell>
          <cell r="AD24">
            <v>2.0299999999999998</v>
          </cell>
          <cell r="AE24">
            <v>87</v>
          </cell>
          <cell r="AF24">
            <v>19.989999999999998</v>
          </cell>
          <cell r="AG24">
            <v>0.25</v>
          </cell>
          <cell r="AH24">
            <v>2.04</v>
          </cell>
          <cell r="AI24">
            <v>66</v>
          </cell>
          <cell r="AJ24">
            <v>30.01</v>
          </cell>
          <cell r="AK24">
            <v>0.33</v>
          </cell>
          <cell r="AL24">
            <v>2.04</v>
          </cell>
          <cell r="AM24">
            <v>67</v>
          </cell>
          <cell r="AN24">
            <v>50</v>
          </cell>
          <cell r="AO24">
            <v>0.53</v>
          </cell>
          <cell r="AP24">
            <v>2.04</v>
          </cell>
          <cell r="AQ24">
            <v>67</v>
          </cell>
          <cell r="AR24">
            <v>79.989999999999995</v>
          </cell>
          <cell r="AS24">
            <v>0.8</v>
          </cell>
          <cell r="AT24">
            <v>2.04</v>
          </cell>
          <cell r="AU24">
            <v>68</v>
          </cell>
          <cell r="AV24">
            <v>97.97</v>
          </cell>
          <cell r="AW24">
            <v>0.93</v>
          </cell>
          <cell r="AX24">
            <v>2.04</v>
          </cell>
          <cell r="AY24">
            <v>62</v>
          </cell>
          <cell r="AZ24" t="str">
            <v>-</v>
          </cell>
          <cell r="BA24" t="str">
            <v>-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</row>
        <row r="25">
          <cell r="A25">
            <v>20</v>
          </cell>
          <cell r="B25" t="str">
            <v>E.TH.LT-003</v>
          </cell>
          <cell r="C25" t="str">
            <v>Termohigrômetro Digital</v>
          </cell>
          <cell r="D25">
            <v>20</v>
          </cell>
          <cell r="E25" t="str">
            <v>Elus</v>
          </cell>
          <cell r="F25" t="str">
            <v>RBC - CAL 0439</v>
          </cell>
          <cell r="G25" t="str">
            <v>E0841/25</v>
          </cell>
          <cell r="H25">
            <v>45989</v>
          </cell>
          <cell r="I25">
            <v>46170</v>
          </cell>
          <cell r="J25" t="str">
            <v>%ur</v>
          </cell>
          <cell r="K25">
            <v>5.01</v>
          </cell>
          <cell r="L25">
            <v>97.96</v>
          </cell>
          <cell r="M25">
            <v>0.01</v>
          </cell>
          <cell r="N25">
            <v>1.6999999999999997</v>
          </cell>
          <cell r="O25">
            <v>0.99</v>
          </cell>
          <cell r="P25">
            <v>2.6300000000000097</v>
          </cell>
          <cell r="Q25">
            <v>7.5553382360745935E-2</v>
          </cell>
          <cell r="R25">
            <v>4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-6.1657638006849323E-7</v>
          </cell>
          <cell r="X25">
            <v>1.0721522138606558E-4</v>
          </cell>
          <cell r="Y25">
            <v>-4.6163873813914874E-3</v>
          </cell>
          <cell r="Z25">
            <v>0.98034711700844934</v>
          </cell>
          <cell r="AA25">
            <v>1.8191509687854897</v>
          </cell>
          <cell r="AB25">
            <v>5.01</v>
          </cell>
          <cell r="AC25">
            <v>0.25</v>
          </cell>
          <cell r="AD25">
            <v>2.0299999999999998</v>
          </cell>
          <cell r="AE25">
            <v>87</v>
          </cell>
          <cell r="AF25">
            <v>20.010000000000002</v>
          </cell>
          <cell r="AG25">
            <v>0.27</v>
          </cell>
          <cell r="AH25">
            <v>2.04</v>
          </cell>
          <cell r="AI25">
            <v>65</v>
          </cell>
          <cell r="AJ25">
            <v>29.99</v>
          </cell>
          <cell r="AK25">
            <v>0.35</v>
          </cell>
          <cell r="AL25">
            <v>2.04</v>
          </cell>
          <cell r="AM25">
            <v>67</v>
          </cell>
          <cell r="AN25">
            <v>50.01</v>
          </cell>
          <cell r="AO25">
            <v>0.55000000000000004</v>
          </cell>
          <cell r="AP25">
            <v>2.04</v>
          </cell>
          <cell r="AQ25">
            <v>67</v>
          </cell>
          <cell r="AR25">
            <v>80.010000000000005</v>
          </cell>
          <cell r="AS25">
            <v>0.83</v>
          </cell>
          <cell r="AT25">
            <v>2.04</v>
          </cell>
          <cell r="AU25">
            <v>68</v>
          </cell>
          <cell r="AV25">
            <v>97.96</v>
          </cell>
          <cell r="AW25">
            <v>0.99</v>
          </cell>
          <cell r="AX25">
            <v>2.04</v>
          </cell>
          <cell r="AY25">
            <v>68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</row>
        <row r="26">
          <cell r="A26">
            <v>21</v>
          </cell>
          <cell r="B26" t="str">
            <v>E.TH.LT-003</v>
          </cell>
          <cell r="C26" t="str">
            <v>Termohigrômetro Digital</v>
          </cell>
          <cell r="D26">
            <v>25</v>
          </cell>
          <cell r="E26" t="str">
            <v>Elus</v>
          </cell>
          <cell r="F26" t="str">
            <v>RBC - CAL 0439</v>
          </cell>
          <cell r="G26" t="str">
            <v>E0841/25</v>
          </cell>
          <cell r="H26">
            <v>45989</v>
          </cell>
          <cell r="I26">
            <v>46170</v>
          </cell>
          <cell r="J26" t="str">
            <v>%ur</v>
          </cell>
          <cell r="K26">
            <v>5.01</v>
          </cell>
          <cell r="L26">
            <v>97.97</v>
          </cell>
          <cell r="M26">
            <v>0.01</v>
          </cell>
          <cell r="N26">
            <v>1.8800000000000026</v>
          </cell>
          <cell r="O26">
            <v>0.93</v>
          </cell>
          <cell r="P26">
            <v>2.1299999999999955</v>
          </cell>
          <cell r="Q26">
            <v>1.925309815391385E-2</v>
          </cell>
          <cell r="R26">
            <v>4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-4.4729325471197262E-7</v>
          </cell>
          <cell r="X26">
            <v>7.9795887463132229E-5</v>
          </cell>
          <cell r="Y26">
            <v>-3.4503456772005006E-3</v>
          </cell>
          <cell r="Z26">
            <v>0.96083562112748744</v>
          </cell>
          <cell r="AA26">
            <v>1.5432394476313807</v>
          </cell>
          <cell r="AB26">
            <v>5.01</v>
          </cell>
          <cell r="AC26">
            <v>0.25</v>
          </cell>
          <cell r="AD26">
            <v>2.0299999999999998</v>
          </cell>
          <cell r="AE26">
            <v>87</v>
          </cell>
          <cell r="AF26">
            <v>19.989999999999998</v>
          </cell>
          <cell r="AG26">
            <v>0.25</v>
          </cell>
          <cell r="AH26">
            <v>2.04</v>
          </cell>
          <cell r="AI26">
            <v>66</v>
          </cell>
          <cell r="AJ26">
            <v>30.01</v>
          </cell>
          <cell r="AK26">
            <v>0.33</v>
          </cell>
          <cell r="AL26">
            <v>2.04</v>
          </cell>
          <cell r="AM26">
            <v>67</v>
          </cell>
          <cell r="AN26">
            <v>50</v>
          </cell>
          <cell r="AO26">
            <v>0.53</v>
          </cell>
          <cell r="AP26">
            <v>2.04</v>
          </cell>
          <cell r="AQ26">
            <v>67</v>
          </cell>
          <cell r="AR26">
            <v>79.989999999999995</v>
          </cell>
          <cell r="AS26">
            <v>0.8</v>
          </cell>
          <cell r="AT26">
            <v>2.04</v>
          </cell>
          <cell r="AU26">
            <v>68</v>
          </cell>
          <cell r="AV26">
            <v>97.97</v>
          </cell>
          <cell r="AW26">
            <v>0.93</v>
          </cell>
          <cell r="AX26">
            <v>2.04</v>
          </cell>
          <cell r="AY26">
            <v>62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 t="str">
            <v>-</v>
          </cell>
        </row>
        <row r="27">
          <cell r="A27">
            <v>22</v>
          </cell>
          <cell r="B27" t="str">
            <v>E.TH.LT-004</v>
          </cell>
          <cell r="C27" t="str">
            <v>Termohigrômetro Digital</v>
          </cell>
          <cell r="D27">
            <v>20</v>
          </cell>
          <cell r="E27" t="str">
            <v>Elus</v>
          </cell>
          <cell r="F27" t="str">
            <v>RBC - CAL 0439</v>
          </cell>
          <cell r="G27" t="str">
            <v>E0842/25</v>
          </cell>
          <cell r="H27">
            <v>45989</v>
          </cell>
          <cell r="I27">
            <v>46170</v>
          </cell>
          <cell r="J27" t="str">
            <v>%ur</v>
          </cell>
          <cell r="K27">
            <v>5.01</v>
          </cell>
          <cell r="L27">
            <v>97.96</v>
          </cell>
          <cell r="M27">
            <v>0.01</v>
          </cell>
          <cell r="N27">
            <v>0.30999999999999961</v>
          </cell>
          <cell r="O27">
            <v>0.99</v>
          </cell>
          <cell r="P27">
            <v>1.0299999999999994</v>
          </cell>
          <cell r="Q27">
            <v>0.13980681469748757</v>
          </cell>
          <cell r="R27">
            <v>4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-1.4963099310116342E-7</v>
          </cell>
          <cell r="X27">
            <v>2.6768492542525556E-5</v>
          </cell>
          <cell r="Y27">
            <v>-1.3173342497126853E-3</v>
          </cell>
          <cell r="Z27">
            <v>1.0104904504086749</v>
          </cell>
          <cell r="AA27">
            <v>0.30188949023926348</v>
          </cell>
          <cell r="AB27">
            <v>5.01</v>
          </cell>
          <cell r="AC27">
            <v>0.25</v>
          </cell>
          <cell r="AD27">
            <v>2.0299999999999998</v>
          </cell>
          <cell r="AE27">
            <v>87</v>
          </cell>
          <cell r="AF27">
            <v>20.010000000000002</v>
          </cell>
          <cell r="AG27">
            <v>0.27</v>
          </cell>
          <cell r="AH27">
            <v>2.04</v>
          </cell>
          <cell r="AI27">
            <v>65</v>
          </cell>
          <cell r="AJ27">
            <v>29.99</v>
          </cell>
          <cell r="AK27">
            <v>0.35</v>
          </cell>
          <cell r="AL27">
            <v>2.04</v>
          </cell>
          <cell r="AM27">
            <v>67</v>
          </cell>
          <cell r="AN27">
            <v>50.01</v>
          </cell>
          <cell r="AO27">
            <v>0.55000000000000004</v>
          </cell>
          <cell r="AP27">
            <v>2.04</v>
          </cell>
          <cell r="AQ27">
            <v>67</v>
          </cell>
          <cell r="AR27">
            <v>80.010000000000005</v>
          </cell>
          <cell r="AS27">
            <v>0.83</v>
          </cell>
          <cell r="AT27">
            <v>2.04</v>
          </cell>
          <cell r="AU27">
            <v>68</v>
          </cell>
          <cell r="AV27">
            <v>97.96</v>
          </cell>
          <cell r="AW27">
            <v>0.99</v>
          </cell>
          <cell r="AX27">
            <v>2.04</v>
          </cell>
          <cell r="AY27">
            <v>68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 t="str">
            <v>-</v>
          </cell>
        </row>
        <row r="28">
          <cell r="A28">
            <v>23</v>
          </cell>
          <cell r="B28" t="str">
            <v>E.TH.LT-004</v>
          </cell>
          <cell r="C28" t="str">
            <v>Termohigrômetro Digital</v>
          </cell>
          <cell r="D28">
            <v>25</v>
          </cell>
          <cell r="E28" t="str">
            <v>Elus</v>
          </cell>
          <cell r="F28" t="str">
            <v>RBC - CAL 0439</v>
          </cell>
          <cell r="G28" t="str">
            <v>E0842/25</v>
          </cell>
          <cell r="H28">
            <v>45989</v>
          </cell>
          <cell r="I28">
            <v>46170</v>
          </cell>
          <cell r="J28" t="str">
            <v>%ur</v>
          </cell>
          <cell r="K28">
            <v>5.01</v>
          </cell>
          <cell r="L28">
            <v>97.97</v>
          </cell>
          <cell r="M28">
            <v>0.01</v>
          </cell>
          <cell r="N28">
            <v>0.84000000000000341</v>
          </cell>
          <cell r="O28">
            <v>0.93</v>
          </cell>
          <cell r="P28">
            <v>0.62999999999999545</v>
          </cell>
          <cell r="Q28">
            <v>2.5899429639532956E-2</v>
          </cell>
          <cell r="R28">
            <v>4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-4.5222785762450773E-8</v>
          </cell>
          <cell r="X28">
            <v>7.2491089531375687E-6</v>
          </cell>
          <cell r="Y28">
            <v>-2.7489094108629447E-4</v>
          </cell>
          <cell r="Z28">
            <v>0.99155894599953109</v>
          </cell>
          <cell r="AA28">
            <v>-3.8661068307817015E-3</v>
          </cell>
          <cell r="AB28">
            <v>5.01</v>
          </cell>
          <cell r="AC28">
            <v>0.25</v>
          </cell>
          <cell r="AD28">
            <v>2.0299999999999998</v>
          </cell>
          <cell r="AE28">
            <v>87</v>
          </cell>
          <cell r="AF28">
            <v>19.989999999999998</v>
          </cell>
          <cell r="AG28">
            <v>0.25</v>
          </cell>
          <cell r="AH28">
            <v>2.04</v>
          </cell>
          <cell r="AI28">
            <v>66</v>
          </cell>
          <cell r="AJ28">
            <v>30.01</v>
          </cell>
          <cell r="AK28">
            <v>0.33</v>
          </cell>
          <cell r="AL28">
            <v>2.04</v>
          </cell>
          <cell r="AM28">
            <v>67</v>
          </cell>
          <cell r="AN28">
            <v>50</v>
          </cell>
          <cell r="AO28">
            <v>0.53</v>
          </cell>
          <cell r="AP28">
            <v>2.04</v>
          </cell>
          <cell r="AQ28">
            <v>67</v>
          </cell>
          <cell r="AR28">
            <v>79.989999999999995</v>
          </cell>
          <cell r="AS28">
            <v>0.8</v>
          </cell>
          <cell r="AT28">
            <v>2.04</v>
          </cell>
          <cell r="AU28">
            <v>68</v>
          </cell>
          <cell r="AV28">
            <v>97.97</v>
          </cell>
          <cell r="AW28">
            <v>0.93</v>
          </cell>
          <cell r="AX28">
            <v>2.04</v>
          </cell>
          <cell r="AY28">
            <v>62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 t="str">
            <v>-</v>
          </cell>
        </row>
        <row r="29">
          <cell r="A29">
            <v>24</v>
          </cell>
          <cell r="B29" t="str">
            <v>E.TH.LT-001</v>
          </cell>
          <cell r="C29" t="str">
            <v>Termohigrômetro Digital</v>
          </cell>
          <cell r="D29">
            <v>20</v>
          </cell>
          <cell r="E29" t="str">
            <v>Elus</v>
          </cell>
          <cell r="F29" t="str">
            <v>RBC - CAL 0439</v>
          </cell>
          <cell r="G29" t="str">
            <v>E0839/25</v>
          </cell>
          <cell r="H29">
            <v>45989</v>
          </cell>
          <cell r="I29">
            <v>46170</v>
          </cell>
          <cell r="J29" t="str">
            <v>%ur</v>
          </cell>
          <cell r="K29">
            <v>5.01</v>
          </cell>
          <cell r="L29">
            <v>97.96</v>
          </cell>
          <cell r="M29">
            <v>0.01</v>
          </cell>
          <cell r="N29">
            <v>0.95000000000000284</v>
          </cell>
          <cell r="O29">
            <v>0.99</v>
          </cell>
          <cell r="P29">
            <v>0.30999999999999961</v>
          </cell>
          <cell r="Q29">
            <v>1.5460496848378469E-2</v>
          </cell>
          <cell r="R29">
            <v>4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-2.7897444063811873E-8</v>
          </cell>
          <cell r="X29">
            <v>5.44214386578084E-6</v>
          </cell>
          <cell r="Y29">
            <v>-3.1646347748226511E-4</v>
          </cell>
          <cell r="Z29">
            <v>0.99743817754209185</v>
          </cell>
          <cell r="AA29">
            <v>-0.1970735968230678</v>
          </cell>
          <cell r="AB29">
            <v>5.01</v>
          </cell>
          <cell r="AC29">
            <v>0.25</v>
          </cell>
          <cell r="AD29">
            <v>2.0299999999999998</v>
          </cell>
          <cell r="AE29">
            <v>87</v>
          </cell>
          <cell r="AF29">
            <v>20.010000000000002</v>
          </cell>
          <cell r="AG29">
            <v>0.27</v>
          </cell>
          <cell r="AH29">
            <v>2.04</v>
          </cell>
          <cell r="AI29">
            <v>65</v>
          </cell>
          <cell r="AJ29">
            <v>29.99</v>
          </cell>
          <cell r="AK29">
            <v>0.35</v>
          </cell>
          <cell r="AL29">
            <v>2.04</v>
          </cell>
          <cell r="AM29">
            <v>67</v>
          </cell>
          <cell r="AN29">
            <v>50.01</v>
          </cell>
          <cell r="AO29">
            <v>0.55000000000000004</v>
          </cell>
          <cell r="AP29">
            <v>2.04</v>
          </cell>
          <cell r="AQ29">
            <v>67</v>
          </cell>
          <cell r="AR29">
            <v>80.010000000000005</v>
          </cell>
          <cell r="AS29">
            <v>0.83</v>
          </cell>
          <cell r="AT29">
            <v>2.04</v>
          </cell>
          <cell r="AU29">
            <v>68</v>
          </cell>
          <cell r="AV29">
            <v>97.96</v>
          </cell>
          <cell r="AW29">
            <v>0.99</v>
          </cell>
          <cell r="AX29">
            <v>2.04</v>
          </cell>
          <cell r="AY29">
            <v>68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 t="str">
            <v>-</v>
          </cell>
        </row>
        <row r="30">
          <cell r="A30">
            <v>25</v>
          </cell>
          <cell r="B30" t="str">
            <v>E.TH.LT-001</v>
          </cell>
          <cell r="C30" t="str">
            <v>Termohigrômetro Digital</v>
          </cell>
          <cell r="D30">
            <v>25</v>
          </cell>
          <cell r="E30" t="str">
            <v>Elus</v>
          </cell>
          <cell r="F30" t="str">
            <v>RBC - CAL 0439</v>
          </cell>
          <cell r="G30" t="str">
            <v>E0839/25</v>
          </cell>
          <cell r="H30">
            <v>45989</v>
          </cell>
          <cell r="I30">
            <v>46170</v>
          </cell>
          <cell r="J30" t="str">
            <v>%ur</v>
          </cell>
          <cell r="K30">
            <v>5.01</v>
          </cell>
          <cell r="L30">
            <v>97.97</v>
          </cell>
          <cell r="M30">
            <v>0.01</v>
          </cell>
          <cell r="N30">
            <v>1</v>
          </cell>
          <cell r="O30">
            <v>0.93</v>
          </cell>
          <cell r="P30">
            <v>0.43999999999999773</v>
          </cell>
          <cell r="Q30">
            <v>3.485131070124492E-4</v>
          </cell>
          <cell r="R30">
            <v>4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3.0697267863420146E-8</v>
          </cell>
          <cell r="X30">
            <v>-8.1006462156860057E-6</v>
          </cell>
          <cell r="Y30">
            <v>5.5398579651856519E-4</v>
          </cell>
          <cell r="Z30">
            <v>0.98661407364266807</v>
          </cell>
          <cell r="AA30">
            <v>-0.19379883549246091</v>
          </cell>
          <cell r="AB30">
            <v>5.01</v>
          </cell>
          <cell r="AC30">
            <v>0.25</v>
          </cell>
          <cell r="AD30">
            <v>2.0299999999999998</v>
          </cell>
          <cell r="AE30">
            <v>87</v>
          </cell>
          <cell r="AF30">
            <v>19.989999999999998</v>
          </cell>
          <cell r="AG30">
            <v>0.25</v>
          </cell>
          <cell r="AH30">
            <v>2.04</v>
          </cell>
          <cell r="AI30">
            <v>66</v>
          </cell>
          <cell r="AJ30">
            <v>30.01</v>
          </cell>
          <cell r="AK30">
            <v>0.33</v>
          </cell>
          <cell r="AL30">
            <v>2.04</v>
          </cell>
          <cell r="AM30">
            <v>67</v>
          </cell>
          <cell r="AN30">
            <v>50</v>
          </cell>
          <cell r="AO30">
            <v>0.53</v>
          </cell>
          <cell r="AP30">
            <v>2.04</v>
          </cell>
          <cell r="AQ30">
            <v>67</v>
          </cell>
          <cell r="AR30">
            <v>79.989999999999995</v>
          </cell>
          <cell r="AS30">
            <v>0.8</v>
          </cell>
          <cell r="AT30">
            <v>2.04</v>
          </cell>
          <cell r="AU30">
            <v>68</v>
          </cell>
          <cell r="AV30">
            <v>97.97</v>
          </cell>
          <cell r="AW30">
            <v>0.93</v>
          </cell>
          <cell r="AX30">
            <v>2.04</v>
          </cell>
          <cell r="AY30">
            <v>62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 t="str">
            <v>-</v>
          </cell>
        </row>
        <row r="31">
          <cell r="A31">
            <v>26</v>
          </cell>
          <cell r="B31" t="str">
            <v>E.TH.LT-002</v>
          </cell>
          <cell r="C31" t="str">
            <v>Termohigrômetro Digital</v>
          </cell>
          <cell r="D31">
            <v>20</v>
          </cell>
          <cell r="E31" t="str">
            <v>Elus</v>
          </cell>
          <cell r="F31" t="str">
            <v>RBC - CAL 0439</v>
          </cell>
          <cell r="G31" t="str">
            <v>E0840/25</v>
          </cell>
          <cell r="H31">
            <v>45989</v>
          </cell>
          <cell r="I31">
            <v>46170</v>
          </cell>
          <cell r="J31" t="str">
            <v>%ur</v>
          </cell>
          <cell r="K31">
            <v>5.01</v>
          </cell>
          <cell r="L31">
            <v>97.96</v>
          </cell>
          <cell r="M31">
            <v>0.01</v>
          </cell>
          <cell r="N31">
            <v>0.90000000000000568</v>
          </cell>
          <cell r="O31">
            <v>0.99</v>
          </cell>
          <cell r="P31">
            <v>0.29000000000002046</v>
          </cell>
          <cell r="Q31">
            <v>0.11230470683599547</v>
          </cell>
          <cell r="R31">
            <v>4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-3.0270776959875996E-7</v>
          </cell>
          <cell r="X31">
            <v>6.9167912028383517E-5</v>
          </cell>
          <cell r="Y31">
            <v>-5.0551921638026416E-3</v>
          </cell>
          <cell r="Z31">
            <v>1.1077867663523504</v>
          </cell>
          <cell r="AA31">
            <v>-6.1886035163623454E-2</v>
          </cell>
          <cell r="AB31">
            <v>5.01</v>
          </cell>
          <cell r="AC31">
            <v>0.25</v>
          </cell>
          <cell r="AD31">
            <v>2.0299999999999998</v>
          </cell>
          <cell r="AE31">
            <v>87</v>
          </cell>
          <cell r="AF31">
            <v>20.010000000000002</v>
          </cell>
          <cell r="AG31">
            <v>0.27</v>
          </cell>
          <cell r="AH31">
            <v>2.04</v>
          </cell>
          <cell r="AI31">
            <v>65</v>
          </cell>
          <cell r="AJ31">
            <v>29.99</v>
          </cell>
          <cell r="AK31">
            <v>0.35</v>
          </cell>
          <cell r="AL31">
            <v>2.04</v>
          </cell>
          <cell r="AM31">
            <v>67</v>
          </cell>
          <cell r="AN31">
            <v>50.01</v>
          </cell>
          <cell r="AO31">
            <v>0.55000000000000004</v>
          </cell>
          <cell r="AP31">
            <v>2.04</v>
          </cell>
          <cell r="AQ31">
            <v>67</v>
          </cell>
          <cell r="AR31">
            <v>80.010000000000005</v>
          </cell>
          <cell r="AS31">
            <v>0.83</v>
          </cell>
          <cell r="AT31">
            <v>2.04</v>
          </cell>
          <cell r="AU31">
            <v>68</v>
          </cell>
          <cell r="AV31">
            <v>97.96</v>
          </cell>
          <cell r="AW31">
            <v>0.99</v>
          </cell>
          <cell r="AX31">
            <v>2.04</v>
          </cell>
          <cell r="AY31">
            <v>68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 t="str">
            <v>-</v>
          </cell>
        </row>
        <row r="32">
          <cell r="A32">
            <v>27</v>
          </cell>
          <cell r="B32" t="str">
            <v>E.TH.LT-002</v>
          </cell>
          <cell r="C32" t="str">
            <v>Termohigrômetro Digital</v>
          </cell>
          <cell r="D32">
            <v>25</v>
          </cell>
          <cell r="E32" t="str">
            <v>Elus</v>
          </cell>
          <cell r="F32" t="str">
            <v>RBC - CAL 0439</v>
          </cell>
          <cell r="G32" t="str">
            <v>E0840/25</v>
          </cell>
          <cell r="H32">
            <v>45989</v>
          </cell>
          <cell r="I32">
            <v>46170</v>
          </cell>
          <cell r="J32" t="str">
            <v>%ur</v>
          </cell>
          <cell r="K32">
            <v>5.01</v>
          </cell>
          <cell r="L32">
            <v>97.97</v>
          </cell>
          <cell r="M32">
            <v>0.01</v>
          </cell>
          <cell r="N32">
            <v>0.96999999999999886</v>
          </cell>
          <cell r="O32">
            <v>0.93</v>
          </cell>
          <cell r="P32">
            <v>0.55999999999999517</v>
          </cell>
          <cell r="Q32">
            <v>0.13578185460961922</v>
          </cell>
          <cell r="R32">
            <v>4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2.8405978568686222E-10</v>
          </cell>
          <cell r="X32">
            <v>4.8399722706151583E-6</v>
          </cell>
          <cell r="Y32">
            <v>-7.6477282143779944E-4</v>
          </cell>
          <cell r="Z32">
            <v>1.0151307118403785</v>
          </cell>
          <cell r="AA32">
            <v>0.30046364994957497</v>
          </cell>
          <cell r="AB32">
            <v>5.01</v>
          </cell>
          <cell r="AC32">
            <v>0.25</v>
          </cell>
          <cell r="AD32">
            <v>2.0299999999999998</v>
          </cell>
          <cell r="AE32">
            <v>87</v>
          </cell>
          <cell r="AF32">
            <v>19.989999999999998</v>
          </cell>
          <cell r="AG32">
            <v>0.25</v>
          </cell>
          <cell r="AH32">
            <v>2.04</v>
          </cell>
          <cell r="AI32">
            <v>66</v>
          </cell>
          <cell r="AJ32">
            <v>30.01</v>
          </cell>
          <cell r="AK32">
            <v>0.33</v>
          </cell>
          <cell r="AL32">
            <v>2.04</v>
          </cell>
          <cell r="AM32">
            <v>67</v>
          </cell>
          <cell r="AN32">
            <v>50</v>
          </cell>
          <cell r="AO32">
            <v>0.53</v>
          </cell>
          <cell r="AP32">
            <v>2.04</v>
          </cell>
          <cell r="AQ32">
            <v>67</v>
          </cell>
          <cell r="AR32">
            <v>79.989999999999995</v>
          </cell>
          <cell r="AS32">
            <v>0.8</v>
          </cell>
          <cell r="AT32">
            <v>2.04</v>
          </cell>
          <cell r="AU32">
            <v>68</v>
          </cell>
          <cell r="AV32">
            <v>97.97</v>
          </cell>
          <cell r="AW32">
            <v>0.93</v>
          </cell>
          <cell r="AX32">
            <v>2.04</v>
          </cell>
          <cell r="AY32">
            <v>62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 t="str">
            <v>-</v>
          </cell>
        </row>
        <row r="33">
          <cell r="A33">
            <v>28</v>
          </cell>
          <cell r="B33" t="str">
            <v>E.TH.LT-030</v>
          </cell>
          <cell r="C33" t="str">
            <v>Termohigrômetro Digital</v>
          </cell>
          <cell r="D33">
            <v>20</v>
          </cell>
          <cell r="E33" t="str">
            <v>Elus</v>
          </cell>
          <cell r="F33" t="str">
            <v>RBC - CAL 0439</v>
          </cell>
          <cell r="G33" t="str">
            <v>E0845/25</v>
          </cell>
          <cell r="H33">
            <v>45989</v>
          </cell>
          <cell r="I33">
            <v>46170</v>
          </cell>
          <cell r="J33" t="str">
            <v>%ur</v>
          </cell>
          <cell r="K33">
            <v>5.01</v>
          </cell>
          <cell r="L33">
            <v>97.96</v>
          </cell>
          <cell r="M33">
            <v>0.01</v>
          </cell>
          <cell r="N33">
            <v>0.89000000000000057</v>
          </cell>
          <cell r="O33">
            <v>0.99</v>
          </cell>
          <cell r="P33">
            <v>1.0999999999999996</v>
          </cell>
          <cell r="Q33">
            <v>0.15520648576805929</v>
          </cell>
          <cell r="R33">
            <v>4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-1.0863305621617384E-7</v>
          </cell>
          <cell r="X33">
            <v>1.6304673757770385E-5</v>
          </cell>
          <cell r="Y33">
            <v>-3.7878043491504132E-4</v>
          </cell>
          <cell r="Z33">
            <v>0.98207721071576493</v>
          </cell>
          <cell r="AA33">
            <v>0.87745907256762434</v>
          </cell>
          <cell r="AB33">
            <v>5.01</v>
          </cell>
          <cell r="AC33">
            <v>0.25</v>
          </cell>
          <cell r="AD33">
            <v>2.0299999999999998</v>
          </cell>
          <cell r="AE33">
            <v>87</v>
          </cell>
          <cell r="AF33">
            <v>20.010000000000002</v>
          </cell>
          <cell r="AG33">
            <v>0.27</v>
          </cell>
          <cell r="AH33">
            <v>2.04</v>
          </cell>
          <cell r="AI33">
            <v>65</v>
          </cell>
          <cell r="AJ33">
            <v>29.99</v>
          </cell>
          <cell r="AK33">
            <v>0.35</v>
          </cell>
          <cell r="AL33">
            <v>2.04</v>
          </cell>
          <cell r="AM33">
            <v>67</v>
          </cell>
          <cell r="AN33">
            <v>50.01</v>
          </cell>
          <cell r="AO33">
            <v>0.55000000000000004</v>
          </cell>
          <cell r="AP33">
            <v>2.04</v>
          </cell>
          <cell r="AQ33">
            <v>67</v>
          </cell>
          <cell r="AR33">
            <v>80.010000000000005</v>
          </cell>
          <cell r="AS33">
            <v>0.83</v>
          </cell>
          <cell r="AT33">
            <v>2.04</v>
          </cell>
          <cell r="AU33">
            <v>68</v>
          </cell>
          <cell r="AV33">
            <v>97.96</v>
          </cell>
          <cell r="AW33">
            <v>0.99</v>
          </cell>
          <cell r="AX33">
            <v>2.04</v>
          </cell>
          <cell r="AY33">
            <v>68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 t="str">
            <v>-</v>
          </cell>
        </row>
        <row r="34">
          <cell r="A34">
            <v>29</v>
          </cell>
          <cell r="B34" t="str">
            <v>E.TH.LT-030</v>
          </cell>
          <cell r="C34" t="str">
            <v>Termohigrômetro Digital</v>
          </cell>
          <cell r="D34">
            <v>25</v>
          </cell>
          <cell r="E34" t="str">
            <v>Elus</v>
          </cell>
          <cell r="F34" t="str">
            <v>RBC - CAL 0439</v>
          </cell>
          <cell r="G34" t="str">
            <v>E0845/25</v>
          </cell>
          <cell r="H34">
            <v>45989</v>
          </cell>
          <cell r="I34">
            <v>46170</v>
          </cell>
          <cell r="J34" t="str">
            <v>%ur</v>
          </cell>
          <cell r="K34">
            <v>5.01</v>
          </cell>
          <cell r="L34">
            <v>97.97</v>
          </cell>
          <cell r="M34">
            <v>0.01</v>
          </cell>
          <cell r="N34">
            <v>0.45999999999999996</v>
          </cell>
          <cell r="O34">
            <v>0.93</v>
          </cell>
          <cell r="P34">
            <v>0.82000000000000739</v>
          </cell>
          <cell r="Q34">
            <v>2.8016279150355317E-2</v>
          </cell>
          <cell r="R34">
            <v>4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2.0978538039685684E-8</v>
          </cell>
          <cell r="X34">
            <v>-7.956036523882949E-6</v>
          </cell>
          <cell r="Y34">
            <v>9.7282138091953887E-4</v>
          </cell>
          <cell r="Z34">
            <v>0.95596949358817485</v>
          </cell>
          <cell r="AA34">
            <v>0.6438003024512402</v>
          </cell>
          <cell r="AB34">
            <v>5.01</v>
          </cell>
          <cell r="AC34">
            <v>0.25</v>
          </cell>
          <cell r="AD34">
            <v>2.0299999999999998</v>
          </cell>
          <cell r="AE34">
            <v>87</v>
          </cell>
          <cell r="AF34">
            <v>19.989999999999998</v>
          </cell>
          <cell r="AG34">
            <v>0.25</v>
          </cell>
          <cell r="AH34">
            <v>2.04</v>
          </cell>
          <cell r="AI34">
            <v>66</v>
          </cell>
          <cell r="AJ34">
            <v>30.01</v>
          </cell>
          <cell r="AK34">
            <v>0.33</v>
          </cell>
          <cell r="AL34">
            <v>2.04</v>
          </cell>
          <cell r="AM34">
            <v>67</v>
          </cell>
          <cell r="AN34">
            <v>50</v>
          </cell>
          <cell r="AO34">
            <v>0.53</v>
          </cell>
          <cell r="AP34">
            <v>2.04</v>
          </cell>
          <cell r="AQ34">
            <v>67</v>
          </cell>
          <cell r="AR34">
            <v>79.989999999999995</v>
          </cell>
          <cell r="AS34">
            <v>0.8</v>
          </cell>
          <cell r="AT34">
            <v>2.04</v>
          </cell>
          <cell r="AU34">
            <v>68</v>
          </cell>
          <cell r="AV34">
            <v>97.97</v>
          </cell>
          <cell r="AW34">
            <v>0.93</v>
          </cell>
          <cell r="AX34">
            <v>2.04</v>
          </cell>
          <cell r="AY34">
            <v>62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 t="str">
            <v>-</v>
          </cell>
        </row>
        <row r="35">
          <cell r="A35">
            <v>30</v>
          </cell>
          <cell r="B35" t="str">
            <v>E.TH.FS-004</v>
          </cell>
          <cell r="C35" t="str">
            <v>Termohigrômetro Digital</v>
          </cell>
          <cell r="D35">
            <v>20</v>
          </cell>
          <cell r="E35" t="str">
            <v>Elus</v>
          </cell>
          <cell r="F35" t="str">
            <v>RBC - CAL 0439</v>
          </cell>
          <cell r="G35" t="str">
            <v>E0208/24</v>
          </cell>
          <cell r="H35">
            <v>45460</v>
          </cell>
          <cell r="I35">
            <v>45838</v>
          </cell>
          <cell r="J35" t="str">
            <v/>
          </cell>
          <cell r="K35">
            <v>10</v>
          </cell>
          <cell r="L35">
            <v>90</v>
          </cell>
          <cell r="M35">
            <v>0.1</v>
          </cell>
          <cell r="N35">
            <v>4.2999999999999972</v>
          </cell>
          <cell r="O35">
            <v>1.1000000000000001</v>
          </cell>
          <cell r="P35">
            <v>1.0000000000000009</v>
          </cell>
          <cell r="Q35">
            <v>0.47502247686151833</v>
          </cell>
          <cell r="R35">
            <v>3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-2.4816483835985969E-5</v>
          </cell>
          <cell r="Y35">
            <v>3.8284713277157252E-3</v>
          </cell>
          <cell r="Z35">
            <v>0.77349380161529024</v>
          </cell>
          <cell r="AA35">
            <v>3.6894362180375353</v>
          </cell>
          <cell r="AB35">
            <v>10</v>
          </cell>
          <cell r="AC35">
            <v>0.6</v>
          </cell>
          <cell r="AD35">
            <v>2</v>
          </cell>
          <cell r="AE35">
            <v>1000000</v>
          </cell>
          <cell r="AF35">
            <v>30</v>
          </cell>
          <cell r="AG35">
            <v>0.8</v>
          </cell>
          <cell r="AH35">
            <v>2</v>
          </cell>
          <cell r="AI35">
            <v>1000000</v>
          </cell>
          <cell r="AJ35">
            <v>50</v>
          </cell>
          <cell r="AK35">
            <v>0.8</v>
          </cell>
          <cell r="AL35">
            <v>2</v>
          </cell>
          <cell r="AM35">
            <v>1000000</v>
          </cell>
          <cell r="AN35">
            <v>80</v>
          </cell>
          <cell r="AO35">
            <v>1</v>
          </cell>
          <cell r="AP35">
            <v>2</v>
          </cell>
          <cell r="AQ35">
            <v>1000000</v>
          </cell>
          <cell r="AR35">
            <v>90</v>
          </cell>
          <cell r="AS35">
            <v>1.1000000000000001</v>
          </cell>
          <cell r="AT35">
            <v>2</v>
          </cell>
          <cell r="AU35">
            <v>1000000</v>
          </cell>
          <cell r="AV35" t="str">
            <v>-</v>
          </cell>
          <cell r="AW35" t="str">
            <v>-</v>
          </cell>
          <cell r="AX35" t="str">
            <v>-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 t="str">
            <v>-</v>
          </cell>
        </row>
        <row r="36">
          <cell r="A36">
            <v>31</v>
          </cell>
          <cell r="B36" t="str">
            <v>-</v>
          </cell>
          <cell r="C36" t="str">
            <v>-</v>
          </cell>
          <cell r="D36" t="str">
            <v>-</v>
          </cell>
          <cell r="E36" t="str">
            <v>-</v>
          </cell>
          <cell r="F36" t="str">
            <v>-</v>
          </cell>
          <cell r="G36" t="str">
            <v>-</v>
          </cell>
          <cell r="H36" t="str">
            <v>-</v>
          </cell>
          <cell r="I36" t="str">
            <v>-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-</v>
          </cell>
          <cell r="O36" t="str">
            <v>-</v>
          </cell>
          <cell r="P36" t="str">
            <v>-</v>
          </cell>
          <cell r="Q36" t="str">
            <v>-</v>
          </cell>
          <cell r="R36" t="str">
            <v>-</v>
          </cell>
          <cell r="S36" t="str">
            <v>-</v>
          </cell>
          <cell r="T36" t="str">
            <v>-</v>
          </cell>
          <cell r="U36" t="str">
            <v>-</v>
          </cell>
          <cell r="V36" t="str">
            <v>-</v>
          </cell>
          <cell r="W36" t="str">
            <v>-</v>
          </cell>
          <cell r="X36" t="str">
            <v>-</v>
          </cell>
          <cell r="Y36" t="str">
            <v>-</v>
          </cell>
          <cell r="Z36" t="str">
            <v>-</v>
          </cell>
          <cell r="AA36" t="str">
            <v>-</v>
          </cell>
          <cell r="AB36" t="str">
            <v>-</v>
          </cell>
          <cell r="AC36" t="str">
            <v>-</v>
          </cell>
          <cell r="AD36" t="str">
            <v>-</v>
          </cell>
          <cell r="AE36" t="str">
            <v>-</v>
          </cell>
          <cell r="AF36" t="str">
            <v>-</v>
          </cell>
          <cell r="AG36" t="str">
            <v>-</v>
          </cell>
          <cell r="AH36" t="str">
            <v>-</v>
          </cell>
          <cell r="AI36" t="str">
            <v>-</v>
          </cell>
          <cell r="AJ36" t="str">
            <v>-</v>
          </cell>
          <cell r="AK36" t="str">
            <v>-</v>
          </cell>
          <cell r="AL36" t="str">
            <v>-</v>
          </cell>
          <cell r="AM36" t="str">
            <v>-</v>
          </cell>
          <cell r="AN36" t="str">
            <v>-</v>
          </cell>
          <cell r="AO36" t="str">
            <v>-</v>
          </cell>
          <cell r="AP36" t="str">
            <v>-</v>
          </cell>
          <cell r="AQ36" t="str">
            <v>-</v>
          </cell>
          <cell r="AR36" t="str">
            <v>-</v>
          </cell>
          <cell r="AS36" t="str">
            <v>-</v>
          </cell>
          <cell r="AT36" t="str">
            <v>-</v>
          </cell>
          <cell r="AU36" t="str">
            <v>-</v>
          </cell>
          <cell r="AV36" t="str">
            <v>-</v>
          </cell>
          <cell r="AW36" t="str">
            <v>-</v>
          </cell>
          <cell r="AX36" t="str">
            <v>-</v>
          </cell>
          <cell r="AY36" t="str">
            <v>-</v>
          </cell>
          <cell r="AZ36" t="str">
            <v>-</v>
          </cell>
          <cell r="BA36" t="str">
            <v>-</v>
          </cell>
          <cell r="BB36" t="str">
            <v>-</v>
          </cell>
          <cell r="BC36" t="str">
            <v>-</v>
          </cell>
          <cell r="BD36" t="str">
            <v>-</v>
          </cell>
          <cell r="BE36" t="str">
            <v>-</v>
          </cell>
          <cell r="BF36" t="str">
            <v>-</v>
          </cell>
          <cell r="BG36" t="str">
            <v>-</v>
          </cell>
          <cell r="BH36" t="str">
            <v>-</v>
          </cell>
          <cell r="BI36" t="str">
            <v>-</v>
          </cell>
          <cell r="BJ36" t="str">
            <v>-</v>
          </cell>
          <cell r="BK36" t="str">
            <v>-</v>
          </cell>
          <cell r="BL36" t="str">
            <v>-</v>
          </cell>
          <cell r="BM36" t="str">
            <v>-</v>
          </cell>
          <cell r="BN36" t="str">
            <v>-</v>
          </cell>
          <cell r="BO36" t="str">
            <v>-</v>
          </cell>
        </row>
        <row r="37">
          <cell r="A37">
            <v>32</v>
          </cell>
          <cell r="B37" t="str">
            <v>E.TH.LT-005</v>
          </cell>
          <cell r="C37" t="str">
            <v>Higrômetro de Ponto de Orvalho</v>
          </cell>
          <cell r="D37" t="str">
            <v>-</v>
          </cell>
          <cell r="E37" t="str">
            <v>Elus</v>
          </cell>
          <cell r="F37" t="str">
            <v>RBC - CAL 0439</v>
          </cell>
          <cell r="G37" t="str">
            <v>E0342/25</v>
          </cell>
          <cell r="H37">
            <v>45807</v>
          </cell>
          <cell r="I37">
            <v>46172</v>
          </cell>
          <cell r="J37" t="str">
            <v>°CTd</v>
          </cell>
          <cell r="K37">
            <v>-40</v>
          </cell>
          <cell r="L37">
            <v>60</v>
          </cell>
          <cell r="M37">
            <v>0.1</v>
          </cell>
          <cell r="N37">
            <v>0.20000000000000284</v>
          </cell>
          <cell r="O37">
            <v>0.2</v>
          </cell>
          <cell r="P37">
            <v>0.10000000000000142</v>
          </cell>
          <cell r="Q37">
            <v>7.4127652518853893E-3</v>
          </cell>
          <cell r="R37">
            <v>3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6.7453915752834889E-7</v>
          </cell>
          <cell r="Y37">
            <v>2.2113046707654254E-5</v>
          </cell>
          <cell r="Z37">
            <v>0.99969636569369602</v>
          </cell>
          <cell r="AA37">
            <v>-5.4428582063317278E-3</v>
          </cell>
          <cell r="AB37">
            <v>-40</v>
          </cell>
          <cell r="AC37">
            <v>0.2</v>
          </cell>
          <cell r="AD37">
            <v>2</v>
          </cell>
          <cell r="AE37">
            <v>1000000</v>
          </cell>
          <cell r="AF37">
            <v>-20</v>
          </cell>
          <cell r="AG37">
            <v>0.2</v>
          </cell>
          <cell r="AH37">
            <v>2</v>
          </cell>
          <cell r="AI37">
            <v>1000000</v>
          </cell>
          <cell r="AJ37">
            <v>0</v>
          </cell>
          <cell r="AK37">
            <v>0.2</v>
          </cell>
          <cell r="AL37">
            <v>2</v>
          </cell>
          <cell r="AM37">
            <v>1000000</v>
          </cell>
          <cell r="AN37">
            <v>20</v>
          </cell>
          <cell r="AO37">
            <v>0.2</v>
          </cell>
          <cell r="AP37">
            <v>2</v>
          </cell>
          <cell r="AQ37">
            <v>1000000</v>
          </cell>
          <cell r="AR37">
            <v>60</v>
          </cell>
          <cell r="AS37">
            <v>0.2</v>
          </cell>
          <cell r="AT37">
            <v>2</v>
          </cell>
          <cell r="AU37">
            <v>1000000</v>
          </cell>
          <cell r="AV37" t="str">
            <v>-</v>
          </cell>
          <cell r="AW37" t="str">
            <v>-</v>
          </cell>
          <cell r="AX37" t="str">
            <v>-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 t="str">
            <v>-</v>
          </cell>
        </row>
        <row r="38">
          <cell r="A38">
            <v>33</v>
          </cell>
          <cell r="B38" t="str">
            <v>EL-815</v>
          </cell>
          <cell r="C38" t="str">
            <v>Higrômetro de Ponto de Orvalho</v>
          </cell>
          <cell r="D38" t="str">
            <v>-</v>
          </cell>
          <cell r="E38" t="str">
            <v>Sicamet</v>
          </cell>
          <cell r="F38" t="str">
            <v>EMA H111</v>
          </cell>
          <cell r="G38" t="str">
            <v>ICH.0058.22</v>
          </cell>
          <cell r="H38">
            <v>44768</v>
          </cell>
          <cell r="I38">
            <v>45839</v>
          </cell>
          <cell r="J38" t="str">
            <v>°CTd</v>
          </cell>
          <cell r="K38">
            <v>-65.641000000000005</v>
          </cell>
          <cell r="L38">
            <v>20.03</v>
          </cell>
          <cell r="M38">
            <v>1E-3</v>
          </cell>
          <cell r="N38">
            <v>0.19600000000000001</v>
          </cell>
          <cell r="O38">
            <v>0.12</v>
          </cell>
          <cell r="P38">
            <v>0.21599999999999997</v>
          </cell>
          <cell r="Q38">
            <v>0.14099380650473137</v>
          </cell>
          <cell r="R38">
            <v>3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3.1535707161766998E-6</v>
          </cell>
          <cell r="Y38">
            <v>2.2139756301785802E-4</v>
          </cell>
          <cell r="Z38">
            <v>1.0004207578206086</v>
          </cell>
          <cell r="AA38">
            <v>-0.12417231514128241</v>
          </cell>
          <cell r="AB38">
            <v>-65.641000000000005</v>
          </cell>
          <cell r="AC38">
            <v>4.1000000000000002E-2</v>
          </cell>
          <cell r="AD38">
            <v>2</v>
          </cell>
          <cell r="AE38">
            <v>1000000</v>
          </cell>
          <cell r="AF38">
            <v>-40.366</v>
          </cell>
          <cell r="AG38">
            <v>4.7E-2</v>
          </cell>
          <cell r="AH38">
            <v>2</v>
          </cell>
          <cell r="AI38">
            <v>1000000</v>
          </cell>
          <cell r="AJ38">
            <v>-19.942</v>
          </cell>
          <cell r="AK38">
            <v>6.6000000000000003E-2</v>
          </cell>
          <cell r="AL38">
            <v>2</v>
          </cell>
          <cell r="AM38">
            <v>1000000</v>
          </cell>
          <cell r="AN38">
            <v>4.3999999999999997E-2</v>
          </cell>
          <cell r="AO38">
            <v>0.12</v>
          </cell>
          <cell r="AP38">
            <v>2</v>
          </cell>
          <cell r="AQ38">
            <v>1000000</v>
          </cell>
          <cell r="AR38">
            <v>20.03</v>
          </cell>
          <cell r="AS38">
            <v>9.1999999999999998E-2</v>
          </cell>
          <cell r="AT38">
            <v>2</v>
          </cell>
          <cell r="AU38">
            <v>1000000</v>
          </cell>
          <cell r="AV38" t="str">
            <v>-</v>
          </cell>
          <cell r="AW38" t="str">
            <v>-</v>
          </cell>
          <cell r="AX38" t="str">
            <v>-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 t="str">
            <v>-</v>
          </cell>
        </row>
        <row r="39">
          <cell r="A39">
            <v>34</v>
          </cell>
          <cell r="B39" t="str">
            <v>E.PS.LQ-020</v>
          </cell>
          <cell r="C39" t="str">
            <v>Termohigrômetro Digital</v>
          </cell>
          <cell r="D39">
            <v>20</v>
          </cell>
          <cell r="E39" t="str">
            <v>Elus</v>
          </cell>
          <cell r="F39" t="str">
            <v>RBC - CAL 0439</v>
          </cell>
          <cell r="G39" t="str">
            <v>E0440/25</v>
          </cell>
          <cell r="H39">
            <v>45839</v>
          </cell>
          <cell r="I39">
            <v>46233</v>
          </cell>
          <cell r="J39" t="str">
            <v>%ur</v>
          </cell>
          <cell r="K39">
            <v>30</v>
          </cell>
          <cell r="L39">
            <v>90</v>
          </cell>
          <cell r="M39">
            <v>1</v>
          </cell>
          <cell r="N39">
            <v>5</v>
          </cell>
          <cell r="O39">
            <v>2</v>
          </cell>
          <cell r="P39">
            <v>11</v>
          </cell>
          <cell r="Q39">
            <v>1.3186193956779038</v>
          </cell>
          <cell r="R39">
            <v>2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-4.4823338802087399E-3</v>
          </cell>
          <cell r="Z39">
            <v>1.5799945823558579</v>
          </cell>
          <cell r="AA39">
            <v>-12.969686747726893</v>
          </cell>
          <cell r="AB39">
            <v>30</v>
          </cell>
          <cell r="AC39">
            <v>2</v>
          </cell>
          <cell r="AD39">
            <v>2</v>
          </cell>
          <cell r="AE39">
            <v>1000000</v>
          </cell>
          <cell r="AF39">
            <v>50</v>
          </cell>
          <cell r="AG39">
            <v>2</v>
          </cell>
          <cell r="AH39">
            <v>2</v>
          </cell>
          <cell r="AI39">
            <v>1000000</v>
          </cell>
          <cell r="AJ39">
            <v>70</v>
          </cell>
          <cell r="AK39">
            <v>2</v>
          </cell>
          <cell r="AL39">
            <v>2</v>
          </cell>
          <cell r="AM39">
            <v>1000000</v>
          </cell>
          <cell r="AN39">
            <v>90</v>
          </cell>
          <cell r="AO39">
            <v>2</v>
          </cell>
          <cell r="AP39">
            <v>2</v>
          </cell>
          <cell r="AQ39">
            <v>1000000</v>
          </cell>
          <cell r="AR39" t="str">
            <v>-</v>
          </cell>
          <cell r="AS39" t="str">
            <v>-</v>
          </cell>
          <cell r="AT39" t="str">
            <v>-</v>
          </cell>
          <cell r="AU39" t="str">
            <v>-</v>
          </cell>
          <cell r="AV39" t="str">
            <v>-</v>
          </cell>
          <cell r="AW39" t="str">
            <v>-</v>
          </cell>
          <cell r="AX39" t="str">
            <v>-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 t="str">
            <v>-</v>
          </cell>
        </row>
        <row r="40">
          <cell r="A40">
            <v>35</v>
          </cell>
          <cell r="B40" t="str">
            <v>EL-928</v>
          </cell>
          <cell r="C40" t="str">
            <v>Termohigrômetro Digital</v>
          </cell>
          <cell r="D40" t="str">
            <v>-</v>
          </cell>
          <cell r="E40" t="str">
            <v>Elus</v>
          </cell>
          <cell r="F40" t="str">
            <v>RBC - CAL 0439</v>
          </cell>
          <cell r="G40" t="str">
            <v>R0212/21</v>
          </cell>
          <cell r="H40">
            <v>44347</v>
          </cell>
          <cell r="I40">
            <v>44530</v>
          </cell>
          <cell r="J40" t="str">
            <v>°CTd</v>
          </cell>
          <cell r="K40">
            <v>-30</v>
          </cell>
          <cell r="L40">
            <v>40</v>
          </cell>
          <cell r="M40">
            <v>0.1</v>
          </cell>
          <cell r="N40">
            <v>0.39999999999999858</v>
          </cell>
          <cell r="O40">
            <v>0.4</v>
          </cell>
          <cell r="P40">
            <v>0.39999999999999858</v>
          </cell>
          <cell r="Q40">
            <v>6.2322357055087707E-2</v>
          </cell>
          <cell r="R40">
            <v>3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3.6920365546713187E-6</v>
          </cell>
          <cell r="Y40">
            <v>-1.2581358710956196E-4</v>
          </cell>
          <cell r="Z40">
            <v>0.98640446154556882</v>
          </cell>
          <cell r="AA40">
            <v>0.1010627131224516</v>
          </cell>
          <cell r="AB40">
            <v>-30</v>
          </cell>
          <cell r="AC40">
            <v>0.3</v>
          </cell>
          <cell r="AD40">
            <v>2</v>
          </cell>
          <cell r="AE40">
            <v>1000000</v>
          </cell>
          <cell r="AF40">
            <v>-10</v>
          </cell>
          <cell r="AG40">
            <v>0.3</v>
          </cell>
          <cell r="AH40">
            <v>2</v>
          </cell>
          <cell r="AI40">
            <v>1000000</v>
          </cell>
          <cell r="AJ40">
            <v>10</v>
          </cell>
          <cell r="AK40">
            <v>0.3</v>
          </cell>
          <cell r="AL40">
            <v>2</v>
          </cell>
          <cell r="AM40">
            <v>1000000</v>
          </cell>
          <cell r="AN40">
            <v>25</v>
          </cell>
          <cell r="AO40">
            <v>0.4</v>
          </cell>
          <cell r="AP40">
            <v>2</v>
          </cell>
          <cell r="AQ40">
            <v>1000000</v>
          </cell>
          <cell r="AR40">
            <v>40</v>
          </cell>
          <cell r="AS40">
            <v>0.4</v>
          </cell>
          <cell r="AT40">
            <v>2</v>
          </cell>
          <cell r="AU40">
            <v>1000000</v>
          </cell>
          <cell r="AV40" t="str">
            <v>-</v>
          </cell>
          <cell r="AW40" t="str">
            <v>-</v>
          </cell>
          <cell r="AX40" t="str">
            <v>-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 t="str">
            <v>-</v>
          </cell>
        </row>
        <row r="41">
          <cell r="A41">
            <v>36</v>
          </cell>
          <cell r="B41" t="str">
            <v>M.TH.LT-009</v>
          </cell>
          <cell r="C41" t="str">
            <v>Termohigrômetro Digital</v>
          </cell>
          <cell r="D41">
            <v>20</v>
          </cell>
          <cell r="E41" t="str">
            <v>Elus</v>
          </cell>
          <cell r="F41" t="str">
            <v>RBC - CAL 0439</v>
          </cell>
          <cell r="G41" t="str">
            <v>E0519/25</v>
          </cell>
          <cell r="H41">
            <v>45894</v>
          </cell>
          <cell r="I41">
            <v>46264</v>
          </cell>
          <cell r="J41" t="str">
            <v>%ur</v>
          </cell>
          <cell r="K41">
            <v>5</v>
          </cell>
          <cell r="L41">
            <v>95</v>
          </cell>
          <cell r="M41">
            <v>0.01</v>
          </cell>
          <cell r="N41">
            <v>1.2000000000000028</v>
          </cell>
          <cell r="O41">
            <v>1</v>
          </cell>
          <cell r="P41">
            <v>1.039999999999992</v>
          </cell>
          <cell r="Q41">
            <v>0.16213705900563413</v>
          </cell>
          <cell r="R41">
            <v>4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9.3278914995480517E-8</v>
          </cell>
          <cell r="X41">
            <v>-2.7466756129165432E-5</v>
          </cell>
          <cell r="Y41">
            <v>3.2830997213757628E-3</v>
          </cell>
          <cell r="Z41">
            <v>0.8528865681685327</v>
          </cell>
          <cell r="AA41">
            <v>1.5524913776670941</v>
          </cell>
          <cell r="AB41">
            <v>5</v>
          </cell>
          <cell r="AC41">
            <v>0.27</v>
          </cell>
          <cell r="AD41">
            <v>2</v>
          </cell>
          <cell r="AE41">
            <v>1000000</v>
          </cell>
          <cell r="AF41">
            <v>19.989999999999998</v>
          </cell>
          <cell r="AG41">
            <v>0.38</v>
          </cell>
          <cell r="AH41">
            <v>2.0099999999999998</v>
          </cell>
          <cell r="AI41">
            <v>256</v>
          </cell>
          <cell r="AJ41">
            <v>29.99</v>
          </cell>
          <cell r="AK41">
            <v>0.44</v>
          </cell>
          <cell r="AL41">
            <v>2.0099999999999998</v>
          </cell>
          <cell r="AM41">
            <v>183</v>
          </cell>
          <cell r="AN41">
            <v>49.98</v>
          </cell>
          <cell r="AO41">
            <v>0.62</v>
          </cell>
          <cell r="AP41">
            <v>2.02</v>
          </cell>
          <cell r="AQ41">
            <v>120</v>
          </cell>
          <cell r="AR41">
            <v>80.010000000000005</v>
          </cell>
          <cell r="AS41">
            <v>0.9</v>
          </cell>
          <cell r="AT41">
            <v>2.02</v>
          </cell>
          <cell r="AU41">
            <v>102</v>
          </cell>
          <cell r="AV41">
            <v>95</v>
          </cell>
          <cell r="AW41">
            <v>1</v>
          </cell>
          <cell r="AX41">
            <v>2.0299999999999998</v>
          </cell>
          <cell r="AY41">
            <v>81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 t="str">
            <v>-</v>
          </cell>
        </row>
        <row r="42">
          <cell r="A42">
            <v>37</v>
          </cell>
          <cell r="B42" t="str">
            <v>M.TH.LT-009</v>
          </cell>
          <cell r="C42" t="str">
            <v>Termohigrômetro Digital</v>
          </cell>
          <cell r="D42">
            <v>25</v>
          </cell>
          <cell r="E42" t="str">
            <v>Elus</v>
          </cell>
          <cell r="F42" t="str">
            <v>RBC - CAL 0439</v>
          </cell>
          <cell r="G42" t="str">
            <v>E0519/25</v>
          </cell>
          <cell r="H42">
            <v>45894</v>
          </cell>
          <cell r="I42">
            <v>46264</v>
          </cell>
          <cell r="J42" t="str">
            <v>%ur</v>
          </cell>
          <cell r="K42">
            <v>5</v>
          </cell>
          <cell r="L42">
            <v>95.02</v>
          </cell>
          <cell r="M42">
            <v>0.01</v>
          </cell>
          <cell r="N42">
            <v>1.27</v>
          </cell>
          <cell r="O42">
            <v>0.94</v>
          </cell>
          <cell r="P42">
            <v>1.27</v>
          </cell>
          <cell r="Q42">
            <v>1.1356618537590624E-2</v>
          </cell>
          <cell r="R42">
            <v>4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1.387328415077682E-7</v>
          </cell>
          <cell r="X42">
            <v>-4.1420082436107202E-5</v>
          </cell>
          <cell r="Y42">
            <v>4.4558169296664051E-3</v>
          </cell>
          <cell r="Z42">
            <v>0.82171072088862673</v>
          </cell>
          <cell r="AA42">
            <v>1.8761500590692899</v>
          </cell>
          <cell r="AB42">
            <v>5</v>
          </cell>
          <cell r="AC42">
            <v>0.27</v>
          </cell>
          <cell r="AD42">
            <v>2</v>
          </cell>
          <cell r="AE42">
            <v>1000000</v>
          </cell>
          <cell r="AF42">
            <v>20</v>
          </cell>
          <cell r="AG42">
            <v>0.35</v>
          </cell>
          <cell r="AH42">
            <v>2.0099999999999998</v>
          </cell>
          <cell r="AI42">
            <v>356</v>
          </cell>
          <cell r="AJ42">
            <v>30</v>
          </cell>
          <cell r="AK42">
            <v>0.43</v>
          </cell>
          <cell r="AL42">
            <v>2.0099999999999998</v>
          </cell>
          <cell r="AM42">
            <v>192</v>
          </cell>
          <cell r="AN42">
            <v>50</v>
          </cell>
          <cell r="AO42">
            <v>0.61</v>
          </cell>
          <cell r="AP42">
            <v>2.02</v>
          </cell>
          <cell r="AQ42">
            <v>123</v>
          </cell>
          <cell r="AR42">
            <v>79.989999999999995</v>
          </cell>
          <cell r="AS42">
            <v>0.87</v>
          </cell>
          <cell r="AT42">
            <v>2.02</v>
          </cell>
          <cell r="AU42">
            <v>103</v>
          </cell>
          <cell r="AV42">
            <v>95.02</v>
          </cell>
          <cell r="AW42">
            <v>0.94</v>
          </cell>
          <cell r="AX42">
            <v>2.04</v>
          </cell>
          <cell r="AY42">
            <v>72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 t="str">
            <v>-</v>
          </cell>
        </row>
        <row r="43">
          <cell r="A43">
            <v>38</v>
          </cell>
          <cell r="B43" t="str">
            <v>E.TH.LT-011</v>
          </cell>
          <cell r="C43" t="str">
            <v>Higrômetro de Ponto de Orvalho</v>
          </cell>
          <cell r="D43" t="str">
            <v>-</v>
          </cell>
          <cell r="E43" t="str">
            <v>CTM</v>
          </cell>
          <cell r="F43" t="str">
            <v>RBC - CAL 0088</v>
          </cell>
          <cell r="G43" t="str">
            <v>30599/24</v>
          </cell>
          <cell r="H43">
            <v>45477</v>
          </cell>
          <cell r="I43">
            <v>46598</v>
          </cell>
          <cell r="J43" t="str">
            <v>°CTd/f</v>
          </cell>
          <cell r="K43">
            <v>-24.88</v>
          </cell>
          <cell r="L43">
            <v>59.87</v>
          </cell>
          <cell r="M43">
            <v>0.01</v>
          </cell>
          <cell r="N43">
            <v>0.38000000000000256</v>
          </cell>
          <cell r="O43">
            <v>0.08</v>
          </cell>
          <cell r="P43">
            <v>0.25000000000000711</v>
          </cell>
          <cell r="Q43">
            <v>3.6346570461893712E-2</v>
          </cell>
          <cell r="R43">
            <v>3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7.6158939204116998E-8</v>
          </cell>
          <cell r="Y43">
            <v>7.4933760528497037E-6</v>
          </cell>
          <cell r="Z43">
            <v>0.9940670230418116</v>
          </cell>
          <cell r="AA43">
            <v>-6.5385080054713773E-2</v>
          </cell>
          <cell r="AB43">
            <v>-24.88</v>
          </cell>
          <cell r="AC43">
            <v>0.08</v>
          </cell>
          <cell r="AD43">
            <v>2</v>
          </cell>
          <cell r="AE43">
            <v>1000000</v>
          </cell>
          <cell r="AF43">
            <v>-9.9</v>
          </cell>
          <cell r="AG43">
            <v>0.05</v>
          </cell>
          <cell r="AH43">
            <v>2</v>
          </cell>
          <cell r="AI43">
            <v>1000000</v>
          </cell>
          <cell r="AJ43">
            <v>-0.01</v>
          </cell>
          <cell r="AK43">
            <v>0.05</v>
          </cell>
          <cell r="AL43">
            <v>2</v>
          </cell>
          <cell r="AM43">
            <v>1000000</v>
          </cell>
          <cell r="AN43">
            <v>29.94</v>
          </cell>
          <cell r="AO43">
            <v>0.05</v>
          </cell>
          <cell r="AP43">
            <v>2</v>
          </cell>
          <cell r="AQ43">
            <v>1000000</v>
          </cell>
          <cell r="AR43">
            <v>59.87</v>
          </cell>
          <cell r="AS43">
            <v>0.05</v>
          </cell>
          <cell r="AT43">
            <v>2</v>
          </cell>
          <cell r="AU43">
            <v>1000000</v>
          </cell>
          <cell r="AV43" t="str">
            <v>-</v>
          </cell>
          <cell r="AW43" t="str">
            <v>-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 t="str">
            <v>-</v>
          </cell>
        </row>
        <row r="44">
          <cell r="A44">
            <v>39</v>
          </cell>
          <cell r="B44" t="str">
            <v>EL-949</v>
          </cell>
          <cell r="C44" t="str">
            <v>Termohigrômetro Digital</v>
          </cell>
          <cell r="D44">
            <v>20</v>
          </cell>
          <cell r="E44" t="str">
            <v>Elus</v>
          </cell>
          <cell r="F44" t="str">
            <v>RBC - CAL 0439</v>
          </cell>
          <cell r="G44" t="str">
            <v>R0118/23</v>
          </cell>
          <cell r="H44">
            <v>45008</v>
          </cell>
          <cell r="I44">
            <v>45381</v>
          </cell>
          <cell r="J44" t="str">
            <v>%ur</v>
          </cell>
          <cell r="K44">
            <v>30</v>
          </cell>
          <cell r="L44">
            <v>80</v>
          </cell>
          <cell r="M44">
            <v>1</v>
          </cell>
          <cell r="N44">
            <v>8</v>
          </cell>
          <cell r="O44">
            <v>2</v>
          </cell>
          <cell r="P44">
            <v>2</v>
          </cell>
          <cell r="Q44">
            <v>1.4615084586538174</v>
          </cell>
          <cell r="R44">
            <v>1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1.285963382737576</v>
          </cell>
          <cell r="AA44">
            <v>-13.108108108108091</v>
          </cell>
          <cell r="AB44">
            <v>30</v>
          </cell>
          <cell r="AC44">
            <v>2</v>
          </cell>
          <cell r="AD44">
            <v>2</v>
          </cell>
          <cell r="AE44">
            <v>1000000</v>
          </cell>
          <cell r="AF44">
            <v>50</v>
          </cell>
          <cell r="AG44">
            <v>2</v>
          </cell>
          <cell r="AH44">
            <v>2</v>
          </cell>
          <cell r="AI44">
            <v>1000000</v>
          </cell>
          <cell r="AJ44">
            <v>80</v>
          </cell>
          <cell r="AK44">
            <v>2</v>
          </cell>
          <cell r="AL44">
            <v>2</v>
          </cell>
          <cell r="AM44">
            <v>1000000</v>
          </cell>
          <cell r="AN44" t="str">
            <v>-</v>
          </cell>
          <cell r="AO44" t="str">
            <v>-</v>
          </cell>
          <cell r="AP44" t="str">
            <v>-</v>
          </cell>
          <cell r="AQ44" t="str">
            <v>-</v>
          </cell>
          <cell r="AR44" t="str">
            <v>-</v>
          </cell>
          <cell r="AS44" t="str">
            <v>-</v>
          </cell>
          <cell r="AT44" t="str">
            <v>-</v>
          </cell>
          <cell r="AU44" t="str">
            <v>-</v>
          </cell>
          <cell r="AV44" t="str">
            <v>-</v>
          </cell>
          <cell r="AW44" t="str">
            <v>-</v>
          </cell>
          <cell r="AX44" t="str">
            <v>-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 t="str">
            <v>-</v>
          </cell>
        </row>
        <row r="45">
          <cell r="A45">
            <v>40</v>
          </cell>
          <cell r="B45" t="str">
            <v>EL-950</v>
          </cell>
          <cell r="C45" t="str">
            <v>Termohigrômetro Digital</v>
          </cell>
          <cell r="D45">
            <v>20</v>
          </cell>
          <cell r="E45" t="str">
            <v>Elus</v>
          </cell>
          <cell r="F45" t="str">
            <v>RBC - CAL 0439</v>
          </cell>
          <cell r="G45" t="str">
            <v>R0040/20</v>
          </cell>
          <cell r="H45">
            <v>43892</v>
          </cell>
          <cell r="I45">
            <v>44286</v>
          </cell>
          <cell r="J45" t="str">
            <v>%ur</v>
          </cell>
          <cell r="K45">
            <v>30</v>
          </cell>
          <cell r="L45">
            <v>80</v>
          </cell>
          <cell r="M45">
            <v>1</v>
          </cell>
          <cell r="N45">
            <v>4</v>
          </cell>
          <cell r="O45">
            <v>2</v>
          </cell>
          <cell r="P45">
            <v>4</v>
          </cell>
          <cell r="Q45">
            <v>1.1270711351480074</v>
          </cell>
          <cell r="R45">
            <v>1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1.1573747353563866</v>
          </cell>
          <cell r="AA45">
            <v>-7.6217360621030181</v>
          </cell>
          <cell r="AB45">
            <v>30</v>
          </cell>
          <cell r="AC45">
            <v>2</v>
          </cell>
          <cell r="AD45">
            <v>2</v>
          </cell>
          <cell r="AE45">
            <v>1000000</v>
          </cell>
          <cell r="AF45">
            <v>50</v>
          </cell>
          <cell r="AG45">
            <v>2</v>
          </cell>
          <cell r="AH45">
            <v>2</v>
          </cell>
          <cell r="AI45">
            <v>1000000</v>
          </cell>
          <cell r="AJ45">
            <v>80</v>
          </cell>
          <cell r="AK45">
            <v>2</v>
          </cell>
          <cell r="AL45">
            <v>2</v>
          </cell>
          <cell r="AM45">
            <v>1000000</v>
          </cell>
          <cell r="AN45" t="str">
            <v>-</v>
          </cell>
          <cell r="AO45" t="str">
            <v>-</v>
          </cell>
          <cell r="AP45" t="str">
            <v>-</v>
          </cell>
          <cell r="AQ45" t="str">
            <v>-</v>
          </cell>
          <cell r="AR45" t="str">
            <v>-</v>
          </cell>
          <cell r="AS45" t="str">
            <v>-</v>
          </cell>
          <cell r="AT45" t="str">
            <v>-</v>
          </cell>
          <cell r="AU45" t="str">
            <v>-</v>
          </cell>
          <cell r="AV45" t="str">
            <v>-</v>
          </cell>
          <cell r="AW45" t="str">
            <v>-</v>
          </cell>
          <cell r="AX45" t="str">
            <v>-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 t="str">
            <v>-</v>
          </cell>
        </row>
        <row r="46">
          <cell r="A46">
            <v>41</v>
          </cell>
          <cell r="B46" t="str">
            <v>E.TH.FS-040</v>
          </cell>
          <cell r="C46" t="str">
            <v>Termohigrômetro Digital</v>
          </cell>
          <cell r="D46">
            <v>20</v>
          </cell>
          <cell r="E46" t="str">
            <v>Elus</v>
          </cell>
          <cell r="F46" t="str">
            <v>RBC - CAL 0439</v>
          </cell>
          <cell r="G46" t="str">
            <v>E0004/26</v>
          </cell>
          <cell r="H46">
            <v>46029</v>
          </cell>
          <cell r="I46">
            <v>46417</v>
          </cell>
          <cell r="J46" t="str">
            <v>%ur</v>
          </cell>
          <cell r="K46">
            <v>30</v>
          </cell>
          <cell r="L46">
            <v>90</v>
          </cell>
          <cell r="M46">
            <v>1</v>
          </cell>
          <cell r="N46">
            <v>2</v>
          </cell>
          <cell r="O46">
            <v>2</v>
          </cell>
          <cell r="P46">
            <v>6</v>
          </cell>
          <cell r="Q46">
            <v>0.43842363202141055</v>
          </cell>
          <cell r="R46">
            <v>2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0.98029793368572804</v>
          </cell>
          <cell r="AA46">
            <v>2.6525708793849105</v>
          </cell>
          <cell r="AB46">
            <v>30</v>
          </cell>
          <cell r="AC46">
            <v>1</v>
          </cell>
          <cell r="AD46">
            <v>2</v>
          </cell>
          <cell r="AE46">
            <v>1000000</v>
          </cell>
          <cell r="AF46">
            <v>50</v>
          </cell>
          <cell r="AG46">
            <v>2</v>
          </cell>
          <cell r="AH46">
            <v>2</v>
          </cell>
          <cell r="AI46">
            <v>1000000</v>
          </cell>
          <cell r="AJ46">
            <v>70</v>
          </cell>
          <cell r="AK46">
            <v>2</v>
          </cell>
          <cell r="AL46">
            <v>2</v>
          </cell>
          <cell r="AM46">
            <v>1000000</v>
          </cell>
          <cell r="AN46">
            <v>90</v>
          </cell>
          <cell r="AO46">
            <v>2</v>
          </cell>
          <cell r="AP46">
            <v>2</v>
          </cell>
          <cell r="AQ46">
            <v>1000000</v>
          </cell>
          <cell r="AR46" t="str">
            <v>-</v>
          </cell>
          <cell r="AS46" t="str">
            <v>-</v>
          </cell>
          <cell r="AT46" t="str">
            <v>-</v>
          </cell>
          <cell r="AU46" t="str">
            <v>-</v>
          </cell>
          <cell r="AV46" t="str">
            <v>-</v>
          </cell>
          <cell r="AW46" t="str">
            <v>-</v>
          </cell>
          <cell r="AX46" t="str">
            <v>-</v>
          </cell>
          <cell r="AY46" t="str">
            <v>-</v>
          </cell>
          <cell r="AZ46" t="str">
            <v>-</v>
          </cell>
          <cell r="BA46" t="str">
            <v>-</v>
          </cell>
          <cell r="BB46" t="str">
            <v>-</v>
          </cell>
          <cell r="BC46" t="str">
            <v>-</v>
          </cell>
          <cell r="BD46" t="str">
            <v>-</v>
          </cell>
          <cell r="BE46" t="str">
            <v>-</v>
          </cell>
          <cell r="BF46" t="str">
            <v>-</v>
          </cell>
          <cell r="BG46" t="str">
            <v>-</v>
          </cell>
          <cell r="BH46" t="str">
            <v>-</v>
          </cell>
          <cell r="BI46" t="str">
            <v>-</v>
          </cell>
          <cell r="BJ46" t="str">
            <v>-</v>
          </cell>
          <cell r="BK46" t="str">
            <v>-</v>
          </cell>
          <cell r="BL46" t="str">
            <v>-</v>
          </cell>
          <cell r="BM46" t="str">
            <v>-</v>
          </cell>
          <cell r="BN46" t="str">
            <v>-</v>
          </cell>
          <cell r="BO46" t="str">
            <v>-</v>
          </cell>
        </row>
        <row r="47">
          <cell r="A47">
            <v>42</v>
          </cell>
          <cell r="B47" t="str">
            <v>EL-952</v>
          </cell>
          <cell r="C47" t="str">
            <v>Termohigrômetro Digital</v>
          </cell>
          <cell r="D47">
            <v>20</v>
          </cell>
          <cell r="E47" t="str">
            <v>Elus</v>
          </cell>
          <cell r="F47" t="str">
            <v>RBC - CAL 0439</v>
          </cell>
          <cell r="G47" t="str">
            <v>R0152/21</v>
          </cell>
          <cell r="H47">
            <v>44274</v>
          </cell>
          <cell r="I47">
            <v>44651</v>
          </cell>
          <cell r="J47" t="str">
            <v>%ur</v>
          </cell>
          <cell r="K47">
            <v>30</v>
          </cell>
          <cell r="L47">
            <v>80</v>
          </cell>
          <cell r="M47">
            <v>1</v>
          </cell>
          <cell r="N47">
            <v>6</v>
          </cell>
          <cell r="O47">
            <v>2</v>
          </cell>
          <cell r="P47">
            <v>1</v>
          </cell>
          <cell r="Q47">
            <v>0.39513038984679838</v>
          </cell>
          <cell r="R47">
            <v>1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1.2177985948477752</v>
          </cell>
          <cell r="AA47">
            <v>-9.9921935987509727</v>
          </cell>
          <cell r="AB47">
            <v>30</v>
          </cell>
          <cell r="AC47">
            <v>2</v>
          </cell>
          <cell r="AD47">
            <v>2</v>
          </cell>
          <cell r="AE47">
            <v>1000000</v>
          </cell>
          <cell r="AF47">
            <v>50</v>
          </cell>
          <cell r="AG47">
            <v>2</v>
          </cell>
          <cell r="AH47">
            <v>2</v>
          </cell>
          <cell r="AI47">
            <v>1000000</v>
          </cell>
          <cell r="AJ47">
            <v>80</v>
          </cell>
          <cell r="AK47">
            <v>2</v>
          </cell>
          <cell r="AL47">
            <v>2</v>
          </cell>
          <cell r="AM47">
            <v>1000000</v>
          </cell>
          <cell r="AN47" t="str">
            <v>-</v>
          </cell>
          <cell r="AO47" t="str">
            <v>-</v>
          </cell>
          <cell r="AP47" t="str">
            <v>-</v>
          </cell>
          <cell r="AQ47" t="str">
            <v>-</v>
          </cell>
          <cell r="AR47" t="str">
            <v>-</v>
          </cell>
          <cell r="AS47" t="str">
            <v>-</v>
          </cell>
          <cell r="AT47" t="str">
            <v>-</v>
          </cell>
          <cell r="AU47" t="str">
            <v>-</v>
          </cell>
          <cell r="AV47" t="str">
            <v>-</v>
          </cell>
          <cell r="AW47" t="str">
            <v>-</v>
          </cell>
          <cell r="AX47" t="str">
            <v>-</v>
          </cell>
          <cell r="AY47" t="str">
            <v>-</v>
          </cell>
          <cell r="AZ47" t="str">
            <v>-</v>
          </cell>
          <cell r="BA47" t="str">
            <v>-</v>
          </cell>
          <cell r="BB47" t="str">
            <v>-</v>
          </cell>
          <cell r="BC47" t="str">
            <v>-</v>
          </cell>
          <cell r="BD47" t="str">
            <v>-</v>
          </cell>
          <cell r="BE47" t="str">
            <v>-</v>
          </cell>
          <cell r="BF47" t="str">
            <v>-</v>
          </cell>
          <cell r="BG47" t="str">
            <v>-</v>
          </cell>
          <cell r="BH47" t="str">
            <v>-</v>
          </cell>
          <cell r="BI47" t="str">
            <v>-</v>
          </cell>
          <cell r="BJ47" t="str">
            <v>-</v>
          </cell>
          <cell r="BK47" t="str">
            <v>-</v>
          </cell>
          <cell r="BL47" t="str">
            <v>-</v>
          </cell>
          <cell r="BM47" t="str">
            <v>-</v>
          </cell>
          <cell r="BN47" t="str">
            <v>-</v>
          </cell>
          <cell r="BO47" t="str">
            <v>-</v>
          </cell>
        </row>
        <row r="48">
          <cell r="A48">
            <v>43</v>
          </cell>
          <cell r="B48" t="str">
            <v>E.TH.FS-053</v>
          </cell>
          <cell r="C48" t="str">
            <v>Termohigrômetro Digital</v>
          </cell>
          <cell r="D48">
            <v>20</v>
          </cell>
          <cell r="E48" t="str">
            <v>Elus</v>
          </cell>
          <cell r="F48" t="str">
            <v>RBC - CAL 0439</v>
          </cell>
          <cell r="G48" t="str">
            <v>E0132/25</v>
          </cell>
          <cell r="H48">
            <v>45733</v>
          </cell>
          <cell r="I48">
            <v>46112</v>
          </cell>
          <cell r="J48" t="str">
            <v>%ur</v>
          </cell>
          <cell r="K48">
            <v>30</v>
          </cell>
          <cell r="L48">
            <v>80</v>
          </cell>
          <cell r="M48">
            <v>1</v>
          </cell>
          <cell r="N48">
            <v>10</v>
          </cell>
          <cell r="O48">
            <v>2</v>
          </cell>
          <cell r="P48">
            <v>4</v>
          </cell>
          <cell r="Q48">
            <v>0.21329769189682679</v>
          </cell>
          <cell r="R48">
            <v>1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1.3148316651501364</v>
          </cell>
          <cell r="AA48">
            <v>-11.969972702456765</v>
          </cell>
          <cell r="AB48">
            <v>30</v>
          </cell>
          <cell r="AC48">
            <v>2</v>
          </cell>
          <cell r="AD48">
            <v>2</v>
          </cell>
          <cell r="AE48">
            <v>1000000</v>
          </cell>
          <cell r="AF48">
            <v>50</v>
          </cell>
          <cell r="AG48">
            <v>2</v>
          </cell>
          <cell r="AH48">
            <v>2</v>
          </cell>
          <cell r="AI48">
            <v>1000000</v>
          </cell>
          <cell r="AJ48">
            <v>80</v>
          </cell>
          <cell r="AK48">
            <v>2</v>
          </cell>
          <cell r="AL48">
            <v>2</v>
          </cell>
          <cell r="AM48">
            <v>1000000</v>
          </cell>
          <cell r="AN48" t="str">
            <v>-</v>
          </cell>
          <cell r="AO48" t="str">
            <v>-</v>
          </cell>
          <cell r="AP48" t="str">
            <v>-</v>
          </cell>
          <cell r="AQ48" t="str">
            <v>-</v>
          </cell>
          <cell r="AR48" t="str">
            <v>-</v>
          </cell>
          <cell r="AS48" t="str">
            <v>-</v>
          </cell>
          <cell r="AT48" t="str">
            <v>-</v>
          </cell>
          <cell r="AU48" t="str">
            <v>-</v>
          </cell>
          <cell r="AV48" t="str">
            <v>-</v>
          </cell>
          <cell r="AW48" t="str">
            <v>-</v>
          </cell>
          <cell r="AX48" t="str">
            <v>-</v>
          </cell>
          <cell r="AY48" t="str">
            <v>-</v>
          </cell>
          <cell r="AZ48" t="str">
            <v>-</v>
          </cell>
          <cell r="BA48" t="str">
            <v>-</v>
          </cell>
          <cell r="BB48" t="str">
            <v>-</v>
          </cell>
          <cell r="BC48" t="str">
            <v>-</v>
          </cell>
          <cell r="BD48" t="str">
            <v>-</v>
          </cell>
          <cell r="BE48" t="str">
            <v>-</v>
          </cell>
          <cell r="BF48" t="str">
            <v>-</v>
          </cell>
          <cell r="BG48" t="str">
            <v>-</v>
          </cell>
          <cell r="BH48" t="str">
            <v>-</v>
          </cell>
          <cell r="BI48" t="str">
            <v>-</v>
          </cell>
          <cell r="BJ48" t="str">
            <v>-</v>
          </cell>
          <cell r="BK48" t="str">
            <v>-</v>
          </cell>
          <cell r="BL48" t="str">
            <v>-</v>
          </cell>
          <cell r="BM48" t="str">
            <v>-</v>
          </cell>
          <cell r="BN48" t="str">
            <v>-</v>
          </cell>
          <cell r="BO48" t="str">
            <v>-</v>
          </cell>
        </row>
        <row r="49">
          <cell r="A49">
            <v>44</v>
          </cell>
          <cell r="B49" t="str">
            <v>EL-954</v>
          </cell>
          <cell r="C49" t="str">
            <v>Termohigrômetro Digital</v>
          </cell>
          <cell r="D49">
            <v>20</v>
          </cell>
          <cell r="E49" t="str">
            <v>Elus</v>
          </cell>
          <cell r="F49" t="str">
            <v>RBC - CAL 0439</v>
          </cell>
          <cell r="G49" t="str">
            <v>R0044/20</v>
          </cell>
          <cell r="H49">
            <v>43892</v>
          </cell>
          <cell r="I49">
            <v>44286</v>
          </cell>
          <cell r="J49" t="str">
            <v>%ur</v>
          </cell>
          <cell r="K49">
            <v>30</v>
          </cell>
          <cell r="L49">
            <v>80</v>
          </cell>
          <cell r="M49">
            <v>1</v>
          </cell>
          <cell r="N49">
            <v>4</v>
          </cell>
          <cell r="O49">
            <v>2</v>
          </cell>
          <cell r="P49">
            <v>4</v>
          </cell>
          <cell r="Q49">
            <v>2.057602945428421</v>
          </cell>
          <cell r="R49">
            <v>1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1.1511546536039188</v>
          </cell>
          <cell r="AA49">
            <v>-6.9104268719384194</v>
          </cell>
          <cell r="AB49">
            <v>30</v>
          </cell>
          <cell r="AC49">
            <v>2</v>
          </cell>
          <cell r="AD49">
            <v>2</v>
          </cell>
          <cell r="AE49">
            <v>1000000</v>
          </cell>
          <cell r="AF49">
            <v>50</v>
          </cell>
          <cell r="AG49">
            <v>2</v>
          </cell>
          <cell r="AH49">
            <v>2</v>
          </cell>
          <cell r="AI49">
            <v>1000000</v>
          </cell>
          <cell r="AJ49">
            <v>80</v>
          </cell>
          <cell r="AK49">
            <v>2</v>
          </cell>
          <cell r="AL49">
            <v>2</v>
          </cell>
          <cell r="AM49">
            <v>1000000</v>
          </cell>
          <cell r="AN49" t="str">
            <v>-</v>
          </cell>
          <cell r="AO49" t="str">
            <v>-</v>
          </cell>
          <cell r="AP49" t="str">
            <v>-</v>
          </cell>
          <cell r="AQ49" t="str">
            <v>-</v>
          </cell>
          <cell r="AR49" t="str">
            <v>-</v>
          </cell>
          <cell r="AS49" t="str">
            <v>-</v>
          </cell>
          <cell r="AT49" t="str">
            <v>-</v>
          </cell>
          <cell r="AU49" t="str">
            <v>-</v>
          </cell>
          <cell r="AV49" t="str">
            <v>-</v>
          </cell>
          <cell r="AW49" t="str">
            <v>-</v>
          </cell>
          <cell r="AX49" t="str">
            <v>-</v>
          </cell>
          <cell r="AY49" t="str">
            <v>-</v>
          </cell>
          <cell r="AZ49" t="str">
            <v>-</v>
          </cell>
          <cell r="BA49" t="str">
            <v>-</v>
          </cell>
          <cell r="BB49" t="str">
            <v>-</v>
          </cell>
          <cell r="BC49" t="str">
            <v>-</v>
          </cell>
          <cell r="BD49" t="str">
            <v>-</v>
          </cell>
          <cell r="BE49" t="str">
            <v>-</v>
          </cell>
          <cell r="BF49" t="str">
            <v>-</v>
          </cell>
          <cell r="BG49" t="str">
            <v>-</v>
          </cell>
          <cell r="BH49" t="str">
            <v>-</v>
          </cell>
          <cell r="BI49" t="str">
            <v>-</v>
          </cell>
          <cell r="BJ49" t="str">
            <v>-</v>
          </cell>
          <cell r="BK49" t="str">
            <v>-</v>
          </cell>
          <cell r="BL49" t="str">
            <v>-</v>
          </cell>
          <cell r="BM49" t="str">
            <v>-</v>
          </cell>
          <cell r="BN49" t="str">
            <v>-</v>
          </cell>
          <cell r="BO49" t="str">
            <v>-</v>
          </cell>
        </row>
        <row r="50">
          <cell r="A50">
            <v>45</v>
          </cell>
          <cell r="B50" t="str">
            <v>EL-955</v>
          </cell>
          <cell r="C50" t="str">
            <v>Termohigrômetro Digital</v>
          </cell>
          <cell r="D50">
            <v>20</v>
          </cell>
          <cell r="E50" t="str">
            <v>Elus</v>
          </cell>
          <cell r="F50" t="str">
            <v>RBC - CAL 0439</v>
          </cell>
          <cell r="G50" t="str">
            <v>R0013/24</v>
          </cell>
          <cell r="H50">
            <v>45373</v>
          </cell>
          <cell r="I50">
            <v>45747</v>
          </cell>
          <cell r="J50" t="str">
            <v>%ur</v>
          </cell>
          <cell r="K50">
            <v>30</v>
          </cell>
          <cell r="L50">
            <v>80</v>
          </cell>
          <cell r="M50">
            <v>1</v>
          </cell>
          <cell r="N50">
            <v>14</v>
          </cell>
          <cell r="O50">
            <v>2</v>
          </cell>
          <cell r="P50">
            <v>4</v>
          </cell>
          <cell r="Q50">
            <v>0.47781848256750692</v>
          </cell>
          <cell r="R50">
            <v>1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1.4726027397260268</v>
          </cell>
          <cell r="AA50">
            <v>-17.35159817351596</v>
          </cell>
          <cell r="AB50">
            <v>30</v>
          </cell>
          <cell r="AC50">
            <v>2</v>
          </cell>
          <cell r="AD50">
            <v>2</v>
          </cell>
          <cell r="AE50">
            <v>1000000</v>
          </cell>
          <cell r="AF50">
            <v>50</v>
          </cell>
          <cell r="AG50">
            <v>2</v>
          </cell>
          <cell r="AH50">
            <v>2</v>
          </cell>
          <cell r="AI50">
            <v>1000000</v>
          </cell>
          <cell r="AJ50">
            <v>80</v>
          </cell>
          <cell r="AK50">
            <v>2</v>
          </cell>
          <cell r="AL50">
            <v>2</v>
          </cell>
          <cell r="AM50">
            <v>1000000</v>
          </cell>
          <cell r="AN50" t="str">
            <v>-</v>
          </cell>
          <cell r="AO50" t="str">
            <v>-</v>
          </cell>
          <cell r="AP50" t="str">
            <v>-</v>
          </cell>
          <cell r="AQ50" t="str">
            <v>-</v>
          </cell>
          <cell r="AR50" t="str">
            <v>-</v>
          </cell>
          <cell r="AS50" t="str">
            <v>-</v>
          </cell>
          <cell r="AT50" t="str">
            <v>-</v>
          </cell>
          <cell r="AU50" t="str">
            <v>-</v>
          </cell>
          <cell r="AV50" t="str">
            <v>-</v>
          </cell>
          <cell r="AW50" t="str">
            <v>-</v>
          </cell>
          <cell r="AX50" t="str">
            <v>-</v>
          </cell>
          <cell r="AY50" t="str">
            <v>-</v>
          </cell>
          <cell r="AZ50" t="str">
            <v>-</v>
          </cell>
          <cell r="BA50" t="str">
            <v>-</v>
          </cell>
          <cell r="BB50" t="str">
            <v>-</v>
          </cell>
          <cell r="BC50" t="str">
            <v>-</v>
          </cell>
          <cell r="BD50" t="str">
            <v>-</v>
          </cell>
          <cell r="BE50" t="str">
            <v>-</v>
          </cell>
          <cell r="BF50" t="str">
            <v>-</v>
          </cell>
          <cell r="BG50" t="str">
            <v>-</v>
          </cell>
          <cell r="BH50" t="str">
            <v>-</v>
          </cell>
          <cell r="BI50" t="str">
            <v>-</v>
          </cell>
          <cell r="BJ50" t="str">
            <v>-</v>
          </cell>
          <cell r="BK50" t="str">
            <v>-</v>
          </cell>
          <cell r="BL50" t="str">
            <v>-</v>
          </cell>
          <cell r="BM50" t="str">
            <v>-</v>
          </cell>
          <cell r="BN50" t="str">
            <v>-</v>
          </cell>
          <cell r="BO50" t="str">
            <v>-</v>
          </cell>
        </row>
        <row r="51">
          <cell r="A51">
            <v>46</v>
          </cell>
          <cell r="B51" t="str">
            <v>E.TH.FS-001</v>
          </cell>
          <cell r="C51" t="str">
            <v>Termohigrômetro Digital</v>
          </cell>
          <cell r="D51">
            <v>20</v>
          </cell>
          <cell r="E51" t="str">
            <v>Elus</v>
          </cell>
          <cell r="F51" t="str">
            <v>RBC - CAL 0439</v>
          </cell>
          <cell r="G51" t="str">
            <v>E0832/25</v>
          </cell>
          <cell r="H51">
            <v>45807</v>
          </cell>
          <cell r="I51">
            <v>46172</v>
          </cell>
          <cell r="J51" t="str">
            <v>%ur</v>
          </cell>
          <cell r="K51">
            <v>30</v>
          </cell>
          <cell r="L51">
            <v>80</v>
          </cell>
          <cell r="M51">
            <v>1</v>
          </cell>
          <cell r="N51">
            <v>4</v>
          </cell>
          <cell r="O51">
            <v>2</v>
          </cell>
          <cell r="P51">
            <v>2</v>
          </cell>
          <cell r="Q51">
            <v>0.77037121577134826</v>
          </cell>
          <cell r="R51">
            <v>1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1.1869436201780414</v>
          </cell>
          <cell r="AA51">
            <v>-9.9703264094955415</v>
          </cell>
          <cell r="AB51">
            <v>30</v>
          </cell>
          <cell r="AC51">
            <v>2</v>
          </cell>
          <cell r="AD51">
            <v>2</v>
          </cell>
          <cell r="AE51">
            <v>1000000</v>
          </cell>
          <cell r="AF51">
            <v>50</v>
          </cell>
          <cell r="AG51">
            <v>2</v>
          </cell>
          <cell r="AH51">
            <v>2</v>
          </cell>
          <cell r="AI51">
            <v>1000000</v>
          </cell>
          <cell r="AJ51">
            <v>80</v>
          </cell>
          <cell r="AK51">
            <v>2</v>
          </cell>
          <cell r="AL51">
            <v>2</v>
          </cell>
          <cell r="AM51">
            <v>1000000</v>
          </cell>
          <cell r="AN51" t="str">
            <v>-</v>
          </cell>
          <cell r="AO51" t="str">
            <v>-</v>
          </cell>
          <cell r="AP51" t="str">
            <v>-</v>
          </cell>
          <cell r="AQ51" t="str">
            <v>-</v>
          </cell>
          <cell r="AR51" t="str">
            <v>-</v>
          </cell>
          <cell r="AS51" t="str">
            <v>-</v>
          </cell>
          <cell r="AT51" t="str">
            <v>-</v>
          </cell>
          <cell r="AU51" t="str">
            <v>-</v>
          </cell>
          <cell r="AV51" t="str">
            <v>-</v>
          </cell>
          <cell r="AW51" t="str">
            <v>-</v>
          </cell>
          <cell r="AX51" t="str">
            <v>-</v>
          </cell>
          <cell r="AY51" t="str">
            <v>-</v>
          </cell>
          <cell r="AZ51" t="str">
            <v>-</v>
          </cell>
          <cell r="BA51" t="str">
            <v>-</v>
          </cell>
          <cell r="BB51" t="str">
            <v>-</v>
          </cell>
          <cell r="BC51" t="str">
            <v>-</v>
          </cell>
          <cell r="BD51" t="str">
            <v>-</v>
          </cell>
          <cell r="BE51" t="str">
            <v>-</v>
          </cell>
          <cell r="BF51" t="str">
            <v>-</v>
          </cell>
          <cell r="BG51" t="str">
            <v>-</v>
          </cell>
          <cell r="BH51" t="str">
            <v>-</v>
          </cell>
          <cell r="BI51" t="str">
            <v>-</v>
          </cell>
          <cell r="BJ51" t="str">
            <v>-</v>
          </cell>
          <cell r="BK51" t="str">
            <v>-</v>
          </cell>
          <cell r="BL51" t="str">
            <v>-</v>
          </cell>
          <cell r="BM51" t="str">
            <v>-</v>
          </cell>
          <cell r="BN51" t="str">
            <v>-</v>
          </cell>
          <cell r="BO51" t="str">
            <v>-</v>
          </cell>
        </row>
        <row r="52">
          <cell r="A52">
            <v>47</v>
          </cell>
          <cell r="B52" t="str">
            <v>EL-957</v>
          </cell>
          <cell r="C52" t="str">
            <v>Termohigrômetro Digital</v>
          </cell>
          <cell r="D52">
            <v>20</v>
          </cell>
          <cell r="E52" t="str">
            <v>Elus</v>
          </cell>
          <cell r="F52" t="str">
            <v>RBC - CAL 0439</v>
          </cell>
          <cell r="G52" t="str">
            <v>R0047/20</v>
          </cell>
          <cell r="H52">
            <v>43892</v>
          </cell>
          <cell r="I52">
            <v>44286</v>
          </cell>
          <cell r="J52" t="str">
            <v>%ur</v>
          </cell>
          <cell r="K52">
            <v>30</v>
          </cell>
          <cell r="L52">
            <v>80</v>
          </cell>
          <cell r="M52">
            <v>1</v>
          </cell>
          <cell r="N52">
            <v>3</v>
          </cell>
          <cell r="O52">
            <v>2</v>
          </cell>
          <cell r="P52">
            <v>3</v>
          </cell>
          <cell r="Q52">
            <v>0.5298335995093737</v>
          </cell>
          <cell r="R52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1.0885839051777917</v>
          </cell>
          <cell r="AA52">
            <v>-3.9987523393636906</v>
          </cell>
          <cell r="AB52">
            <v>30</v>
          </cell>
          <cell r="AC52">
            <v>2</v>
          </cell>
          <cell r="AD52">
            <v>2</v>
          </cell>
          <cell r="AE52">
            <v>1000000</v>
          </cell>
          <cell r="AF52">
            <v>50</v>
          </cell>
          <cell r="AG52">
            <v>2</v>
          </cell>
          <cell r="AH52">
            <v>2</v>
          </cell>
          <cell r="AI52">
            <v>1000000</v>
          </cell>
          <cell r="AJ52">
            <v>80</v>
          </cell>
          <cell r="AK52">
            <v>2</v>
          </cell>
          <cell r="AL52">
            <v>2</v>
          </cell>
          <cell r="AM52">
            <v>1000000</v>
          </cell>
          <cell r="AN52" t="str">
            <v>-</v>
          </cell>
          <cell r="AO52" t="str">
            <v>-</v>
          </cell>
          <cell r="AP52" t="str">
            <v>-</v>
          </cell>
          <cell r="AQ52" t="str">
            <v>-</v>
          </cell>
          <cell r="AR52" t="str">
            <v>-</v>
          </cell>
          <cell r="AS52" t="str">
            <v>-</v>
          </cell>
          <cell r="AT52" t="str">
            <v>-</v>
          </cell>
          <cell r="AU52" t="str">
            <v>-</v>
          </cell>
          <cell r="AV52" t="str">
            <v>-</v>
          </cell>
          <cell r="AW52" t="str">
            <v>-</v>
          </cell>
          <cell r="AX52" t="str">
            <v>-</v>
          </cell>
          <cell r="AY52" t="str">
            <v>-</v>
          </cell>
          <cell r="AZ52" t="str">
            <v>-</v>
          </cell>
          <cell r="BA52" t="str">
            <v>-</v>
          </cell>
          <cell r="BB52" t="str">
            <v>-</v>
          </cell>
          <cell r="BC52" t="str">
            <v>-</v>
          </cell>
          <cell r="BD52" t="str">
            <v>-</v>
          </cell>
          <cell r="BE52" t="str">
            <v>-</v>
          </cell>
          <cell r="BF52" t="str">
            <v>-</v>
          </cell>
          <cell r="BG52" t="str">
            <v>-</v>
          </cell>
          <cell r="BH52" t="str">
            <v>-</v>
          </cell>
          <cell r="BI52" t="str">
            <v>-</v>
          </cell>
          <cell r="BJ52" t="str">
            <v>-</v>
          </cell>
          <cell r="BK52" t="str">
            <v>-</v>
          </cell>
          <cell r="BL52" t="str">
            <v>-</v>
          </cell>
          <cell r="BM52" t="str">
            <v>-</v>
          </cell>
          <cell r="BN52" t="str">
            <v>-</v>
          </cell>
          <cell r="BO52" t="str">
            <v>-</v>
          </cell>
        </row>
        <row r="53">
          <cell r="A53">
            <v>48</v>
          </cell>
          <cell r="B53" t="str">
            <v>EL-958</v>
          </cell>
          <cell r="C53" t="str">
            <v>Termohigrômetro Digital</v>
          </cell>
          <cell r="D53">
            <v>20</v>
          </cell>
          <cell r="E53" t="str">
            <v>Elus</v>
          </cell>
          <cell r="F53" t="str">
            <v>RBC - CAL 0439</v>
          </cell>
          <cell r="G53" t="str">
            <v>R0105/21</v>
          </cell>
          <cell r="H53">
            <v>44274</v>
          </cell>
          <cell r="I53">
            <v>44651</v>
          </cell>
          <cell r="J53" t="str">
            <v>%ur</v>
          </cell>
          <cell r="K53">
            <v>30</v>
          </cell>
          <cell r="L53">
            <v>80</v>
          </cell>
          <cell r="M53">
            <v>1</v>
          </cell>
          <cell r="N53">
            <v>7</v>
          </cell>
          <cell r="O53">
            <v>2</v>
          </cell>
          <cell r="P53">
            <v>7</v>
          </cell>
          <cell r="Q53">
            <v>0</v>
          </cell>
          <cell r="R53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1.2499999999999998</v>
          </cell>
          <cell r="AA53">
            <v>-11.249999999999979</v>
          </cell>
          <cell r="AB53">
            <v>30</v>
          </cell>
          <cell r="AC53">
            <v>2</v>
          </cell>
          <cell r="AD53">
            <v>2</v>
          </cell>
          <cell r="AE53">
            <v>1000000</v>
          </cell>
          <cell r="AF53">
            <v>50</v>
          </cell>
          <cell r="AG53">
            <v>2</v>
          </cell>
          <cell r="AH53">
            <v>2</v>
          </cell>
          <cell r="AI53">
            <v>1000000</v>
          </cell>
          <cell r="AJ53">
            <v>80</v>
          </cell>
          <cell r="AK53">
            <v>2</v>
          </cell>
          <cell r="AL53">
            <v>2</v>
          </cell>
          <cell r="AM53">
            <v>1000000</v>
          </cell>
          <cell r="AN53" t="str">
            <v>-</v>
          </cell>
          <cell r="AO53" t="str">
            <v>-</v>
          </cell>
          <cell r="AP53" t="str">
            <v>-</v>
          </cell>
          <cell r="AQ53" t="str">
            <v>-</v>
          </cell>
          <cell r="AR53" t="str">
            <v>-</v>
          </cell>
          <cell r="AS53" t="str">
            <v>-</v>
          </cell>
          <cell r="AT53" t="str">
            <v>-</v>
          </cell>
          <cell r="AU53" t="str">
            <v>-</v>
          </cell>
          <cell r="AV53" t="str">
            <v>-</v>
          </cell>
          <cell r="AW53" t="str">
            <v>-</v>
          </cell>
          <cell r="AX53" t="str">
            <v>-</v>
          </cell>
          <cell r="AY53" t="str">
            <v>-</v>
          </cell>
          <cell r="AZ53" t="str">
            <v>-</v>
          </cell>
          <cell r="BA53" t="str">
            <v>-</v>
          </cell>
          <cell r="BB53" t="str">
            <v>-</v>
          </cell>
          <cell r="BC53" t="str">
            <v>-</v>
          </cell>
          <cell r="BD53" t="str">
            <v>-</v>
          </cell>
          <cell r="BE53" t="str">
            <v>-</v>
          </cell>
          <cell r="BF53" t="str">
            <v>-</v>
          </cell>
          <cell r="BG53" t="str">
            <v>-</v>
          </cell>
          <cell r="BH53" t="str">
            <v>-</v>
          </cell>
          <cell r="BI53" t="str">
            <v>-</v>
          </cell>
          <cell r="BJ53" t="str">
            <v>-</v>
          </cell>
          <cell r="BK53" t="str">
            <v>-</v>
          </cell>
          <cell r="BL53" t="str">
            <v>-</v>
          </cell>
          <cell r="BM53" t="str">
            <v>-</v>
          </cell>
          <cell r="BN53" t="str">
            <v>-</v>
          </cell>
          <cell r="BO53" t="str">
            <v>-</v>
          </cell>
        </row>
        <row r="54">
          <cell r="A54">
            <v>49</v>
          </cell>
          <cell r="B54" t="str">
            <v>E.TH.LT-025</v>
          </cell>
          <cell r="C54" t="str">
            <v>Termohigrômetro Digital</v>
          </cell>
          <cell r="D54">
            <v>20</v>
          </cell>
          <cell r="E54" t="str">
            <v>Elus</v>
          </cell>
          <cell r="F54" t="str">
            <v>RBC - CAL 0439</v>
          </cell>
          <cell r="G54" t="str">
            <v>E0201/25</v>
          </cell>
          <cell r="H54">
            <v>45761</v>
          </cell>
          <cell r="I54">
            <v>46142</v>
          </cell>
          <cell r="J54" t="str">
            <v>%ur</v>
          </cell>
          <cell r="K54">
            <v>20</v>
          </cell>
          <cell r="L54">
            <v>80</v>
          </cell>
          <cell r="M54">
            <v>0.1</v>
          </cell>
          <cell r="N54">
            <v>1.9000000000000057</v>
          </cell>
          <cell r="O54">
            <v>1.1000000000000001</v>
          </cell>
          <cell r="P54">
            <v>1.9000000000000057</v>
          </cell>
          <cell r="Q54">
            <v>0.47559919068412171</v>
          </cell>
          <cell r="R54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0.97075178285319341</v>
          </cell>
          <cell r="AA54">
            <v>0.68580943105776981</v>
          </cell>
          <cell r="AB54">
            <v>20</v>
          </cell>
          <cell r="AC54">
            <v>0.7</v>
          </cell>
          <cell r="AD54">
            <v>2</v>
          </cell>
          <cell r="AE54">
            <v>1000000</v>
          </cell>
          <cell r="AF54">
            <v>50</v>
          </cell>
          <cell r="AG54">
            <v>1.1000000000000001</v>
          </cell>
          <cell r="AH54">
            <v>2</v>
          </cell>
          <cell r="AI54">
            <v>1000000</v>
          </cell>
          <cell r="AJ54">
            <v>80</v>
          </cell>
          <cell r="AK54">
            <v>1.1000000000000001</v>
          </cell>
          <cell r="AL54">
            <v>2</v>
          </cell>
          <cell r="AM54">
            <v>1000000</v>
          </cell>
          <cell r="AN54" t="str">
            <v>-</v>
          </cell>
          <cell r="AO54" t="str">
            <v>-</v>
          </cell>
          <cell r="AP54" t="str">
            <v>-</v>
          </cell>
          <cell r="AQ54" t="str">
            <v>-</v>
          </cell>
          <cell r="AR54" t="str">
            <v>-</v>
          </cell>
          <cell r="AS54" t="str">
            <v>-</v>
          </cell>
          <cell r="AT54" t="str">
            <v>-</v>
          </cell>
          <cell r="AU54" t="str">
            <v>-</v>
          </cell>
          <cell r="AV54" t="str">
            <v>-</v>
          </cell>
          <cell r="AW54" t="str">
            <v>-</v>
          </cell>
          <cell r="AX54" t="str">
            <v>-</v>
          </cell>
          <cell r="AY54" t="str">
            <v>-</v>
          </cell>
          <cell r="AZ54" t="str">
            <v>-</v>
          </cell>
          <cell r="BA54" t="str">
            <v>-</v>
          </cell>
          <cell r="BB54" t="str">
            <v>-</v>
          </cell>
          <cell r="BC54" t="str">
            <v>-</v>
          </cell>
          <cell r="BD54" t="str">
            <v>-</v>
          </cell>
          <cell r="BE54" t="str">
            <v>-</v>
          </cell>
          <cell r="BF54" t="str">
            <v>-</v>
          </cell>
          <cell r="BG54" t="str">
            <v>-</v>
          </cell>
          <cell r="BH54" t="str">
            <v>-</v>
          </cell>
          <cell r="BI54" t="str">
            <v>-</v>
          </cell>
          <cell r="BJ54" t="str">
            <v>-</v>
          </cell>
          <cell r="BK54" t="str">
            <v>-</v>
          </cell>
          <cell r="BL54" t="str">
            <v>-</v>
          </cell>
          <cell r="BM54" t="str">
            <v>-</v>
          </cell>
          <cell r="BN54" t="str">
            <v>-</v>
          </cell>
          <cell r="BO54" t="str">
            <v>-</v>
          </cell>
        </row>
        <row r="55">
          <cell r="A55">
            <v>50</v>
          </cell>
          <cell r="B55" t="str">
            <v>E.TH.LP-001</v>
          </cell>
          <cell r="C55" t="str">
            <v>Termohigrômetro Digital</v>
          </cell>
          <cell r="D55">
            <v>20</v>
          </cell>
          <cell r="E55" t="str">
            <v>Elus</v>
          </cell>
          <cell r="F55" t="str">
            <v>RBC - CAL 0439</v>
          </cell>
          <cell r="G55" t="str">
            <v>E0396A/25</v>
          </cell>
          <cell r="H55">
            <v>45836</v>
          </cell>
          <cell r="I55">
            <v>46203</v>
          </cell>
          <cell r="J55" t="str">
            <v>%UR</v>
          </cell>
          <cell r="K55">
            <v>20</v>
          </cell>
          <cell r="L55">
            <v>80</v>
          </cell>
          <cell r="M55">
            <v>0.1</v>
          </cell>
          <cell r="N55">
            <v>0.5</v>
          </cell>
          <cell r="O55">
            <v>0.9</v>
          </cell>
          <cell r="P55">
            <v>0.10000000000000142</v>
          </cell>
          <cell r="Q55">
            <v>4.0756882072074063E-2</v>
          </cell>
          <cell r="R55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0.99833518517834929</v>
          </cell>
          <cell r="AA55">
            <v>-0.38264901200069801</v>
          </cell>
          <cell r="AB55">
            <v>20</v>
          </cell>
          <cell r="AC55">
            <v>0.4</v>
          </cell>
          <cell r="AD55">
            <v>2.0099999999999998</v>
          </cell>
          <cell r="AE55">
            <v>269</v>
          </cell>
          <cell r="AF55">
            <v>50</v>
          </cell>
          <cell r="AG55">
            <v>0.7</v>
          </cell>
          <cell r="AH55">
            <v>2.02</v>
          </cell>
          <cell r="AI55">
            <v>124</v>
          </cell>
          <cell r="AJ55">
            <v>80</v>
          </cell>
          <cell r="AK55">
            <v>0.9</v>
          </cell>
          <cell r="AL55">
            <v>2.02</v>
          </cell>
          <cell r="AM55">
            <v>104</v>
          </cell>
          <cell r="AN55" t="str">
            <v>-</v>
          </cell>
          <cell r="AO55" t="str">
            <v>-</v>
          </cell>
          <cell r="AP55" t="str">
            <v>-</v>
          </cell>
          <cell r="AQ55" t="str">
            <v>-</v>
          </cell>
          <cell r="AR55" t="str">
            <v>-</v>
          </cell>
          <cell r="AS55" t="str">
            <v>-</v>
          </cell>
          <cell r="AT55" t="str">
            <v>-</v>
          </cell>
          <cell r="AU55" t="str">
            <v>-</v>
          </cell>
          <cell r="AV55" t="str">
            <v>-</v>
          </cell>
          <cell r="AW55" t="str">
            <v>-</v>
          </cell>
          <cell r="AX55" t="str">
            <v>-</v>
          </cell>
          <cell r="AY55" t="str">
            <v>-</v>
          </cell>
          <cell r="AZ55" t="str">
            <v>-</v>
          </cell>
          <cell r="BA55" t="str">
            <v>-</v>
          </cell>
          <cell r="BB55" t="str">
            <v>-</v>
          </cell>
          <cell r="BC55" t="str">
            <v>-</v>
          </cell>
          <cell r="BD55" t="str">
            <v>-</v>
          </cell>
          <cell r="BE55" t="str">
            <v>-</v>
          </cell>
          <cell r="BF55" t="str">
            <v>-</v>
          </cell>
          <cell r="BG55" t="str">
            <v>-</v>
          </cell>
          <cell r="BH55" t="str">
            <v>-</v>
          </cell>
          <cell r="BI55" t="str">
            <v>-</v>
          </cell>
          <cell r="BJ55" t="str">
            <v>-</v>
          </cell>
          <cell r="BK55" t="str">
            <v>-</v>
          </cell>
          <cell r="BL55" t="str">
            <v>-</v>
          </cell>
          <cell r="BM55" t="str">
            <v>-</v>
          </cell>
          <cell r="BN55" t="str">
            <v>-</v>
          </cell>
          <cell r="BO55" t="str">
            <v>-</v>
          </cell>
        </row>
        <row r="56">
          <cell r="A56">
            <v>51</v>
          </cell>
          <cell r="B56" t="str">
            <v>E.TH.LE-002</v>
          </cell>
          <cell r="C56" t="str">
            <v>Termohigrômetro Digital</v>
          </cell>
          <cell r="D56">
            <v>20</v>
          </cell>
          <cell r="E56" t="str">
            <v>Elus</v>
          </cell>
          <cell r="F56" t="str">
            <v>RBC - CAL 0439</v>
          </cell>
          <cell r="G56" t="str">
            <v>E0203/25</v>
          </cell>
          <cell r="H56">
            <v>45761</v>
          </cell>
          <cell r="I56">
            <v>46142</v>
          </cell>
          <cell r="J56" t="str">
            <v>%UR</v>
          </cell>
          <cell r="K56">
            <v>20</v>
          </cell>
          <cell r="L56">
            <v>80</v>
          </cell>
          <cell r="M56">
            <v>0.1</v>
          </cell>
          <cell r="N56">
            <v>0.29999999999999716</v>
          </cell>
          <cell r="O56">
            <v>1.1000000000000001</v>
          </cell>
          <cell r="P56">
            <v>0.29999999999999716</v>
          </cell>
          <cell r="Q56">
            <v>0.44830088071000063</v>
          </cell>
          <cell r="R56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0.99822464022204893</v>
          </cell>
          <cell r="AA56">
            <v>2.2219679549422722E-2</v>
          </cell>
          <cell r="AB56">
            <v>20</v>
          </cell>
          <cell r="AC56">
            <v>0.7</v>
          </cell>
          <cell r="AD56">
            <v>2</v>
          </cell>
          <cell r="AE56">
            <v>1000000</v>
          </cell>
          <cell r="AF56">
            <v>50</v>
          </cell>
          <cell r="AG56">
            <v>1.1000000000000001</v>
          </cell>
          <cell r="AH56">
            <v>2</v>
          </cell>
          <cell r="AI56">
            <v>1000000</v>
          </cell>
          <cell r="AJ56">
            <v>80</v>
          </cell>
          <cell r="AK56">
            <v>1.1000000000000001</v>
          </cell>
          <cell r="AL56">
            <v>2</v>
          </cell>
          <cell r="AM56">
            <v>1000000</v>
          </cell>
          <cell r="AN56" t="str">
            <v>-</v>
          </cell>
          <cell r="AO56" t="str">
            <v>-</v>
          </cell>
          <cell r="AP56" t="str">
            <v>-</v>
          </cell>
          <cell r="AQ56" t="str">
            <v>-</v>
          </cell>
          <cell r="AR56" t="str">
            <v>-</v>
          </cell>
          <cell r="AS56" t="str">
            <v>-</v>
          </cell>
          <cell r="AT56" t="str">
            <v>-</v>
          </cell>
          <cell r="AU56" t="str">
            <v>-</v>
          </cell>
          <cell r="AV56" t="str">
            <v>-</v>
          </cell>
          <cell r="AW56" t="str">
            <v>-</v>
          </cell>
          <cell r="AX56" t="str">
            <v>-</v>
          </cell>
          <cell r="AY56" t="str">
            <v>-</v>
          </cell>
          <cell r="AZ56" t="str">
            <v>-</v>
          </cell>
          <cell r="BA56" t="str">
            <v>-</v>
          </cell>
          <cell r="BB56" t="str">
            <v>-</v>
          </cell>
          <cell r="BC56" t="str">
            <v>-</v>
          </cell>
          <cell r="BD56" t="str">
            <v>-</v>
          </cell>
          <cell r="BE56" t="str">
            <v>-</v>
          </cell>
          <cell r="BF56" t="str">
            <v>-</v>
          </cell>
          <cell r="BG56" t="str">
            <v>-</v>
          </cell>
          <cell r="BH56" t="str">
            <v>-</v>
          </cell>
          <cell r="BI56" t="str">
            <v>-</v>
          </cell>
          <cell r="BJ56" t="str">
            <v>-</v>
          </cell>
          <cell r="BK56" t="str">
            <v>-</v>
          </cell>
          <cell r="BL56" t="str">
            <v>-</v>
          </cell>
          <cell r="BM56" t="str">
            <v>-</v>
          </cell>
          <cell r="BN56" t="str">
            <v>-</v>
          </cell>
          <cell r="BO56" t="str">
            <v>-</v>
          </cell>
        </row>
        <row r="57">
          <cell r="A57">
            <v>52</v>
          </cell>
          <cell r="B57" t="str">
            <v>E.TH.LQ-001</v>
          </cell>
          <cell r="C57" t="str">
            <v>Termohigrômetro Digital</v>
          </cell>
          <cell r="D57">
            <v>20</v>
          </cell>
          <cell r="E57" t="str">
            <v>Elus</v>
          </cell>
          <cell r="F57" t="str">
            <v>RBC - CAL 0439</v>
          </cell>
          <cell r="G57" t="str">
            <v>E0397A/25</v>
          </cell>
          <cell r="H57">
            <v>45836</v>
          </cell>
          <cell r="I57">
            <v>46203</v>
          </cell>
          <cell r="J57" t="str">
            <v>%ur</v>
          </cell>
          <cell r="K57">
            <v>20</v>
          </cell>
          <cell r="L57">
            <v>80</v>
          </cell>
          <cell r="M57">
            <v>0.1</v>
          </cell>
          <cell r="N57">
            <v>0.70000000000000284</v>
          </cell>
          <cell r="O57">
            <v>0.9</v>
          </cell>
          <cell r="P57">
            <v>0.20000000000000284</v>
          </cell>
          <cell r="Q57">
            <v>8.1108783661761663E-2</v>
          </cell>
          <cell r="R57">
            <v>1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0.99337385285055901</v>
          </cell>
          <cell r="AA57">
            <v>-0.13226710719154511</v>
          </cell>
          <cell r="AB57">
            <v>20</v>
          </cell>
          <cell r="AC57">
            <v>0.4</v>
          </cell>
          <cell r="AD57">
            <v>2.0099999999999998</v>
          </cell>
          <cell r="AE57">
            <v>269</v>
          </cell>
          <cell r="AF57">
            <v>50</v>
          </cell>
          <cell r="AG57">
            <v>0.6</v>
          </cell>
          <cell r="AH57">
            <v>2.02</v>
          </cell>
          <cell r="AI57">
            <v>124</v>
          </cell>
          <cell r="AJ57">
            <v>80</v>
          </cell>
          <cell r="AK57">
            <v>0.9</v>
          </cell>
          <cell r="AL57">
            <v>2.02</v>
          </cell>
          <cell r="AM57">
            <v>104</v>
          </cell>
          <cell r="AN57" t="str">
            <v>-</v>
          </cell>
          <cell r="AO57" t="str">
            <v>-</v>
          </cell>
          <cell r="AP57" t="str">
            <v>-</v>
          </cell>
          <cell r="AQ57" t="str">
            <v>-</v>
          </cell>
          <cell r="AR57" t="str">
            <v>-</v>
          </cell>
          <cell r="AS57" t="str">
            <v>-</v>
          </cell>
          <cell r="AT57" t="str">
            <v>-</v>
          </cell>
          <cell r="AU57" t="str">
            <v>-</v>
          </cell>
          <cell r="AV57" t="str">
            <v>-</v>
          </cell>
          <cell r="AW57" t="str">
            <v>-</v>
          </cell>
          <cell r="AX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 t="str">
            <v>-</v>
          </cell>
          <cell r="BD57" t="str">
            <v>-</v>
          </cell>
          <cell r="BE57" t="str">
            <v>-</v>
          </cell>
          <cell r="BF57" t="str">
            <v>-</v>
          </cell>
          <cell r="BG57" t="str">
            <v>-</v>
          </cell>
          <cell r="BH57" t="str">
            <v>-</v>
          </cell>
          <cell r="BI57" t="str">
            <v>-</v>
          </cell>
          <cell r="BJ57" t="str">
            <v>-</v>
          </cell>
          <cell r="BK57" t="str">
            <v>-</v>
          </cell>
          <cell r="BL57" t="str">
            <v>-</v>
          </cell>
          <cell r="BM57" t="str">
            <v>-</v>
          </cell>
          <cell r="BN57" t="str">
            <v>-</v>
          </cell>
          <cell r="BO57" t="str">
            <v>-</v>
          </cell>
        </row>
        <row r="58">
          <cell r="A58">
            <v>53</v>
          </cell>
          <cell r="B58" t="str">
            <v>E.TH.LQ-019</v>
          </cell>
          <cell r="C58" t="str">
            <v>Termohigrômetro Digital</v>
          </cell>
          <cell r="D58">
            <v>20</v>
          </cell>
          <cell r="E58" t="str">
            <v>Elus</v>
          </cell>
          <cell r="F58" t="str">
            <v>RBC - CAL 0439</v>
          </cell>
          <cell r="G58" t="str">
            <v>E0205/25</v>
          </cell>
          <cell r="H58">
            <v>45761</v>
          </cell>
          <cell r="I58">
            <v>46142</v>
          </cell>
          <cell r="J58" t="str">
            <v>%ur</v>
          </cell>
          <cell r="K58">
            <v>20</v>
          </cell>
          <cell r="L58">
            <v>80</v>
          </cell>
          <cell r="M58">
            <v>0.1</v>
          </cell>
          <cell r="N58">
            <v>2.2999999999999972</v>
          </cell>
          <cell r="O58">
            <v>1.1000000000000001</v>
          </cell>
          <cell r="P58">
            <v>2.2999999999999972</v>
          </cell>
          <cell r="Q58">
            <v>7.1054273576010019E-15</v>
          </cell>
          <cell r="R58">
            <v>1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0.95541401273885374</v>
          </cell>
          <cell r="AA58">
            <v>1.3694267515923428</v>
          </cell>
          <cell r="AB58">
            <v>20</v>
          </cell>
          <cell r="AC58">
            <v>0.7</v>
          </cell>
          <cell r="AD58">
            <v>2</v>
          </cell>
          <cell r="AE58">
            <v>1000000</v>
          </cell>
          <cell r="AF58">
            <v>50</v>
          </cell>
          <cell r="AG58">
            <v>1.1000000000000001</v>
          </cell>
          <cell r="AH58">
            <v>2</v>
          </cell>
          <cell r="AI58">
            <v>1000000</v>
          </cell>
          <cell r="AJ58">
            <v>80</v>
          </cell>
          <cell r="AK58">
            <v>1.1000000000000001</v>
          </cell>
          <cell r="AL58">
            <v>2</v>
          </cell>
          <cell r="AM58">
            <v>1000000</v>
          </cell>
          <cell r="AN58" t="str">
            <v>-</v>
          </cell>
          <cell r="AO58" t="str">
            <v>-</v>
          </cell>
          <cell r="AP58" t="str">
            <v>-</v>
          </cell>
          <cell r="AQ58" t="str">
            <v>-</v>
          </cell>
          <cell r="AR58" t="str">
            <v>-</v>
          </cell>
          <cell r="AS58" t="str">
            <v>-</v>
          </cell>
          <cell r="AT58" t="str">
            <v>-</v>
          </cell>
          <cell r="AU58" t="str">
            <v>-</v>
          </cell>
          <cell r="AV58" t="str">
            <v>-</v>
          </cell>
          <cell r="AW58" t="str">
            <v>-</v>
          </cell>
          <cell r="AX58" t="str">
            <v>-</v>
          </cell>
          <cell r="AY58" t="str">
            <v>-</v>
          </cell>
          <cell r="AZ58" t="str">
            <v>-</v>
          </cell>
          <cell r="BA58" t="str">
            <v>-</v>
          </cell>
          <cell r="BB58" t="str">
            <v>-</v>
          </cell>
          <cell r="BC58" t="str">
            <v>-</v>
          </cell>
          <cell r="BD58" t="str">
            <v>-</v>
          </cell>
          <cell r="BE58" t="str">
            <v>-</v>
          </cell>
          <cell r="BF58" t="str">
            <v>-</v>
          </cell>
          <cell r="BG58" t="str">
            <v>-</v>
          </cell>
          <cell r="BH58" t="str">
            <v>-</v>
          </cell>
          <cell r="BI58" t="str">
            <v>-</v>
          </cell>
          <cell r="BJ58" t="str">
            <v>-</v>
          </cell>
          <cell r="BK58" t="str">
            <v>-</v>
          </cell>
          <cell r="BL58" t="str">
            <v>-</v>
          </cell>
          <cell r="BM58" t="str">
            <v>-</v>
          </cell>
          <cell r="BN58" t="str">
            <v>-</v>
          </cell>
          <cell r="BO58" t="str">
            <v>-</v>
          </cell>
        </row>
        <row r="59">
          <cell r="A59">
            <v>54</v>
          </cell>
          <cell r="B59" t="str">
            <v>E.TH.LQ-018</v>
          </cell>
          <cell r="C59" t="str">
            <v>Termohigrômetro Digital</v>
          </cell>
          <cell r="D59">
            <v>20</v>
          </cell>
          <cell r="E59" t="str">
            <v>Elus</v>
          </cell>
          <cell r="F59" t="str">
            <v>RBC - CAL 0439</v>
          </cell>
          <cell r="G59" t="str">
            <v>E0204/25</v>
          </cell>
          <cell r="H59">
            <v>45761</v>
          </cell>
          <cell r="I59">
            <v>46142</v>
          </cell>
          <cell r="J59" t="str">
            <v>%ur</v>
          </cell>
          <cell r="K59">
            <v>20</v>
          </cell>
          <cell r="L59">
            <v>80</v>
          </cell>
          <cell r="M59">
            <v>0.1</v>
          </cell>
          <cell r="N59">
            <v>0.5</v>
          </cell>
          <cell r="O59">
            <v>1.1000000000000001</v>
          </cell>
          <cell r="P59">
            <v>0.5</v>
          </cell>
          <cell r="Q59">
            <v>0.24413114848226058</v>
          </cell>
          <cell r="R59">
            <v>1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0.99664473974658974</v>
          </cell>
          <cell r="AA59">
            <v>-0.13123040925346885</v>
          </cell>
          <cell r="AB59">
            <v>20</v>
          </cell>
          <cell r="AC59">
            <v>0.7</v>
          </cell>
          <cell r="AD59">
            <v>2</v>
          </cell>
          <cell r="AE59">
            <v>1000000</v>
          </cell>
          <cell r="AF59">
            <v>50</v>
          </cell>
          <cell r="AG59">
            <v>1.1000000000000001</v>
          </cell>
          <cell r="AH59">
            <v>2</v>
          </cell>
          <cell r="AI59">
            <v>1000000</v>
          </cell>
          <cell r="AJ59">
            <v>80</v>
          </cell>
          <cell r="AK59">
            <v>1.1000000000000001</v>
          </cell>
          <cell r="AL59">
            <v>2</v>
          </cell>
          <cell r="AM59">
            <v>1000000</v>
          </cell>
          <cell r="AN59" t="str">
            <v>-</v>
          </cell>
          <cell r="AO59" t="str">
            <v>-</v>
          </cell>
          <cell r="AP59" t="str">
            <v>-</v>
          </cell>
          <cell r="AQ59" t="str">
            <v>-</v>
          </cell>
          <cell r="AR59" t="str">
            <v>-</v>
          </cell>
          <cell r="AS59" t="str">
            <v>-</v>
          </cell>
          <cell r="AT59" t="str">
            <v>-</v>
          </cell>
          <cell r="AU59" t="str">
            <v>-</v>
          </cell>
          <cell r="AV59" t="str">
            <v>-</v>
          </cell>
          <cell r="AW59" t="str">
            <v>-</v>
          </cell>
          <cell r="AX59" t="str">
            <v>-</v>
          </cell>
          <cell r="AY59" t="str">
            <v>-</v>
          </cell>
          <cell r="AZ59" t="str">
            <v>-</v>
          </cell>
          <cell r="BA59" t="str">
            <v>-</v>
          </cell>
          <cell r="BB59" t="str">
            <v>-</v>
          </cell>
          <cell r="BC59" t="str">
            <v>-</v>
          </cell>
          <cell r="BD59" t="str">
            <v>-</v>
          </cell>
          <cell r="BE59" t="str">
            <v>-</v>
          </cell>
          <cell r="BF59" t="str">
            <v>-</v>
          </cell>
          <cell r="BG59" t="str">
            <v>-</v>
          </cell>
          <cell r="BH59" t="str">
            <v>-</v>
          </cell>
          <cell r="BI59" t="str">
            <v>-</v>
          </cell>
          <cell r="BJ59" t="str">
            <v>-</v>
          </cell>
          <cell r="BK59" t="str">
            <v>-</v>
          </cell>
          <cell r="BL59" t="str">
            <v>-</v>
          </cell>
          <cell r="BM59" t="str">
            <v>-</v>
          </cell>
          <cell r="BN59" t="str">
            <v>-</v>
          </cell>
          <cell r="BO59" t="str">
            <v>-</v>
          </cell>
        </row>
        <row r="60">
          <cell r="A60">
            <v>55</v>
          </cell>
          <cell r="B60" t="str">
            <v>E.TH.LQ-002</v>
          </cell>
          <cell r="C60" t="str">
            <v>Termohigrômetro Digital</v>
          </cell>
          <cell r="D60">
            <v>20</v>
          </cell>
          <cell r="E60" t="str">
            <v>Elus</v>
          </cell>
          <cell r="F60" t="str">
            <v>RBC - CAL 0439</v>
          </cell>
          <cell r="G60" t="str">
            <v>E0398A/25</v>
          </cell>
          <cell r="H60">
            <v>45838</v>
          </cell>
          <cell r="I60">
            <v>46203</v>
          </cell>
          <cell r="J60" t="str">
            <v>%ur</v>
          </cell>
          <cell r="K60">
            <v>20</v>
          </cell>
          <cell r="L60">
            <v>80</v>
          </cell>
          <cell r="M60">
            <v>0.1</v>
          </cell>
          <cell r="N60">
            <v>0.30000000000000071</v>
          </cell>
          <cell r="O60">
            <v>0.9</v>
          </cell>
          <cell r="P60">
            <v>0.19999999999999929</v>
          </cell>
          <cell r="Q60">
            <v>0</v>
          </cell>
          <cell r="R60">
            <v>1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0.99009900990099009</v>
          </cell>
          <cell r="AA60">
            <v>0.49504950495049371</v>
          </cell>
          <cell r="AB60">
            <v>20</v>
          </cell>
          <cell r="AC60">
            <v>0.4</v>
          </cell>
          <cell r="AD60">
            <v>2.0099999999999998</v>
          </cell>
          <cell r="AE60">
            <v>269</v>
          </cell>
          <cell r="AF60">
            <v>50</v>
          </cell>
          <cell r="AG60">
            <v>0.7</v>
          </cell>
          <cell r="AH60">
            <v>2.02</v>
          </cell>
          <cell r="AI60">
            <v>124</v>
          </cell>
          <cell r="AJ60">
            <v>80</v>
          </cell>
          <cell r="AK60">
            <v>0.9</v>
          </cell>
          <cell r="AL60">
            <v>2.02</v>
          </cell>
          <cell r="AM60">
            <v>104</v>
          </cell>
          <cell r="AN60" t="str">
            <v>-</v>
          </cell>
          <cell r="AO60" t="str">
            <v>-</v>
          </cell>
          <cell r="AP60" t="str">
            <v>-</v>
          </cell>
          <cell r="AQ60" t="str">
            <v>-</v>
          </cell>
          <cell r="AR60" t="str">
            <v>-</v>
          </cell>
          <cell r="AS60" t="str">
            <v>-</v>
          </cell>
          <cell r="AT60" t="str">
            <v>-</v>
          </cell>
          <cell r="AU60" t="str">
            <v>-</v>
          </cell>
          <cell r="AV60" t="str">
            <v>-</v>
          </cell>
          <cell r="AW60" t="str">
            <v>-</v>
          </cell>
          <cell r="AX60" t="str">
            <v>-</v>
          </cell>
          <cell r="AY60" t="str">
            <v>-</v>
          </cell>
          <cell r="AZ60" t="str">
            <v>-</v>
          </cell>
          <cell r="BA60" t="str">
            <v>-</v>
          </cell>
          <cell r="BB60" t="str">
            <v>-</v>
          </cell>
          <cell r="BC60" t="str">
            <v>-</v>
          </cell>
          <cell r="BD60" t="str">
            <v>-</v>
          </cell>
          <cell r="BE60" t="str">
            <v>-</v>
          </cell>
          <cell r="BF60" t="str">
            <v>-</v>
          </cell>
          <cell r="BG60" t="str">
            <v>-</v>
          </cell>
          <cell r="BH60" t="str">
            <v>-</v>
          </cell>
          <cell r="BI60" t="str">
            <v>-</v>
          </cell>
          <cell r="BJ60" t="str">
            <v>-</v>
          </cell>
          <cell r="BK60" t="str">
            <v>-</v>
          </cell>
          <cell r="BL60" t="str">
            <v>-</v>
          </cell>
          <cell r="BM60" t="str">
            <v>-</v>
          </cell>
          <cell r="BN60" t="str">
            <v>-</v>
          </cell>
          <cell r="BO60" t="str">
            <v>-</v>
          </cell>
        </row>
        <row r="61">
          <cell r="A61">
            <v>56</v>
          </cell>
          <cell r="B61" t="str">
            <v>E.TH.LQ-020</v>
          </cell>
          <cell r="C61" t="str">
            <v>Termohigrômetro Digital</v>
          </cell>
          <cell r="D61">
            <v>20</v>
          </cell>
          <cell r="E61" t="str">
            <v>Elus</v>
          </cell>
          <cell r="F61" t="str">
            <v>RBC - CAL 0439</v>
          </cell>
          <cell r="G61" t="str">
            <v>E0206/25</v>
          </cell>
          <cell r="H61">
            <v>45761</v>
          </cell>
          <cell r="I61">
            <v>46142</v>
          </cell>
          <cell r="J61" t="str">
            <v>%ur</v>
          </cell>
          <cell r="K61">
            <v>20</v>
          </cell>
          <cell r="L61">
            <v>80</v>
          </cell>
          <cell r="M61">
            <v>0.1</v>
          </cell>
          <cell r="N61">
            <v>0.79999999999999716</v>
          </cell>
          <cell r="O61">
            <v>1.1000000000000001</v>
          </cell>
          <cell r="P61">
            <v>0.79999999999999716</v>
          </cell>
          <cell r="Q61">
            <v>8.0048541923012806E-2</v>
          </cell>
          <cell r="R61">
            <v>1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0.98038866679244929</v>
          </cell>
          <cell r="AA61">
            <v>0.75180930479263708</v>
          </cell>
          <cell r="AB61">
            <v>20</v>
          </cell>
          <cell r="AC61">
            <v>0.7</v>
          </cell>
          <cell r="AD61">
            <v>2</v>
          </cell>
          <cell r="AE61">
            <v>1000000</v>
          </cell>
          <cell r="AF61">
            <v>50</v>
          </cell>
          <cell r="AG61">
            <v>1.1000000000000001</v>
          </cell>
          <cell r="AH61">
            <v>2</v>
          </cell>
          <cell r="AI61">
            <v>1000000</v>
          </cell>
          <cell r="AJ61">
            <v>80</v>
          </cell>
          <cell r="AK61">
            <v>1.1000000000000001</v>
          </cell>
          <cell r="AL61">
            <v>2</v>
          </cell>
          <cell r="AM61">
            <v>1000000</v>
          </cell>
          <cell r="AN61" t="str">
            <v>-</v>
          </cell>
          <cell r="AO61" t="str">
            <v>-</v>
          </cell>
          <cell r="AP61" t="str">
            <v>-</v>
          </cell>
          <cell r="AQ61" t="str">
            <v>-</v>
          </cell>
          <cell r="AR61" t="str">
            <v>-</v>
          </cell>
          <cell r="AS61" t="str">
            <v>-</v>
          </cell>
          <cell r="AT61" t="str">
            <v>-</v>
          </cell>
          <cell r="AU61" t="str">
            <v>-</v>
          </cell>
          <cell r="AV61" t="str">
            <v>-</v>
          </cell>
          <cell r="AW61" t="str">
            <v>-</v>
          </cell>
          <cell r="AX61" t="str">
            <v>-</v>
          </cell>
          <cell r="AY61" t="str">
            <v>-</v>
          </cell>
          <cell r="AZ61" t="str">
            <v>-</v>
          </cell>
          <cell r="BA61" t="str">
            <v>-</v>
          </cell>
          <cell r="BB61" t="str">
            <v>-</v>
          </cell>
          <cell r="BC61" t="str">
            <v>-</v>
          </cell>
          <cell r="BD61" t="str">
            <v>-</v>
          </cell>
          <cell r="BE61" t="str">
            <v>-</v>
          </cell>
          <cell r="BF61" t="str">
            <v>-</v>
          </cell>
          <cell r="BG61" t="str">
            <v>-</v>
          </cell>
          <cell r="BH61" t="str">
            <v>-</v>
          </cell>
          <cell r="BI61" t="str">
            <v>-</v>
          </cell>
          <cell r="BJ61" t="str">
            <v>-</v>
          </cell>
          <cell r="BK61" t="str">
            <v>-</v>
          </cell>
          <cell r="BL61" t="str">
            <v>-</v>
          </cell>
          <cell r="BM61" t="str">
            <v>-</v>
          </cell>
          <cell r="BN61" t="str">
            <v>-</v>
          </cell>
          <cell r="BO61" t="str">
            <v>-</v>
          </cell>
        </row>
        <row r="62">
          <cell r="A62">
            <v>57</v>
          </cell>
          <cell r="B62" t="str">
            <v>E.TH.LM-002</v>
          </cell>
          <cell r="C62" t="str">
            <v>Termohigrômetro Digital</v>
          </cell>
          <cell r="D62">
            <v>20</v>
          </cell>
          <cell r="E62" t="str">
            <v>Elus</v>
          </cell>
          <cell r="F62" t="str">
            <v>RBC - CAL 0439</v>
          </cell>
          <cell r="G62" t="str">
            <v>E0211/25</v>
          </cell>
          <cell r="H62">
            <v>45761</v>
          </cell>
          <cell r="I62">
            <v>46142</v>
          </cell>
          <cell r="J62" t="str">
            <v>%ur</v>
          </cell>
          <cell r="K62">
            <v>20</v>
          </cell>
          <cell r="L62">
            <v>80</v>
          </cell>
          <cell r="M62">
            <v>0.1</v>
          </cell>
          <cell r="N62">
            <v>1.7000000000000028</v>
          </cell>
          <cell r="O62">
            <v>1.1000000000000001</v>
          </cell>
          <cell r="P62">
            <v>1.7000000000000028</v>
          </cell>
          <cell r="Q62">
            <v>7.8761592344328335E-2</v>
          </cell>
          <cell r="R62">
            <v>1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0.96462690064928802</v>
          </cell>
          <cell r="AA62">
            <v>1.2220330571676712</v>
          </cell>
          <cell r="AB62">
            <v>20</v>
          </cell>
          <cell r="AC62">
            <v>0.7</v>
          </cell>
          <cell r="AD62">
            <v>2</v>
          </cell>
          <cell r="AE62">
            <v>1000000</v>
          </cell>
          <cell r="AF62">
            <v>50</v>
          </cell>
          <cell r="AG62">
            <v>1.1000000000000001</v>
          </cell>
          <cell r="AH62">
            <v>2</v>
          </cell>
          <cell r="AI62">
            <v>1000000</v>
          </cell>
          <cell r="AJ62">
            <v>80</v>
          </cell>
          <cell r="AK62">
            <v>1.1000000000000001</v>
          </cell>
          <cell r="AL62">
            <v>2</v>
          </cell>
          <cell r="AM62">
            <v>1000000</v>
          </cell>
          <cell r="AN62" t="str">
            <v>-</v>
          </cell>
          <cell r="AO62" t="str">
            <v>-</v>
          </cell>
          <cell r="AP62" t="str">
            <v>-</v>
          </cell>
          <cell r="AQ62" t="str">
            <v>-</v>
          </cell>
          <cell r="AR62" t="str">
            <v>-</v>
          </cell>
          <cell r="AS62" t="str">
            <v>-</v>
          </cell>
          <cell r="AT62" t="str">
            <v>-</v>
          </cell>
          <cell r="AU62" t="str">
            <v>-</v>
          </cell>
          <cell r="AV62" t="str">
            <v>-</v>
          </cell>
          <cell r="AW62" t="str">
            <v>-</v>
          </cell>
          <cell r="AX62" t="str">
            <v>-</v>
          </cell>
          <cell r="AY62" t="str">
            <v>-</v>
          </cell>
          <cell r="AZ62" t="str">
            <v>-</v>
          </cell>
          <cell r="BA62" t="str">
            <v>-</v>
          </cell>
          <cell r="BB62" t="str">
            <v>-</v>
          </cell>
          <cell r="BC62" t="str">
            <v>-</v>
          </cell>
          <cell r="BD62" t="str">
            <v>-</v>
          </cell>
          <cell r="BE62" t="str">
            <v>-</v>
          </cell>
          <cell r="BF62" t="str">
            <v>-</v>
          </cell>
          <cell r="BG62" t="str">
            <v>-</v>
          </cell>
          <cell r="BH62" t="str">
            <v>-</v>
          </cell>
          <cell r="BI62" t="str">
            <v>-</v>
          </cell>
          <cell r="BJ62" t="str">
            <v>-</v>
          </cell>
          <cell r="BK62" t="str">
            <v>-</v>
          </cell>
          <cell r="BL62" t="str">
            <v>-</v>
          </cell>
          <cell r="BM62" t="str">
            <v>-</v>
          </cell>
          <cell r="BN62" t="str">
            <v>-</v>
          </cell>
          <cell r="BO62" t="str">
            <v>-</v>
          </cell>
        </row>
        <row r="63">
          <cell r="A63">
            <v>58</v>
          </cell>
          <cell r="B63" t="str">
            <v>E.TH.LV-002</v>
          </cell>
          <cell r="C63" t="str">
            <v>Termohigrômetro Digital</v>
          </cell>
          <cell r="D63">
            <v>20</v>
          </cell>
          <cell r="E63" t="str">
            <v>Elus</v>
          </cell>
          <cell r="F63" t="str">
            <v>RBC - CAL 0439</v>
          </cell>
          <cell r="G63" t="str">
            <v>E0400A/25</v>
          </cell>
          <cell r="H63">
            <v>45838</v>
          </cell>
          <cell r="I63">
            <v>46203</v>
          </cell>
          <cell r="J63" t="str">
            <v>%ur</v>
          </cell>
          <cell r="K63">
            <v>20.03</v>
          </cell>
          <cell r="L63">
            <v>79.989999999999995</v>
          </cell>
          <cell r="M63">
            <v>0.01</v>
          </cell>
          <cell r="N63">
            <v>0.29999999999999716</v>
          </cell>
          <cell r="O63">
            <v>0.91</v>
          </cell>
          <cell r="P63">
            <v>7.0000000000000284E-2</v>
          </cell>
          <cell r="Q63">
            <v>0.21079970636743184</v>
          </cell>
          <cell r="R63">
            <v>1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0.99269164246171471</v>
          </cell>
          <cell r="AA63">
            <v>0.23972565791936518</v>
          </cell>
          <cell r="AB63">
            <v>20.03</v>
          </cell>
          <cell r="AC63">
            <v>0.38</v>
          </cell>
          <cell r="AD63">
            <v>2.0099999999999998</v>
          </cell>
          <cell r="AE63">
            <v>257</v>
          </cell>
          <cell r="AF63">
            <v>50</v>
          </cell>
          <cell r="AG63">
            <v>0.63</v>
          </cell>
          <cell r="AH63">
            <v>2.02</v>
          </cell>
          <cell r="AI63">
            <v>122</v>
          </cell>
          <cell r="AJ63">
            <v>79.989999999999995</v>
          </cell>
          <cell r="AK63">
            <v>0.91</v>
          </cell>
          <cell r="AL63">
            <v>2.02</v>
          </cell>
          <cell r="AM63">
            <v>103</v>
          </cell>
          <cell r="AN63" t="str">
            <v>-</v>
          </cell>
          <cell r="AO63" t="str">
            <v>-</v>
          </cell>
          <cell r="AP63" t="str">
            <v>-</v>
          </cell>
          <cell r="AQ63" t="str">
            <v>-</v>
          </cell>
          <cell r="AR63" t="str">
            <v>-</v>
          </cell>
          <cell r="AS63" t="str">
            <v>-</v>
          </cell>
          <cell r="AT63" t="str">
            <v>-</v>
          </cell>
          <cell r="AU63" t="str">
            <v>-</v>
          </cell>
          <cell r="AV63" t="str">
            <v>-</v>
          </cell>
          <cell r="AW63" t="str">
            <v>-</v>
          </cell>
          <cell r="AX63" t="str">
            <v>-</v>
          </cell>
          <cell r="AY63" t="str">
            <v>-</v>
          </cell>
          <cell r="AZ63" t="str">
            <v>-</v>
          </cell>
          <cell r="BA63" t="str">
            <v>-</v>
          </cell>
          <cell r="BB63" t="str">
            <v>-</v>
          </cell>
          <cell r="BC63" t="str">
            <v>-</v>
          </cell>
          <cell r="BD63" t="str">
            <v>-</v>
          </cell>
          <cell r="BE63" t="str">
            <v>-</v>
          </cell>
          <cell r="BF63" t="str">
            <v>-</v>
          </cell>
          <cell r="BG63" t="str">
            <v>-</v>
          </cell>
          <cell r="BH63" t="str">
            <v>-</v>
          </cell>
          <cell r="BI63" t="str">
            <v>-</v>
          </cell>
          <cell r="BJ63" t="str">
            <v>-</v>
          </cell>
          <cell r="BK63" t="str">
            <v>-</v>
          </cell>
          <cell r="BL63" t="str">
            <v>-</v>
          </cell>
          <cell r="BM63" t="str">
            <v>-</v>
          </cell>
          <cell r="BN63" t="str">
            <v>-</v>
          </cell>
          <cell r="BO63" t="str">
            <v>-</v>
          </cell>
        </row>
        <row r="64">
          <cell r="A64">
            <v>59</v>
          </cell>
          <cell r="B64" t="str">
            <v>E.TH.FS-055</v>
          </cell>
          <cell r="C64" t="str">
            <v>Termohigrômetro Digital</v>
          </cell>
          <cell r="D64">
            <v>20</v>
          </cell>
          <cell r="E64" t="str">
            <v>Elus</v>
          </cell>
          <cell r="F64" t="str">
            <v>RBC - CAL 0439</v>
          </cell>
          <cell r="G64" t="str">
            <v>E0133/25</v>
          </cell>
          <cell r="H64">
            <v>45733</v>
          </cell>
          <cell r="I64">
            <v>46112</v>
          </cell>
          <cell r="J64" t="str">
            <v>%ur</v>
          </cell>
          <cell r="K64">
            <v>30</v>
          </cell>
          <cell r="L64">
            <v>80</v>
          </cell>
          <cell r="M64">
            <v>1</v>
          </cell>
          <cell r="N64">
            <v>4</v>
          </cell>
          <cell r="O64">
            <v>2</v>
          </cell>
          <cell r="P64">
            <v>7</v>
          </cell>
          <cell r="Q64">
            <v>1.1270711351480074</v>
          </cell>
          <cell r="R64">
            <v>1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1.1573747353563866</v>
          </cell>
          <cell r="AA64">
            <v>-7.6217360621030181</v>
          </cell>
          <cell r="AB64">
            <v>30</v>
          </cell>
          <cell r="AC64">
            <v>2</v>
          </cell>
          <cell r="AD64">
            <v>2</v>
          </cell>
          <cell r="AE64">
            <v>1000000</v>
          </cell>
          <cell r="AF64">
            <v>50</v>
          </cell>
          <cell r="AG64">
            <v>2</v>
          </cell>
          <cell r="AH64">
            <v>2</v>
          </cell>
          <cell r="AI64">
            <v>1000000</v>
          </cell>
          <cell r="AJ64">
            <v>80</v>
          </cell>
          <cell r="AK64">
            <v>2</v>
          </cell>
          <cell r="AL64">
            <v>2</v>
          </cell>
          <cell r="AM64">
            <v>1000000</v>
          </cell>
          <cell r="AN64" t="str">
            <v>-</v>
          </cell>
          <cell r="AO64" t="str">
            <v>-</v>
          </cell>
          <cell r="AP64" t="str">
            <v>-</v>
          </cell>
          <cell r="AQ64" t="str">
            <v>-</v>
          </cell>
          <cell r="AR64" t="str">
            <v>-</v>
          </cell>
          <cell r="AS64" t="str">
            <v>-</v>
          </cell>
          <cell r="AT64" t="str">
            <v>-</v>
          </cell>
          <cell r="AU64" t="str">
            <v>-</v>
          </cell>
          <cell r="AV64" t="str">
            <v>-</v>
          </cell>
          <cell r="AW64" t="str">
            <v>-</v>
          </cell>
          <cell r="AX64" t="str">
            <v>-</v>
          </cell>
          <cell r="AY64" t="str">
            <v>-</v>
          </cell>
          <cell r="AZ64" t="str">
            <v>-</v>
          </cell>
          <cell r="BA64" t="str">
            <v>-</v>
          </cell>
          <cell r="BB64" t="str">
            <v>-</v>
          </cell>
          <cell r="BC64" t="str">
            <v>-</v>
          </cell>
          <cell r="BD64" t="str">
            <v>-</v>
          </cell>
          <cell r="BE64" t="str">
            <v>-</v>
          </cell>
          <cell r="BF64" t="str">
            <v>-</v>
          </cell>
          <cell r="BG64" t="str">
            <v>-</v>
          </cell>
          <cell r="BH64" t="str">
            <v>-</v>
          </cell>
          <cell r="BI64" t="str">
            <v>-</v>
          </cell>
          <cell r="BJ64" t="str">
            <v>-</v>
          </cell>
          <cell r="BK64" t="str">
            <v>-</v>
          </cell>
          <cell r="BL64" t="str">
            <v>-</v>
          </cell>
          <cell r="BM64" t="str">
            <v>-</v>
          </cell>
          <cell r="BN64" t="str">
            <v>-</v>
          </cell>
          <cell r="BO64" t="str">
            <v>-</v>
          </cell>
        </row>
        <row r="65">
          <cell r="A65">
            <v>60</v>
          </cell>
          <cell r="B65" t="str">
            <v>EL-1217</v>
          </cell>
          <cell r="C65" t="str">
            <v>Termohigrômetro Digital</v>
          </cell>
          <cell r="D65">
            <v>20</v>
          </cell>
          <cell r="E65" t="str">
            <v>Elus</v>
          </cell>
          <cell r="F65" t="str">
            <v>RBC - CAL 0439</v>
          </cell>
          <cell r="G65" t="str">
            <v>R0015/24</v>
          </cell>
          <cell r="H65">
            <v>45373</v>
          </cell>
          <cell r="I65">
            <v>45747</v>
          </cell>
          <cell r="J65" t="str">
            <v>%ur</v>
          </cell>
          <cell r="K65">
            <v>30</v>
          </cell>
          <cell r="L65">
            <v>80</v>
          </cell>
          <cell r="M65">
            <v>1</v>
          </cell>
          <cell r="N65">
            <v>5</v>
          </cell>
          <cell r="O65">
            <v>2</v>
          </cell>
          <cell r="P65">
            <v>3</v>
          </cell>
          <cell r="Q65">
            <v>0.67728546147860413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1.0435779816513759</v>
          </cell>
          <cell r="AA65">
            <v>1.5022935779816677</v>
          </cell>
          <cell r="AB65">
            <v>30</v>
          </cell>
          <cell r="AC65">
            <v>2</v>
          </cell>
          <cell r="AD65">
            <v>2</v>
          </cell>
          <cell r="AE65">
            <v>1000000</v>
          </cell>
          <cell r="AF65">
            <v>50</v>
          </cell>
          <cell r="AG65">
            <v>2</v>
          </cell>
          <cell r="AH65">
            <v>2</v>
          </cell>
          <cell r="AI65">
            <v>1000000</v>
          </cell>
          <cell r="AJ65">
            <v>80</v>
          </cell>
          <cell r="AK65">
            <v>2</v>
          </cell>
          <cell r="AL65">
            <v>2</v>
          </cell>
          <cell r="AM65">
            <v>1000000</v>
          </cell>
          <cell r="AN65" t="str">
            <v>-</v>
          </cell>
          <cell r="AO65" t="str">
            <v>-</v>
          </cell>
          <cell r="AP65" t="str">
            <v>-</v>
          </cell>
          <cell r="AQ65" t="str">
            <v>-</v>
          </cell>
          <cell r="AR65" t="str">
            <v>-</v>
          </cell>
          <cell r="AS65" t="str">
            <v>-</v>
          </cell>
          <cell r="AT65" t="str">
            <v>-</v>
          </cell>
          <cell r="AU65" t="str">
            <v>-</v>
          </cell>
          <cell r="AV65" t="str">
            <v>-</v>
          </cell>
          <cell r="AW65" t="str">
            <v>-</v>
          </cell>
          <cell r="AX65" t="str">
            <v>-</v>
          </cell>
          <cell r="AY65" t="str">
            <v>-</v>
          </cell>
          <cell r="AZ65" t="str">
            <v>-</v>
          </cell>
          <cell r="BA65" t="str">
            <v>-</v>
          </cell>
          <cell r="BB65" t="str">
            <v>-</v>
          </cell>
          <cell r="BC65" t="str">
            <v>-</v>
          </cell>
          <cell r="BD65" t="str">
            <v>-</v>
          </cell>
          <cell r="BE65" t="str">
            <v>-</v>
          </cell>
          <cell r="BF65" t="str">
            <v>-</v>
          </cell>
          <cell r="BG65" t="str">
            <v>-</v>
          </cell>
          <cell r="BH65" t="str">
            <v>-</v>
          </cell>
          <cell r="BI65" t="str">
            <v>-</v>
          </cell>
          <cell r="BJ65" t="str">
            <v>-</v>
          </cell>
          <cell r="BK65" t="str">
            <v>-</v>
          </cell>
          <cell r="BL65" t="str">
            <v>-</v>
          </cell>
          <cell r="BM65" t="str">
            <v>-</v>
          </cell>
          <cell r="BN65" t="str">
            <v>-</v>
          </cell>
          <cell r="BO65" t="str">
            <v>-</v>
          </cell>
        </row>
        <row r="66">
          <cell r="A66">
            <v>61</v>
          </cell>
          <cell r="B66" t="str">
            <v>EL-1235</v>
          </cell>
          <cell r="C66" t="str">
            <v>Termohigrômetro Digital</v>
          </cell>
          <cell r="D66">
            <v>20</v>
          </cell>
          <cell r="E66" t="str">
            <v>Elus</v>
          </cell>
          <cell r="F66" t="str">
            <v>RBC - CAL 0439</v>
          </cell>
          <cell r="G66" t="str">
            <v>E22554/23</v>
          </cell>
          <cell r="H66">
            <v>45100</v>
          </cell>
          <cell r="I66">
            <v>45473</v>
          </cell>
          <cell r="J66" t="str">
            <v>%ur</v>
          </cell>
          <cell r="K66">
            <v>20</v>
          </cell>
          <cell r="L66">
            <v>80</v>
          </cell>
          <cell r="M66">
            <v>0.1</v>
          </cell>
          <cell r="N66">
            <v>4.1999999999999993</v>
          </cell>
          <cell r="O66">
            <v>1.2</v>
          </cell>
          <cell r="P66">
            <v>4.1999999999999993</v>
          </cell>
          <cell r="Q66">
            <v>2.1428002027069155</v>
          </cell>
          <cell r="R66">
            <v>1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1.0920975713450607</v>
          </cell>
          <cell r="AA66">
            <v>-7.2259127384811777</v>
          </cell>
          <cell r="AB66">
            <v>20</v>
          </cell>
          <cell r="AC66">
            <v>0.6</v>
          </cell>
          <cell r="AD66">
            <v>2</v>
          </cell>
          <cell r="AE66">
            <v>1000000</v>
          </cell>
          <cell r="AF66">
            <v>50</v>
          </cell>
          <cell r="AG66">
            <v>0.8</v>
          </cell>
          <cell r="AH66">
            <v>2</v>
          </cell>
          <cell r="AI66">
            <v>1000000</v>
          </cell>
          <cell r="AJ66">
            <v>80</v>
          </cell>
          <cell r="AK66">
            <v>1.2</v>
          </cell>
          <cell r="AL66">
            <v>2</v>
          </cell>
          <cell r="AM66">
            <v>1000000</v>
          </cell>
          <cell r="AN66" t="str">
            <v>-</v>
          </cell>
          <cell r="AO66" t="str">
            <v>-</v>
          </cell>
          <cell r="AP66" t="str">
            <v>-</v>
          </cell>
          <cell r="AQ66" t="str">
            <v>-</v>
          </cell>
          <cell r="AR66" t="str">
            <v>-</v>
          </cell>
          <cell r="AS66" t="str">
            <v>-</v>
          </cell>
          <cell r="AT66" t="str">
            <v>-</v>
          </cell>
          <cell r="AU66" t="str">
            <v>-</v>
          </cell>
          <cell r="AV66" t="str">
            <v>-</v>
          </cell>
          <cell r="AW66" t="str">
            <v>-</v>
          </cell>
          <cell r="AX66" t="str">
            <v>-</v>
          </cell>
          <cell r="AY66" t="str">
            <v>-</v>
          </cell>
          <cell r="AZ66" t="str">
            <v>-</v>
          </cell>
          <cell r="BA66" t="str">
            <v>-</v>
          </cell>
          <cell r="BB66" t="str">
            <v>-</v>
          </cell>
          <cell r="BC66" t="str">
            <v>-</v>
          </cell>
          <cell r="BD66" t="str">
            <v>-</v>
          </cell>
          <cell r="BE66" t="str">
            <v>-</v>
          </cell>
          <cell r="BF66" t="str">
            <v>-</v>
          </cell>
          <cell r="BG66" t="str">
            <v>-</v>
          </cell>
          <cell r="BH66" t="str">
            <v>-</v>
          </cell>
          <cell r="BI66" t="str">
            <v>-</v>
          </cell>
          <cell r="BJ66" t="str">
            <v>-</v>
          </cell>
          <cell r="BK66" t="str">
            <v>-</v>
          </cell>
          <cell r="BL66" t="str">
            <v>-</v>
          </cell>
          <cell r="BM66" t="str">
            <v>-</v>
          </cell>
          <cell r="BN66" t="str">
            <v>-</v>
          </cell>
          <cell r="BO66" t="str">
            <v>-</v>
          </cell>
        </row>
        <row r="67">
          <cell r="A67">
            <v>62</v>
          </cell>
          <cell r="B67" t="str">
            <v>M.MS.LM-013</v>
          </cell>
          <cell r="C67" t="str">
            <v>Termohigrômetro Digital</v>
          </cell>
          <cell r="D67">
            <v>20</v>
          </cell>
          <cell r="E67" t="str">
            <v>Elus</v>
          </cell>
          <cell r="F67" t="str">
            <v>RBC - CAL 0439</v>
          </cell>
          <cell r="G67" t="str">
            <v>E0040B/25</v>
          </cell>
          <cell r="H67">
            <v>45709</v>
          </cell>
          <cell r="I67">
            <v>46446</v>
          </cell>
          <cell r="J67" t="str">
            <v>%ur</v>
          </cell>
          <cell r="K67">
            <v>25</v>
          </cell>
          <cell r="L67">
            <v>80</v>
          </cell>
          <cell r="M67">
            <v>0.1</v>
          </cell>
          <cell r="N67">
            <v>7.7999999999999972</v>
          </cell>
          <cell r="O67">
            <v>1.1000000000000001</v>
          </cell>
          <cell r="P67">
            <v>2.4999999999999964</v>
          </cell>
          <cell r="Q67">
            <v>0.15790157368385271</v>
          </cell>
          <cell r="R67">
            <v>2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-1.488845453661436E-3</v>
          </cell>
          <cell r="Z67">
            <v>1.2082192075011531</v>
          </cell>
          <cell r="AA67">
            <v>-13.058990484605143</v>
          </cell>
          <cell r="AB67">
            <v>25</v>
          </cell>
          <cell r="AC67">
            <v>0.8</v>
          </cell>
          <cell r="AD67">
            <v>2</v>
          </cell>
          <cell r="AE67">
            <v>1000000</v>
          </cell>
          <cell r="AF67">
            <v>45</v>
          </cell>
          <cell r="AG67">
            <v>0.9</v>
          </cell>
          <cell r="AH67">
            <v>2</v>
          </cell>
          <cell r="AI67">
            <v>1000000</v>
          </cell>
          <cell r="AJ67">
            <v>60</v>
          </cell>
          <cell r="AK67">
            <v>1.1000000000000001</v>
          </cell>
          <cell r="AL67">
            <v>2</v>
          </cell>
          <cell r="AM67">
            <v>1000000</v>
          </cell>
          <cell r="AN67">
            <v>80</v>
          </cell>
          <cell r="AO67">
            <v>1.1000000000000001</v>
          </cell>
          <cell r="AP67">
            <v>2</v>
          </cell>
          <cell r="AQ67">
            <v>1000000</v>
          </cell>
          <cell r="AR67" t="str">
            <v>-</v>
          </cell>
          <cell r="AS67" t="str">
            <v>-</v>
          </cell>
          <cell r="AT67" t="str">
            <v>-</v>
          </cell>
          <cell r="AU67" t="str">
            <v>-</v>
          </cell>
          <cell r="AV67" t="str">
            <v>-</v>
          </cell>
          <cell r="AW67" t="str">
            <v>-</v>
          </cell>
          <cell r="AX67" t="str">
            <v>-</v>
          </cell>
          <cell r="AY67" t="str">
            <v>-</v>
          </cell>
          <cell r="AZ67" t="str">
            <v>-</v>
          </cell>
          <cell r="BA67" t="str">
            <v>-</v>
          </cell>
          <cell r="BB67" t="str">
            <v>-</v>
          </cell>
          <cell r="BC67" t="str">
            <v>-</v>
          </cell>
          <cell r="BD67" t="str">
            <v>-</v>
          </cell>
          <cell r="BE67" t="str">
            <v>-</v>
          </cell>
          <cell r="BF67" t="str">
            <v>-</v>
          </cell>
          <cell r="BG67" t="str">
            <v>-</v>
          </cell>
          <cell r="BH67" t="str">
            <v>-</v>
          </cell>
          <cell r="BI67" t="str">
            <v>-</v>
          </cell>
          <cell r="BJ67" t="str">
            <v>-</v>
          </cell>
          <cell r="BK67" t="str">
            <v>-</v>
          </cell>
          <cell r="BL67" t="str">
            <v>-</v>
          </cell>
          <cell r="BM67" t="str">
            <v>-</v>
          </cell>
          <cell r="BN67" t="str">
            <v>-</v>
          </cell>
          <cell r="BO67" t="str">
            <v>-</v>
          </cell>
        </row>
        <row r="68">
          <cell r="A68">
            <v>63</v>
          </cell>
          <cell r="B68" t="str">
            <v>M.MS.LM-012</v>
          </cell>
          <cell r="C68" t="str">
            <v>Termohigrômetro Digital</v>
          </cell>
          <cell r="D68">
            <v>20</v>
          </cell>
          <cell r="E68" t="str">
            <v>Elus</v>
          </cell>
          <cell r="F68" t="str">
            <v>RBC - CAL 0439</v>
          </cell>
          <cell r="G68" t="str">
            <v>E0526B/24</v>
          </cell>
          <cell r="H68">
            <v>45664</v>
          </cell>
          <cell r="I68">
            <v>46417</v>
          </cell>
          <cell r="J68" t="str">
            <v>%UR</v>
          </cell>
          <cell r="K68">
            <v>25</v>
          </cell>
          <cell r="L68">
            <v>80</v>
          </cell>
          <cell r="M68">
            <v>1</v>
          </cell>
          <cell r="N68">
            <v>6</v>
          </cell>
          <cell r="O68">
            <v>2</v>
          </cell>
          <cell r="P68">
            <v>5</v>
          </cell>
          <cell r="Q68">
            <v>0.24297353582319037</v>
          </cell>
          <cell r="R68">
            <v>2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-2.0323127381339035E-3</v>
          </cell>
          <cell r="Z68">
            <v>1.3498390757854259</v>
          </cell>
          <cell r="AA68">
            <v>-14.940014590033325</v>
          </cell>
          <cell r="AB68">
            <v>25</v>
          </cell>
          <cell r="AC68">
            <v>1</v>
          </cell>
          <cell r="AD68">
            <v>2</v>
          </cell>
          <cell r="AE68">
            <v>1000000</v>
          </cell>
          <cell r="AF68">
            <v>45</v>
          </cell>
          <cell r="AG68">
            <v>2</v>
          </cell>
          <cell r="AH68">
            <v>2</v>
          </cell>
          <cell r="AI68">
            <v>1000000</v>
          </cell>
          <cell r="AJ68">
            <v>60</v>
          </cell>
          <cell r="AK68">
            <v>2</v>
          </cell>
          <cell r="AL68">
            <v>2</v>
          </cell>
          <cell r="AM68">
            <v>1000000</v>
          </cell>
          <cell r="AN68">
            <v>80</v>
          </cell>
          <cell r="AO68">
            <v>2</v>
          </cell>
          <cell r="AP68">
            <v>2</v>
          </cell>
          <cell r="AQ68">
            <v>1000000</v>
          </cell>
          <cell r="AR68" t="str">
            <v>-</v>
          </cell>
          <cell r="AS68" t="str">
            <v>-</v>
          </cell>
          <cell r="AT68" t="str">
            <v>-</v>
          </cell>
          <cell r="AU68" t="str">
            <v>-</v>
          </cell>
          <cell r="AV68" t="str">
            <v>-</v>
          </cell>
          <cell r="AW68" t="str">
            <v>-</v>
          </cell>
          <cell r="AX68" t="str">
            <v>-</v>
          </cell>
          <cell r="AY68" t="str">
            <v>-</v>
          </cell>
          <cell r="AZ68" t="str">
            <v>-</v>
          </cell>
          <cell r="BA68" t="str">
            <v>-</v>
          </cell>
          <cell r="BB68" t="str">
            <v>-</v>
          </cell>
          <cell r="BC68" t="str">
            <v>-</v>
          </cell>
          <cell r="BD68" t="str">
            <v>-</v>
          </cell>
          <cell r="BE68" t="str">
            <v>-</v>
          </cell>
          <cell r="BF68" t="str">
            <v>-</v>
          </cell>
          <cell r="BG68" t="str">
            <v>-</v>
          </cell>
          <cell r="BH68" t="str">
            <v>-</v>
          </cell>
          <cell r="BI68" t="str">
            <v>-</v>
          </cell>
          <cell r="BJ68" t="str">
            <v>-</v>
          </cell>
          <cell r="BK68" t="str">
            <v>-</v>
          </cell>
          <cell r="BL68" t="str">
            <v>-</v>
          </cell>
          <cell r="BM68" t="str">
            <v>-</v>
          </cell>
          <cell r="BN68" t="str">
            <v>-</v>
          </cell>
          <cell r="BO68" t="str">
            <v>-</v>
          </cell>
        </row>
        <row r="69">
          <cell r="A69">
            <v>64</v>
          </cell>
          <cell r="B69" t="str">
            <v>E.TH.FS-041</v>
          </cell>
          <cell r="C69" t="str">
            <v>Termohigrômetro Digital</v>
          </cell>
          <cell r="D69">
            <v>20</v>
          </cell>
          <cell r="E69" t="str">
            <v>Elus</v>
          </cell>
          <cell r="F69" t="str">
            <v>RBC - CAL 0439</v>
          </cell>
          <cell r="G69" t="str">
            <v>R0030/25</v>
          </cell>
          <cell r="H69">
            <v>45692</v>
          </cell>
          <cell r="I69">
            <v>46081</v>
          </cell>
          <cell r="J69" t="str">
            <v>%ur</v>
          </cell>
          <cell r="K69">
            <v>30</v>
          </cell>
          <cell r="L69">
            <v>80</v>
          </cell>
          <cell r="M69">
            <v>1</v>
          </cell>
          <cell r="N69">
            <v>2</v>
          </cell>
          <cell r="O69">
            <v>2</v>
          </cell>
          <cell r="P69">
            <v>2</v>
          </cell>
          <cell r="Q69">
            <v>0.35223497683817584</v>
          </cell>
          <cell r="R69">
            <v>1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1.0856079404466503</v>
          </cell>
          <cell r="AA69">
            <v>-4.5657568238213528</v>
          </cell>
          <cell r="AB69">
            <v>30</v>
          </cell>
          <cell r="AC69">
            <v>1</v>
          </cell>
          <cell r="AD69">
            <v>2</v>
          </cell>
          <cell r="AE69">
            <v>1000000</v>
          </cell>
          <cell r="AF69">
            <v>50</v>
          </cell>
          <cell r="AG69">
            <v>2</v>
          </cell>
          <cell r="AH69">
            <v>2</v>
          </cell>
          <cell r="AI69">
            <v>1000000</v>
          </cell>
          <cell r="AJ69">
            <v>80</v>
          </cell>
          <cell r="AK69">
            <v>2</v>
          </cell>
          <cell r="AL69">
            <v>2</v>
          </cell>
          <cell r="AM69">
            <v>1000000</v>
          </cell>
          <cell r="AN69" t="str">
            <v>-</v>
          </cell>
          <cell r="AO69" t="str">
            <v>-</v>
          </cell>
          <cell r="AP69" t="str">
            <v>-</v>
          </cell>
          <cell r="AQ69" t="str">
            <v>-</v>
          </cell>
          <cell r="AR69" t="str">
            <v>-</v>
          </cell>
          <cell r="AS69" t="str">
            <v>-</v>
          </cell>
          <cell r="AT69" t="str">
            <v>-</v>
          </cell>
          <cell r="AU69" t="str">
            <v>-</v>
          </cell>
          <cell r="AV69" t="str">
            <v>-</v>
          </cell>
          <cell r="AW69" t="str">
            <v>-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-</v>
          </cell>
          <cell r="BD69" t="str">
            <v>-</v>
          </cell>
          <cell r="BE69" t="str">
            <v>-</v>
          </cell>
          <cell r="BF69" t="str">
            <v>-</v>
          </cell>
          <cell r="BG69" t="str">
            <v>-</v>
          </cell>
          <cell r="BH69" t="str">
            <v>-</v>
          </cell>
          <cell r="BI69" t="str">
            <v>-</v>
          </cell>
          <cell r="BJ69" t="str">
            <v>-</v>
          </cell>
          <cell r="BK69" t="str">
            <v>-</v>
          </cell>
          <cell r="BL69" t="str">
            <v>-</v>
          </cell>
          <cell r="BM69" t="str">
            <v>-</v>
          </cell>
          <cell r="BN69" t="str">
            <v>-</v>
          </cell>
          <cell r="BO69" t="str">
            <v>-</v>
          </cell>
        </row>
        <row r="70">
          <cell r="A70">
            <v>65</v>
          </cell>
          <cell r="B70" t="str">
            <v>E.TH.FS-042</v>
          </cell>
          <cell r="C70" t="str">
            <v>Termohigrômetro Digital</v>
          </cell>
          <cell r="D70">
            <v>20</v>
          </cell>
          <cell r="E70" t="str">
            <v>Elus</v>
          </cell>
          <cell r="F70" t="str">
            <v>RBC - CAL 0439</v>
          </cell>
          <cell r="G70" t="str">
            <v>E0053/26</v>
          </cell>
          <cell r="H70">
            <v>46056</v>
          </cell>
          <cell r="I70">
            <v>46446</v>
          </cell>
          <cell r="J70" t="str">
            <v>%ur</v>
          </cell>
          <cell r="K70">
            <v>30</v>
          </cell>
          <cell r="L70">
            <v>80</v>
          </cell>
          <cell r="M70">
            <v>1</v>
          </cell>
          <cell r="N70">
            <v>2</v>
          </cell>
          <cell r="O70">
            <v>2</v>
          </cell>
          <cell r="P70">
            <v>4</v>
          </cell>
          <cell r="Q70">
            <v>0.80876931010327979</v>
          </cell>
          <cell r="R70">
            <v>1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0.99686028257456805</v>
          </cell>
          <cell r="AA70">
            <v>-1.4939822082679086</v>
          </cell>
          <cell r="AB70">
            <v>30</v>
          </cell>
          <cell r="AC70">
            <v>2</v>
          </cell>
          <cell r="AD70">
            <v>2</v>
          </cell>
          <cell r="AE70">
            <v>1000000</v>
          </cell>
          <cell r="AF70">
            <v>50</v>
          </cell>
          <cell r="AG70">
            <v>2</v>
          </cell>
          <cell r="AH70">
            <v>2</v>
          </cell>
          <cell r="AI70">
            <v>1000000</v>
          </cell>
          <cell r="AJ70">
            <v>80</v>
          </cell>
          <cell r="AK70">
            <v>2</v>
          </cell>
          <cell r="AL70">
            <v>2</v>
          </cell>
          <cell r="AM70">
            <v>1000000</v>
          </cell>
          <cell r="AN70" t="str">
            <v>-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-</v>
          </cell>
          <cell r="AS70" t="str">
            <v>-</v>
          </cell>
          <cell r="AT70" t="str">
            <v>-</v>
          </cell>
          <cell r="AU70" t="str">
            <v>-</v>
          </cell>
          <cell r="AV70" t="str">
            <v>-</v>
          </cell>
          <cell r="AW70" t="str">
            <v>-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-</v>
          </cell>
          <cell r="BD70" t="str">
            <v>-</v>
          </cell>
          <cell r="BE70" t="str">
            <v>-</v>
          </cell>
          <cell r="BF70" t="str">
            <v>-</v>
          </cell>
          <cell r="BG70" t="str">
            <v>-</v>
          </cell>
          <cell r="BH70" t="str">
            <v>-</v>
          </cell>
          <cell r="BI70" t="str">
            <v>-</v>
          </cell>
          <cell r="BJ70" t="str">
            <v>-</v>
          </cell>
          <cell r="BK70" t="str">
            <v>-</v>
          </cell>
          <cell r="BL70" t="str">
            <v>-</v>
          </cell>
          <cell r="BM70" t="str">
            <v>-</v>
          </cell>
          <cell r="BN70" t="str">
            <v>-</v>
          </cell>
          <cell r="BO70" t="str">
            <v>-</v>
          </cell>
        </row>
        <row r="71">
          <cell r="A71">
            <v>66</v>
          </cell>
          <cell r="B71" t="str">
            <v>E.TH.FS-043</v>
          </cell>
          <cell r="C71" t="str">
            <v>Termohigrômetro Digital</v>
          </cell>
          <cell r="D71">
            <v>20</v>
          </cell>
          <cell r="E71" t="str">
            <v>Elus</v>
          </cell>
          <cell r="F71" t="str">
            <v>RBC - CAL 0439</v>
          </cell>
          <cell r="G71" t="str">
            <v>E0090/26</v>
          </cell>
          <cell r="H71">
            <v>46071</v>
          </cell>
          <cell r="I71">
            <v>46446</v>
          </cell>
          <cell r="J71" t="str">
            <v>%ur</v>
          </cell>
          <cell r="K71">
            <v>30</v>
          </cell>
          <cell r="L71">
            <v>80</v>
          </cell>
          <cell r="M71">
            <v>1</v>
          </cell>
          <cell r="N71">
            <v>3</v>
          </cell>
          <cell r="O71">
            <v>2</v>
          </cell>
          <cell r="P71">
            <v>2</v>
          </cell>
          <cell r="Q71">
            <v>0.80876931010327979</v>
          </cell>
          <cell r="R71">
            <v>1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0.99686028257456805</v>
          </cell>
          <cell r="AA71">
            <v>-2.4908424908424749</v>
          </cell>
          <cell r="AB71">
            <v>30</v>
          </cell>
          <cell r="AC71">
            <v>1</v>
          </cell>
          <cell r="AD71">
            <v>2</v>
          </cell>
          <cell r="AE71">
            <v>1000000</v>
          </cell>
          <cell r="AF71">
            <v>50</v>
          </cell>
          <cell r="AG71">
            <v>1</v>
          </cell>
          <cell r="AH71">
            <v>2</v>
          </cell>
          <cell r="AI71">
            <v>1000000</v>
          </cell>
          <cell r="AJ71">
            <v>80</v>
          </cell>
          <cell r="AK71">
            <v>2</v>
          </cell>
          <cell r="AL71">
            <v>2</v>
          </cell>
          <cell r="AM71">
            <v>1000000</v>
          </cell>
          <cell r="AN71" t="str">
            <v>-</v>
          </cell>
          <cell r="AO71" t="str">
            <v>-</v>
          </cell>
          <cell r="AP71" t="str">
            <v>-</v>
          </cell>
          <cell r="AQ71" t="str">
            <v>-</v>
          </cell>
          <cell r="AR71" t="str">
            <v>-</v>
          </cell>
          <cell r="AS71" t="str">
            <v>-</v>
          </cell>
          <cell r="AT71" t="str">
            <v>-</v>
          </cell>
          <cell r="AU71" t="str">
            <v>-</v>
          </cell>
          <cell r="AV71" t="str">
            <v>-</v>
          </cell>
          <cell r="AW71" t="str">
            <v>-</v>
          </cell>
          <cell r="AX71" t="str">
            <v>-</v>
          </cell>
          <cell r="AY71" t="str">
            <v>-</v>
          </cell>
          <cell r="AZ71" t="str">
            <v>-</v>
          </cell>
          <cell r="BA71" t="str">
            <v>-</v>
          </cell>
          <cell r="BB71" t="str">
            <v>-</v>
          </cell>
          <cell r="BC71" t="str">
            <v>-</v>
          </cell>
          <cell r="BD71" t="str">
            <v>-</v>
          </cell>
          <cell r="BE71" t="str">
            <v>-</v>
          </cell>
          <cell r="BF71" t="str">
            <v>-</v>
          </cell>
          <cell r="BG71" t="str">
            <v>-</v>
          </cell>
          <cell r="BH71" t="str">
            <v>-</v>
          </cell>
          <cell r="BI71" t="str">
            <v>-</v>
          </cell>
          <cell r="BJ71" t="str">
            <v>-</v>
          </cell>
          <cell r="BK71" t="str">
            <v>-</v>
          </cell>
          <cell r="BL71" t="str">
            <v>-</v>
          </cell>
          <cell r="BM71" t="str">
            <v>-</v>
          </cell>
          <cell r="BN71" t="str">
            <v>-</v>
          </cell>
          <cell r="BO71" t="str">
            <v>-</v>
          </cell>
        </row>
        <row r="72">
          <cell r="A72">
            <v>67</v>
          </cell>
          <cell r="B72" t="str">
            <v>E.TH.FS-044</v>
          </cell>
          <cell r="C72" t="str">
            <v>Termohigrômetro Digital</v>
          </cell>
          <cell r="D72">
            <v>20</v>
          </cell>
          <cell r="E72" t="str">
            <v>Elus</v>
          </cell>
          <cell r="F72" t="str">
            <v>RBC - CAL 0439</v>
          </cell>
          <cell r="G72" t="str">
            <v>E0048/26</v>
          </cell>
          <cell r="H72">
            <v>46056</v>
          </cell>
          <cell r="I72">
            <v>46446</v>
          </cell>
          <cell r="J72" t="str">
            <v>%ur</v>
          </cell>
          <cell r="K72">
            <v>30</v>
          </cell>
          <cell r="L72">
            <v>80</v>
          </cell>
          <cell r="M72">
            <v>1</v>
          </cell>
          <cell r="N72">
            <v>3</v>
          </cell>
          <cell r="O72">
            <v>2</v>
          </cell>
          <cell r="P72">
            <v>8</v>
          </cell>
          <cell r="Q72">
            <v>0.80876931010327979</v>
          </cell>
          <cell r="R72">
            <v>1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0.99686028257456805</v>
          </cell>
          <cell r="AA72">
            <v>-2.4908424908424749</v>
          </cell>
          <cell r="AB72">
            <v>30</v>
          </cell>
          <cell r="AC72">
            <v>2</v>
          </cell>
          <cell r="AD72">
            <v>2</v>
          </cell>
          <cell r="AE72">
            <v>1000000</v>
          </cell>
          <cell r="AF72">
            <v>50</v>
          </cell>
          <cell r="AG72">
            <v>2</v>
          </cell>
          <cell r="AH72">
            <v>2</v>
          </cell>
          <cell r="AI72">
            <v>1000000</v>
          </cell>
          <cell r="AJ72">
            <v>80</v>
          </cell>
          <cell r="AK72">
            <v>2</v>
          </cell>
          <cell r="AL72">
            <v>2</v>
          </cell>
          <cell r="AM72">
            <v>1000000</v>
          </cell>
          <cell r="AN72" t="str">
            <v>-</v>
          </cell>
          <cell r="AO72" t="str">
            <v>-</v>
          </cell>
          <cell r="AP72" t="str">
            <v>-</v>
          </cell>
          <cell r="AQ72" t="str">
            <v>-</v>
          </cell>
          <cell r="AR72" t="str">
            <v>-</v>
          </cell>
          <cell r="AS72" t="str">
            <v>-</v>
          </cell>
          <cell r="AT72" t="str">
            <v>-</v>
          </cell>
          <cell r="AU72" t="str">
            <v>-</v>
          </cell>
          <cell r="AV72" t="str">
            <v>-</v>
          </cell>
          <cell r="AW72" t="str">
            <v>-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-</v>
          </cell>
          <cell r="BD72" t="str">
            <v>-</v>
          </cell>
          <cell r="BE72" t="str">
            <v>-</v>
          </cell>
          <cell r="BF72" t="str">
            <v>-</v>
          </cell>
          <cell r="BG72" t="str">
            <v>-</v>
          </cell>
          <cell r="BH72" t="str">
            <v>-</v>
          </cell>
          <cell r="BI72" t="str">
            <v>-</v>
          </cell>
          <cell r="BJ72" t="str">
            <v>-</v>
          </cell>
          <cell r="BK72" t="str">
            <v>-</v>
          </cell>
          <cell r="BL72" t="str">
            <v>-</v>
          </cell>
          <cell r="BM72" t="str">
            <v>-</v>
          </cell>
          <cell r="BN72" t="str">
            <v>-</v>
          </cell>
          <cell r="BO72" t="str">
            <v>-</v>
          </cell>
        </row>
        <row r="73">
          <cell r="A73">
            <v>68</v>
          </cell>
          <cell r="B73" t="str">
            <v>E.TH.FS-054</v>
          </cell>
          <cell r="C73" t="str">
            <v>Termohigrômetro Digital</v>
          </cell>
          <cell r="D73">
            <v>20</v>
          </cell>
          <cell r="E73" t="str">
            <v>Elus</v>
          </cell>
          <cell r="F73" t="str">
            <v>RBC - CAL 0439</v>
          </cell>
          <cell r="G73" t="str">
            <v>E0136/25</v>
          </cell>
          <cell r="H73">
            <v>45733</v>
          </cell>
          <cell r="I73">
            <v>46111</v>
          </cell>
          <cell r="J73" t="str">
            <v>%ur</v>
          </cell>
          <cell r="K73">
            <v>30</v>
          </cell>
          <cell r="L73">
            <v>80</v>
          </cell>
          <cell r="M73">
            <v>1</v>
          </cell>
          <cell r="N73">
            <v>5</v>
          </cell>
          <cell r="O73">
            <v>2</v>
          </cell>
          <cell r="P73">
            <v>5</v>
          </cell>
          <cell r="Q73">
            <v>1.1270711351480074</v>
          </cell>
          <cell r="R73">
            <v>1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1.1573747353563866</v>
          </cell>
          <cell r="AA73">
            <v>-6.4643613267466336</v>
          </cell>
          <cell r="AB73">
            <v>30</v>
          </cell>
          <cell r="AC73">
            <v>2</v>
          </cell>
          <cell r="AD73">
            <v>2</v>
          </cell>
          <cell r="AE73">
            <v>1000000</v>
          </cell>
          <cell r="AF73">
            <v>50</v>
          </cell>
          <cell r="AG73">
            <v>2</v>
          </cell>
          <cell r="AH73">
            <v>2</v>
          </cell>
          <cell r="AI73">
            <v>1000000</v>
          </cell>
          <cell r="AJ73">
            <v>80</v>
          </cell>
          <cell r="AK73">
            <v>2</v>
          </cell>
          <cell r="AL73">
            <v>2</v>
          </cell>
          <cell r="AM73">
            <v>1000000</v>
          </cell>
          <cell r="AN73" t="str">
            <v>-</v>
          </cell>
          <cell r="AO73" t="str">
            <v>-</v>
          </cell>
          <cell r="AP73" t="str">
            <v>-</v>
          </cell>
          <cell r="AQ73" t="str">
            <v>-</v>
          </cell>
          <cell r="AR73" t="str">
            <v>-</v>
          </cell>
          <cell r="AS73" t="str">
            <v>-</v>
          </cell>
          <cell r="AT73" t="str">
            <v>-</v>
          </cell>
          <cell r="AU73" t="str">
            <v>-</v>
          </cell>
          <cell r="AV73" t="str">
            <v>-</v>
          </cell>
          <cell r="AW73" t="str">
            <v>-</v>
          </cell>
          <cell r="AX73" t="str">
            <v>-</v>
          </cell>
          <cell r="AY73" t="str">
            <v>-</v>
          </cell>
          <cell r="AZ73" t="str">
            <v>-</v>
          </cell>
          <cell r="BA73" t="str">
            <v>-</v>
          </cell>
          <cell r="BB73" t="str">
            <v>-</v>
          </cell>
          <cell r="BC73" t="str">
            <v>-</v>
          </cell>
          <cell r="BD73" t="str">
            <v>-</v>
          </cell>
          <cell r="BE73" t="str">
            <v>-</v>
          </cell>
          <cell r="BF73" t="str">
            <v>-</v>
          </cell>
          <cell r="BG73" t="str">
            <v>-</v>
          </cell>
          <cell r="BH73" t="str">
            <v>-</v>
          </cell>
          <cell r="BI73" t="str">
            <v>-</v>
          </cell>
          <cell r="BJ73" t="str">
            <v>-</v>
          </cell>
          <cell r="BK73" t="str">
            <v>-</v>
          </cell>
          <cell r="BL73" t="str">
            <v>-</v>
          </cell>
          <cell r="BM73" t="str">
            <v>-</v>
          </cell>
          <cell r="BN73" t="str">
            <v>-</v>
          </cell>
          <cell r="BO73" t="str">
            <v>-</v>
          </cell>
        </row>
        <row r="74">
          <cell r="A74">
            <v>69</v>
          </cell>
          <cell r="B74" t="str">
            <v>E.TH.FS-059</v>
          </cell>
          <cell r="C74" t="str">
            <v>Termohigrômetro Digital</v>
          </cell>
          <cell r="D74">
            <v>20</v>
          </cell>
          <cell r="E74" t="str">
            <v>Elus</v>
          </cell>
          <cell r="F74" t="str">
            <v>RBC - CAL 0439</v>
          </cell>
          <cell r="G74" t="str">
            <v>E0137/25</v>
          </cell>
          <cell r="H74">
            <v>45733</v>
          </cell>
          <cell r="I74">
            <v>46111</v>
          </cell>
          <cell r="J74" t="str">
            <v>%ur</v>
          </cell>
          <cell r="K74">
            <v>30</v>
          </cell>
          <cell r="L74">
            <v>80</v>
          </cell>
          <cell r="M74">
            <v>1</v>
          </cell>
          <cell r="N74">
            <v>3</v>
          </cell>
          <cell r="O74">
            <v>2</v>
          </cell>
          <cell r="P74">
            <v>3</v>
          </cell>
          <cell r="Q74">
            <v>1.2767763788340787</v>
          </cell>
          <cell r="R74">
            <v>1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0.98318899643402946</v>
          </cell>
          <cell r="AA74">
            <v>2.8629648497198232</v>
          </cell>
          <cell r="AB74">
            <v>30</v>
          </cell>
          <cell r="AC74">
            <v>2</v>
          </cell>
          <cell r="AD74">
            <v>2</v>
          </cell>
          <cell r="AE74">
            <v>1000000</v>
          </cell>
          <cell r="AF74">
            <v>50</v>
          </cell>
          <cell r="AG74">
            <v>2</v>
          </cell>
          <cell r="AH74">
            <v>2</v>
          </cell>
          <cell r="AI74">
            <v>1000000</v>
          </cell>
          <cell r="AJ74">
            <v>80</v>
          </cell>
          <cell r="AK74">
            <v>2</v>
          </cell>
          <cell r="AL74">
            <v>2</v>
          </cell>
          <cell r="AM74">
            <v>1000000</v>
          </cell>
          <cell r="AN74" t="str">
            <v>-</v>
          </cell>
          <cell r="AO74" t="str">
            <v>-</v>
          </cell>
          <cell r="AP74" t="str">
            <v>-</v>
          </cell>
          <cell r="AQ74" t="str">
            <v>-</v>
          </cell>
          <cell r="AR74" t="str">
            <v>-</v>
          </cell>
          <cell r="AS74" t="str">
            <v>-</v>
          </cell>
          <cell r="AT74" t="str">
            <v>-</v>
          </cell>
          <cell r="AU74" t="str">
            <v>-</v>
          </cell>
          <cell r="AV74" t="str">
            <v>-</v>
          </cell>
          <cell r="AW74" t="str">
            <v>-</v>
          </cell>
          <cell r="AX74" t="str">
            <v>-</v>
          </cell>
          <cell r="AY74" t="str">
            <v>-</v>
          </cell>
          <cell r="AZ74" t="str">
            <v>-</v>
          </cell>
          <cell r="BA74" t="str">
            <v>-</v>
          </cell>
          <cell r="BB74" t="str">
            <v>-</v>
          </cell>
          <cell r="BC74" t="str">
            <v>-</v>
          </cell>
          <cell r="BD74" t="str">
            <v>-</v>
          </cell>
          <cell r="BE74" t="str">
            <v>-</v>
          </cell>
          <cell r="BF74" t="str">
            <v>-</v>
          </cell>
          <cell r="BG74" t="str">
            <v>-</v>
          </cell>
          <cell r="BH74" t="str">
            <v>-</v>
          </cell>
          <cell r="BI74" t="str">
            <v>-</v>
          </cell>
          <cell r="BJ74" t="str">
            <v>-</v>
          </cell>
          <cell r="BK74" t="str">
            <v>-</v>
          </cell>
          <cell r="BL74" t="str">
            <v>-</v>
          </cell>
          <cell r="BM74" t="str">
            <v>-</v>
          </cell>
          <cell r="BN74" t="str">
            <v>-</v>
          </cell>
          <cell r="BO74" t="str">
            <v>-</v>
          </cell>
        </row>
        <row r="75">
          <cell r="A75">
            <v>70</v>
          </cell>
          <cell r="B75" t="str">
            <v>E.TH.FS-060</v>
          </cell>
          <cell r="C75" t="str">
            <v>Termohigrômetro Digital</v>
          </cell>
          <cell r="D75">
            <v>20</v>
          </cell>
          <cell r="E75" t="str">
            <v>Elus</v>
          </cell>
          <cell r="F75" t="str">
            <v>RBC - CAL 0439</v>
          </cell>
          <cell r="G75" t="str">
            <v>E0138/25</v>
          </cell>
          <cell r="H75">
            <v>45733</v>
          </cell>
          <cell r="I75">
            <v>46111</v>
          </cell>
          <cell r="J75" t="str">
            <v>%ur</v>
          </cell>
          <cell r="K75">
            <v>30</v>
          </cell>
          <cell r="L75">
            <v>80</v>
          </cell>
          <cell r="M75">
            <v>1</v>
          </cell>
          <cell r="N75">
            <v>5</v>
          </cell>
          <cell r="O75">
            <v>2</v>
          </cell>
          <cell r="P75">
            <v>5</v>
          </cell>
          <cell r="Q75">
            <v>2.5681047537964474</v>
          </cell>
          <cell r="R75">
            <v>1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0.92879963486992234</v>
          </cell>
          <cell r="AA75">
            <v>5.6549520766773185</v>
          </cell>
          <cell r="AB75">
            <v>30</v>
          </cell>
          <cell r="AC75">
            <v>2</v>
          </cell>
          <cell r="AD75">
            <v>2</v>
          </cell>
          <cell r="AE75">
            <v>1000000</v>
          </cell>
          <cell r="AF75">
            <v>50</v>
          </cell>
          <cell r="AG75">
            <v>2</v>
          </cell>
          <cell r="AH75">
            <v>2</v>
          </cell>
          <cell r="AI75">
            <v>1000000</v>
          </cell>
          <cell r="AJ75">
            <v>80</v>
          </cell>
          <cell r="AK75">
            <v>2</v>
          </cell>
          <cell r="AL75">
            <v>2</v>
          </cell>
          <cell r="AM75">
            <v>1000000</v>
          </cell>
          <cell r="AN75" t="str">
            <v>-</v>
          </cell>
          <cell r="AO75" t="str">
            <v>-</v>
          </cell>
          <cell r="AP75" t="str">
            <v>-</v>
          </cell>
          <cell r="AQ75" t="str">
            <v>-</v>
          </cell>
          <cell r="AR75" t="str">
            <v>-</v>
          </cell>
          <cell r="AS75" t="str">
            <v>-</v>
          </cell>
          <cell r="AT75" t="str">
            <v>-</v>
          </cell>
          <cell r="AU75" t="str">
            <v>-</v>
          </cell>
          <cell r="AV75" t="str">
            <v>-</v>
          </cell>
          <cell r="AW75" t="str">
            <v>-</v>
          </cell>
          <cell r="AX75" t="str">
            <v>-</v>
          </cell>
          <cell r="AY75" t="str">
            <v>-</v>
          </cell>
          <cell r="AZ75" t="str">
            <v>-</v>
          </cell>
          <cell r="BA75" t="str">
            <v>-</v>
          </cell>
          <cell r="BB75" t="str">
            <v>-</v>
          </cell>
          <cell r="BC75" t="str">
            <v>-</v>
          </cell>
          <cell r="BD75" t="str">
            <v>-</v>
          </cell>
          <cell r="BE75" t="str">
            <v>-</v>
          </cell>
          <cell r="BF75" t="str">
            <v>-</v>
          </cell>
          <cell r="BG75" t="str">
            <v>-</v>
          </cell>
          <cell r="BH75" t="str">
            <v>-</v>
          </cell>
          <cell r="BI75" t="str">
            <v>-</v>
          </cell>
          <cell r="BJ75" t="str">
            <v>-</v>
          </cell>
          <cell r="BK75" t="str">
            <v>-</v>
          </cell>
          <cell r="BL75" t="str">
            <v>-</v>
          </cell>
          <cell r="BM75" t="str">
            <v>-</v>
          </cell>
          <cell r="BN75" t="str">
            <v>-</v>
          </cell>
          <cell r="BO75" t="str">
            <v>-</v>
          </cell>
        </row>
        <row r="76">
          <cell r="A76">
            <v>71</v>
          </cell>
          <cell r="B76" t="str">
            <v>E.TH.FS-061</v>
          </cell>
          <cell r="C76" t="str">
            <v>Termohigrômetro Digital</v>
          </cell>
          <cell r="D76">
            <v>20</v>
          </cell>
          <cell r="E76" t="str">
            <v>Elus</v>
          </cell>
          <cell r="F76" t="str">
            <v>RBC - CAL 0439</v>
          </cell>
          <cell r="G76" t="str">
            <v>E0139/25</v>
          </cell>
          <cell r="H76">
            <v>45733</v>
          </cell>
          <cell r="I76">
            <v>46111</v>
          </cell>
          <cell r="J76" t="str">
            <v>%ur</v>
          </cell>
          <cell r="K76">
            <v>30</v>
          </cell>
          <cell r="L76">
            <v>80</v>
          </cell>
          <cell r="M76">
            <v>1</v>
          </cell>
          <cell r="N76">
            <v>0</v>
          </cell>
          <cell r="O76">
            <v>2</v>
          </cell>
          <cell r="P76">
            <v>0</v>
          </cell>
          <cell r="Q76">
            <v>7.1054273576010019E-15</v>
          </cell>
          <cell r="R76">
            <v>1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0.99999999999999978</v>
          </cell>
          <cell r="AA76">
            <v>1.4210854715202004E-14</v>
          </cell>
          <cell r="AB76">
            <v>30</v>
          </cell>
          <cell r="AC76">
            <v>2</v>
          </cell>
          <cell r="AD76">
            <v>2</v>
          </cell>
          <cell r="AE76">
            <v>1000000</v>
          </cell>
          <cell r="AF76">
            <v>50</v>
          </cell>
          <cell r="AG76">
            <v>2</v>
          </cell>
          <cell r="AH76">
            <v>2</v>
          </cell>
          <cell r="AI76">
            <v>1000000</v>
          </cell>
          <cell r="AJ76">
            <v>80</v>
          </cell>
          <cell r="AK76">
            <v>2</v>
          </cell>
          <cell r="AL76">
            <v>2</v>
          </cell>
          <cell r="AM76">
            <v>1000000</v>
          </cell>
          <cell r="AN76" t="str">
            <v>-</v>
          </cell>
          <cell r="AO76" t="str">
            <v>-</v>
          </cell>
          <cell r="AP76" t="str">
            <v>-</v>
          </cell>
          <cell r="AQ76" t="str">
            <v>-</v>
          </cell>
          <cell r="AR76" t="str">
            <v>-</v>
          </cell>
          <cell r="AS76" t="str">
            <v>-</v>
          </cell>
          <cell r="AT76" t="str">
            <v>-</v>
          </cell>
          <cell r="AU76" t="str">
            <v>-</v>
          </cell>
          <cell r="AV76" t="str">
            <v>-</v>
          </cell>
          <cell r="AW76" t="str">
            <v>-</v>
          </cell>
          <cell r="AX76" t="str">
            <v>-</v>
          </cell>
          <cell r="AY76" t="str">
            <v>-</v>
          </cell>
          <cell r="AZ76" t="str">
            <v>-</v>
          </cell>
          <cell r="BA76" t="str">
            <v>-</v>
          </cell>
          <cell r="BB76" t="str">
            <v>-</v>
          </cell>
          <cell r="BC76" t="str">
            <v>-</v>
          </cell>
          <cell r="BD76" t="str">
            <v>-</v>
          </cell>
          <cell r="BE76" t="str">
            <v>-</v>
          </cell>
          <cell r="BF76" t="str">
            <v>-</v>
          </cell>
          <cell r="BG76" t="str">
            <v>-</v>
          </cell>
          <cell r="BH76" t="str">
            <v>-</v>
          </cell>
          <cell r="BI76" t="str">
            <v>-</v>
          </cell>
          <cell r="BJ76" t="str">
            <v>-</v>
          </cell>
          <cell r="BK76" t="str">
            <v>-</v>
          </cell>
          <cell r="BL76" t="str">
            <v>-</v>
          </cell>
          <cell r="BM76" t="str">
            <v>-</v>
          </cell>
          <cell r="BN76" t="str">
            <v>-</v>
          </cell>
          <cell r="BO76" t="str">
            <v>-</v>
          </cell>
        </row>
        <row r="77">
          <cell r="A77">
            <v>72</v>
          </cell>
          <cell r="B77" t="str">
            <v>E.TH.FS-062</v>
          </cell>
          <cell r="C77" t="str">
            <v>Termohigrômetro Digital</v>
          </cell>
          <cell r="D77">
            <v>20</v>
          </cell>
          <cell r="E77" t="str">
            <v>Elus</v>
          </cell>
          <cell r="F77" t="str">
            <v>RBC - CAL 0439</v>
          </cell>
          <cell r="G77" t="str">
            <v>E0135/25</v>
          </cell>
          <cell r="H77">
            <v>45733</v>
          </cell>
          <cell r="I77">
            <v>46111</v>
          </cell>
          <cell r="J77" t="str">
            <v>%ur</v>
          </cell>
          <cell r="K77">
            <v>30</v>
          </cell>
          <cell r="L77">
            <v>80</v>
          </cell>
          <cell r="M77">
            <v>1</v>
          </cell>
          <cell r="N77">
            <v>3</v>
          </cell>
          <cell r="O77">
            <v>2</v>
          </cell>
          <cell r="P77">
            <v>3</v>
          </cell>
          <cell r="Q77">
            <v>0.73897902245685998</v>
          </cell>
          <cell r="R77">
            <v>1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0.91087811271297481</v>
          </cell>
          <cell r="AA77">
            <v>4.1459152468326934</v>
          </cell>
          <cell r="AB77">
            <v>30</v>
          </cell>
          <cell r="AC77">
            <v>2</v>
          </cell>
          <cell r="AD77">
            <v>2</v>
          </cell>
          <cell r="AE77">
            <v>1000000</v>
          </cell>
          <cell r="AF77">
            <v>50</v>
          </cell>
          <cell r="AG77">
            <v>2</v>
          </cell>
          <cell r="AH77">
            <v>2</v>
          </cell>
          <cell r="AI77">
            <v>1000000</v>
          </cell>
          <cell r="AJ77">
            <v>80</v>
          </cell>
          <cell r="AK77">
            <v>2</v>
          </cell>
          <cell r="AL77">
            <v>2</v>
          </cell>
          <cell r="AM77">
            <v>1000000</v>
          </cell>
          <cell r="AN77" t="str">
            <v>-</v>
          </cell>
          <cell r="AO77" t="str">
            <v>-</v>
          </cell>
          <cell r="AP77" t="str">
            <v>-</v>
          </cell>
          <cell r="AQ77" t="str">
            <v>-</v>
          </cell>
          <cell r="AR77" t="str">
            <v>-</v>
          </cell>
          <cell r="AS77" t="str">
            <v>-</v>
          </cell>
          <cell r="AT77" t="str">
            <v>-</v>
          </cell>
          <cell r="AU77" t="str">
            <v>-</v>
          </cell>
          <cell r="AV77" t="str">
            <v>-</v>
          </cell>
          <cell r="AW77" t="str">
            <v>-</v>
          </cell>
          <cell r="AX77" t="str">
            <v>-</v>
          </cell>
          <cell r="AY77" t="str">
            <v>-</v>
          </cell>
          <cell r="AZ77" t="str">
            <v>-</v>
          </cell>
          <cell r="BA77" t="str">
            <v>-</v>
          </cell>
          <cell r="BB77" t="str">
            <v>-</v>
          </cell>
          <cell r="BC77" t="str">
            <v>-</v>
          </cell>
          <cell r="BD77" t="str">
            <v>-</v>
          </cell>
          <cell r="BE77" t="str">
            <v>-</v>
          </cell>
          <cell r="BF77" t="str">
            <v>-</v>
          </cell>
          <cell r="BG77" t="str">
            <v>-</v>
          </cell>
          <cell r="BH77" t="str">
            <v>-</v>
          </cell>
          <cell r="BI77" t="str">
            <v>-</v>
          </cell>
          <cell r="BJ77" t="str">
            <v>-</v>
          </cell>
          <cell r="BK77" t="str">
            <v>-</v>
          </cell>
          <cell r="BL77" t="str">
            <v>-</v>
          </cell>
          <cell r="BM77" t="str">
            <v>-</v>
          </cell>
          <cell r="BN77" t="str">
            <v>-</v>
          </cell>
          <cell r="BO77" t="str">
            <v>-</v>
          </cell>
        </row>
        <row r="78">
          <cell r="A78">
            <v>73</v>
          </cell>
          <cell r="B78" t="str">
            <v>M.TH.FS-001</v>
          </cell>
          <cell r="C78" t="str">
            <v>Termohigrômetro Digital</v>
          </cell>
          <cell r="D78">
            <v>20</v>
          </cell>
          <cell r="E78" t="str">
            <v>Elus</v>
          </cell>
          <cell r="F78" t="str">
            <v>RBC - CAL 0439</v>
          </cell>
          <cell r="G78" t="str">
            <v>E0307/24</v>
          </cell>
          <cell r="H78">
            <v>45520</v>
          </cell>
          <cell r="I78">
            <v>45899</v>
          </cell>
          <cell r="J78" t="str">
            <v>%ur</v>
          </cell>
          <cell r="K78">
            <v>30</v>
          </cell>
          <cell r="L78">
            <v>90</v>
          </cell>
          <cell r="M78">
            <v>1</v>
          </cell>
          <cell r="N78">
            <v>3</v>
          </cell>
          <cell r="O78">
            <v>2</v>
          </cell>
          <cell r="P78">
            <v>3</v>
          </cell>
          <cell r="Q78">
            <v>0.65072867974367377</v>
          </cell>
          <cell r="R78">
            <v>2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-3.2040581707492807E-3</v>
          </cell>
          <cell r="Z78">
            <v>1.4730940103865267</v>
          </cell>
          <cell r="AA78">
            <v>-14.946605000062808</v>
          </cell>
          <cell r="AB78">
            <v>30</v>
          </cell>
          <cell r="AC78">
            <v>2</v>
          </cell>
          <cell r="AD78">
            <v>2</v>
          </cell>
          <cell r="AE78">
            <v>1000000</v>
          </cell>
          <cell r="AF78">
            <v>50</v>
          </cell>
          <cell r="AG78">
            <v>2</v>
          </cell>
          <cell r="AH78">
            <v>2</v>
          </cell>
          <cell r="AI78">
            <v>1000000</v>
          </cell>
          <cell r="AJ78">
            <v>70</v>
          </cell>
          <cell r="AK78">
            <v>2</v>
          </cell>
          <cell r="AL78">
            <v>2</v>
          </cell>
          <cell r="AM78">
            <v>1000000</v>
          </cell>
          <cell r="AN78">
            <v>90</v>
          </cell>
          <cell r="AO78">
            <v>2</v>
          </cell>
          <cell r="AP78">
            <v>2</v>
          </cell>
          <cell r="AQ78">
            <v>1000000</v>
          </cell>
          <cell r="AR78" t="str">
            <v>-</v>
          </cell>
          <cell r="AS78" t="str">
            <v>-</v>
          </cell>
          <cell r="AT78" t="str">
            <v>-</v>
          </cell>
          <cell r="AU78" t="str">
            <v>-</v>
          </cell>
          <cell r="AV78" t="str">
            <v>-</v>
          </cell>
          <cell r="AW78" t="str">
            <v>-</v>
          </cell>
          <cell r="AX78" t="str">
            <v>-</v>
          </cell>
          <cell r="AY78" t="str">
            <v>-</v>
          </cell>
          <cell r="AZ78" t="str">
            <v>-</v>
          </cell>
          <cell r="BA78" t="str">
            <v>-</v>
          </cell>
          <cell r="BB78" t="str">
            <v>-</v>
          </cell>
          <cell r="BC78" t="str">
            <v>-</v>
          </cell>
          <cell r="BD78" t="str">
            <v>-</v>
          </cell>
          <cell r="BE78" t="str">
            <v>-</v>
          </cell>
          <cell r="BF78" t="str">
            <v>-</v>
          </cell>
          <cell r="BG78" t="str">
            <v>-</v>
          </cell>
          <cell r="BH78" t="str">
            <v>-</v>
          </cell>
          <cell r="BI78" t="str">
            <v>-</v>
          </cell>
          <cell r="BJ78" t="str">
            <v>-</v>
          </cell>
          <cell r="BK78" t="str">
            <v>-</v>
          </cell>
          <cell r="BL78" t="str">
            <v>-</v>
          </cell>
          <cell r="BM78" t="str">
            <v>-</v>
          </cell>
          <cell r="BN78" t="str">
            <v>-</v>
          </cell>
          <cell r="BO78" t="str">
            <v>-</v>
          </cell>
        </row>
        <row r="79">
          <cell r="A79">
            <v>74</v>
          </cell>
          <cell r="B79" t="str">
            <v>M.TH.FS-002</v>
          </cell>
          <cell r="C79" t="str">
            <v>Termohigrômetro Digital</v>
          </cell>
          <cell r="D79">
            <v>20</v>
          </cell>
          <cell r="E79" t="str">
            <v>Elus</v>
          </cell>
          <cell r="F79" t="str">
            <v>RBC - CAL 0439</v>
          </cell>
          <cell r="G79" t="str">
            <v>E0308/24</v>
          </cell>
          <cell r="H79">
            <v>45520</v>
          </cell>
          <cell r="I79">
            <v>45899</v>
          </cell>
          <cell r="J79" t="str">
            <v>%ur</v>
          </cell>
          <cell r="K79">
            <v>30</v>
          </cell>
          <cell r="L79">
            <v>90</v>
          </cell>
          <cell r="M79">
            <v>1</v>
          </cell>
          <cell r="N79">
            <v>2</v>
          </cell>
          <cell r="O79">
            <v>2</v>
          </cell>
          <cell r="P79">
            <v>2</v>
          </cell>
          <cell r="Q79">
            <v>0.89768839625197216</v>
          </cell>
          <cell r="R79">
            <v>2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-1.4093750682057991E-3</v>
          </cell>
          <cell r="Z79">
            <v>1.2101077063715087</v>
          </cell>
          <cell r="AA79">
            <v>-6.3617941936792599</v>
          </cell>
          <cell r="AB79">
            <v>30</v>
          </cell>
          <cell r="AC79">
            <v>2</v>
          </cell>
          <cell r="AD79">
            <v>2</v>
          </cell>
          <cell r="AE79">
            <v>1000000</v>
          </cell>
          <cell r="AF79">
            <v>50</v>
          </cell>
          <cell r="AG79">
            <v>2</v>
          </cell>
          <cell r="AH79">
            <v>2</v>
          </cell>
          <cell r="AI79">
            <v>1000000</v>
          </cell>
          <cell r="AJ79">
            <v>70</v>
          </cell>
          <cell r="AK79">
            <v>2</v>
          </cell>
          <cell r="AL79">
            <v>2</v>
          </cell>
          <cell r="AM79">
            <v>1000000</v>
          </cell>
          <cell r="AN79">
            <v>90</v>
          </cell>
          <cell r="AO79">
            <v>2</v>
          </cell>
          <cell r="AP79">
            <v>2</v>
          </cell>
          <cell r="AQ79">
            <v>1000000</v>
          </cell>
          <cell r="AR79" t="str">
            <v>-</v>
          </cell>
          <cell r="AS79" t="str">
            <v>-</v>
          </cell>
          <cell r="AT79" t="str">
            <v>-</v>
          </cell>
          <cell r="AU79" t="str">
            <v>-</v>
          </cell>
          <cell r="AV79" t="str">
            <v>-</v>
          </cell>
          <cell r="AW79" t="str">
            <v>-</v>
          </cell>
          <cell r="AX79" t="str">
            <v>-</v>
          </cell>
          <cell r="AY79" t="str">
            <v>-</v>
          </cell>
          <cell r="AZ79" t="str">
            <v>-</v>
          </cell>
          <cell r="BA79" t="str">
            <v>-</v>
          </cell>
          <cell r="BB79" t="str">
            <v>-</v>
          </cell>
          <cell r="BC79" t="str">
            <v>-</v>
          </cell>
          <cell r="BD79" t="str">
            <v>-</v>
          </cell>
          <cell r="BE79" t="str">
            <v>-</v>
          </cell>
          <cell r="BF79" t="str">
            <v>-</v>
          </cell>
          <cell r="BG79" t="str">
            <v>-</v>
          </cell>
          <cell r="BH79" t="str">
            <v>-</v>
          </cell>
          <cell r="BI79" t="str">
            <v>-</v>
          </cell>
          <cell r="BJ79" t="str">
            <v>-</v>
          </cell>
          <cell r="BK79" t="str">
            <v>-</v>
          </cell>
          <cell r="BL79" t="str">
            <v>-</v>
          </cell>
          <cell r="BM79" t="str">
            <v>-</v>
          </cell>
          <cell r="BN79" t="str">
            <v>-</v>
          </cell>
          <cell r="BO79" t="str">
            <v>-</v>
          </cell>
        </row>
        <row r="80">
          <cell r="A80">
            <v>75</v>
          </cell>
          <cell r="B80" t="str">
            <v>M.TH.FS-003</v>
          </cell>
          <cell r="C80" t="str">
            <v>Termohigrômetro Digital</v>
          </cell>
          <cell r="D80">
            <v>20</v>
          </cell>
          <cell r="E80" t="str">
            <v>Elus</v>
          </cell>
          <cell r="F80" t="str">
            <v>RBC - CAL 0439</v>
          </cell>
          <cell r="G80" t="str">
            <v>E0309/24</v>
          </cell>
          <cell r="H80">
            <v>45520</v>
          </cell>
          <cell r="I80">
            <v>45899</v>
          </cell>
          <cell r="J80" t="str">
            <v>%ur</v>
          </cell>
          <cell r="K80">
            <v>30</v>
          </cell>
          <cell r="L80">
            <v>90</v>
          </cell>
          <cell r="M80">
            <v>1</v>
          </cell>
          <cell r="N80">
            <v>2</v>
          </cell>
          <cell r="O80">
            <v>2</v>
          </cell>
          <cell r="P80">
            <v>2</v>
          </cell>
          <cell r="Q80">
            <v>1.4370812861417965</v>
          </cell>
          <cell r="R80">
            <v>2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-1.4025954539598113E-3</v>
          </cell>
          <cell r="Z80">
            <v>1.2071930815661953</v>
          </cell>
          <cell r="AA80">
            <v>-5.694659235168972</v>
          </cell>
          <cell r="AB80">
            <v>30</v>
          </cell>
          <cell r="AC80">
            <v>2</v>
          </cell>
          <cell r="AD80">
            <v>2</v>
          </cell>
          <cell r="AE80">
            <v>1000000</v>
          </cell>
          <cell r="AF80">
            <v>50</v>
          </cell>
          <cell r="AG80">
            <v>2</v>
          </cell>
          <cell r="AH80">
            <v>2</v>
          </cell>
          <cell r="AI80">
            <v>1000000</v>
          </cell>
          <cell r="AJ80">
            <v>70</v>
          </cell>
          <cell r="AK80">
            <v>2</v>
          </cell>
          <cell r="AL80">
            <v>2</v>
          </cell>
          <cell r="AM80">
            <v>1000000</v>
          </cell>
          <cell r="AN80">
            <v>90</v>
          </cell>
          <cell r="AO80">
            <v>2</v>
          </cell>
          <cell r="AP80">
            <v>2</v>
          </cell>
          <cell r="AQ80">
            <v>1000000</v>
          </cell>
          <cell r="AR80" t="str">
            <v>-</v>
          </cell>
          <cell r="AS80" t="str">
            <v>-</v>
          </cell>
          <cell r="AT80" t="str">
            <v>-</v>
          </cell>
          <cell r="AU80" t="str">
            <v>-</v>
          </cell>
          <cell r="AV80" t="str">
            <v>-</v>
          </cell>
          <cell r="AW80" t="str">
            <v>-</v>
          </cell>
          <cell r="AX80" t="str">
            <v>-</v>
          </cell>
          <cell r="AY80" t="str">
            <v>-</v>
          </cell>
          <cell r="AZ80" t="str">
            <v>-</v>
          </cell>
          <cell r="BA80" t="str">
            <v>-</v>
          </cell>
          <cell r="BB80" t="str">
            <v>-</v>
          </cell>
          <cell r="BC80" t="str">
            <v>-</v>
          </cell>
          <cell r="BD80" t="str">
            <v>-</v>
          </cell>
          <cell r="BE80" t="str">
            <v>-</v>
          </cell>
          <cell r="BF80" t="str">
            <v>-</v>
          </cell>
          <cell r="BG80" t="str">
            <v>-</v>
          </cell>
          <cell r="BH80" t="str">
            <v>-</v>
          </cell>
          <cell r="BI80" t="str">
            <v>-</v>
          </cell>
          <cell r="BJ80" t="str">
            <v>-</v>
          </cell>
          <cell r="BK80" t="str">
            <v>-</v>
          </cell>
          <cell r="BL80" t="str">
            <v>-</v>
          </cell>
          <cell r="BM80" t="str">
            <v>-</v>
          </cell>
          <cell r="BN80" t="str">
            <v>-</v>
          </cell>
          <cell r="BO80" t="str">
            <v>-</v>
          </cell>
        </row>
        <row r="81">
          <cell r="A81">
            <v>76</v>
          </cell>
          <cell r="B81" t="str">
            <v>M.TH.FS-004</v>
          </cell>
          <cell r="C81" t="str">
            <v>Termohigrômetro Digital</v>
          </cell>
          <cell r="D81">
            <v>20</v>
          </cell>
          <cell r="E81" t="str">
            <v>Elus</v>
          </cell>
          <cell r="F81" t="str">
            <v>RBC - CAL 0439</v>
          </cell>
          <cell r="G81" t="str">
            <v>E0310/24</v>
          </cell>
          <cell r="H81">
            <v>45520</v>
          </cell>
          <cell r="I81">
            <v>45899</v>
          </cell>
          <cell r="J81" t="str">
            <v>%ur</v>
          </cell>
          <cell r="K81">
            <v>30</v>
          </cell>
          <cell r="L81">
            <v>90</v>
          </cell>
          <cell r="M81">
            <v>1</v>
          </cell>
          <cell r="N81">
            <v>1</v>
          </cell>
          <cell r="O81">
            <v>2</v>
          </cell>
          <cell r="P81">
            <v>1</v>
          </cell>
          <cell r="Q81">
            <v>0.66608271259680896</v>
          </cell>
          <cell r="R81">
            <v>2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-6.3361076334152839E-4</v>
          </cell>
          <cell r="Z81">
            <v>1.0807749738999506</v>
          </cell>
          <cell r="AA81">
            <v>-2.0005185348479024</v>
          </cell>
          <cell r="AB81">
            <v>30</v>
          </cell>
          <cell r="AC81">
            <v>2</v>
          </cell>
          <cell r="AD81">
            <v>2</v>
          </cell>
          <cell r="AE81">
            <v>1000000</v>
          </cell>
          <cell r="AF81">
            <v>50</v>
          </cell>
          <cell r="AG81">
            <v>2</v>
          </cell>
          <cell r="AH81">
            <v>2</v>
          </cell>
          <cell r="AI81">
            <v>1000000</v>
          </cell>
          <cell r="AJ81">
            <v>70</v>
          </cell>
          <cell r="AK81">
            <v>2</v>
          </cell>
          <cell r="AL81">
            <v>2</v>
          </cell>
          <cell r="AM81">
            <v>1000000</v>
          </cell>
          <cell r="AN81">
            <v>90</v>
          </cell>
          <cell r="AO81">
            <v>2</v>
          </cell>
          <cell r="AP81">
            <v>2</v>
          </cell>
          <cell r="AQ81">
            <v>1000000</v>
          </cell>
          <cell r="AR81" t="str">
            <v>-</v>
          </cell>
          <cell r="AS81" t="str">
            <v>-</v>
          </cell>
          <cell r="AT81" t="str">
            <v>-</v>
          </cell>
          <cell r="AU81" t="str">
            <v>-</v>
          </cell>
          <cell r="AV81" t="str">
            <v>-</v>
          </cell>
          <cell r="AW81" t="str">
            <v>-</v>
          </cell>
          <cell r="AX81" t="str">
            <v>-</v>
          </cell>
          <cell r="AY81" t="str">
            <v>-</v>
          </cell>
          <cell r="AZ81" t="str">
            <v>-</v>
          </cell>
          <cell r="BA81" t="str">
            <v>-</v>
          </cell>
          <cell r="BB81" t="str">
            <v>-</v>
          </cell>
          <cell r="BC81" t="str">
            <v>-</v>
          </cell>
          <cell r="BD81" t="str">
            <v>-</v>
          </cell>
          <cell r="BE81" t="str">
            <v>-</v>
          </cell>
          <cell r="BF81" t="str">
            <v>-</v>
          </cell>
          <cell r="BG81" t="str">
            <v>-</v>
          </cell>
          <cell r="BH81" t="str">
            <v>-</v>
          </cell>
          <cell r="BI81" t="str">
            <v>-</v>
          </cell>
          <cell r="BJ81" t="str">
            <v>-</v>
          </cell>
          <cell r="BK81" t="str">
            <v>-</v>
          </cell>
          <cell r="BL81" t="str">
            <v>-</v>
          </cell>
          <cell r="BM81" t="str">
            <v>-</v>
          </cell>
          <cell r="BN81" t="str">
            <v>-</v>
          </cell>
          <cell r="BO81" t="str">
            <v>-</v>
          </cell>
        </row>
        <row r="82">
          <cell r="A82">
            <v>77</v>
          </cell>
          <cell r="B82" t="str">
            <v>M.TH.FS-005</v>
          </cell>
          <cell r="C82" t="str">
            <v>Termohigrômetro Digital</v>
          </cell>
          <cell r="D82">
            <v>20</v>
          </cell>
          <cell r="E82" t="str">
            <v>Elus</v>
          </cell>
          <cell r="F82" t="str">
            <v>RBC - CAL 0439</v>
          </cell>
          <cell r="G82" t="str">
            <v>E0311/24</v>
          </cell>
          <cell r="H82">
            <v>45520</v>
          </cell>
          <cell r="I82">
            <v>45899</v>
          </cell>
          <cell r="J82" t="str">
            <v>%ur</v>
          </cell>
          <cell r="K82">
            <v>30</v>
          </cell>
          <cell r="L82">
            <v>90</v>
          </cell>
          <cell r="M82">
            <v>1</v>
          </cell>
          <cell r="N82">
            <v>2</v>
          </cell>
          <cell r="O82">
            <v>2</v>
          </cell>
          <cell r="P82">
            <v>2</v>
          </cell>
          <cell r="Q82">
            <v>1.0497007139463466</v>
          </cell>
          <cell r="R82">
            <v>2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-2.5655011483406145E-3</v>
          </cell>
          <cell r="Z82">
            <v>1.3240127561178827</v>
          </cell>
          <cell r="AA82">
            <v>-9.4520937277958428</v>
          </cell>
          <cell r="AB82">
            <v>30</v>
          </cell>
          <cell r="AC82">
            <v>2</v>
          </cell>
          <cell r="AD82">
            <v>2</v>
          </cell>
          <cell r="AE82">
            <v>1000000</v>
          </cell>
          <cell r="AF82">
            <v>50</v>
          </cell>
          <cell r="AG82">
            <v>2</v>
          </cell>
          <cell r="AH82">
            <v>2</v>
          </cell>
          <cell r="AI82">
            <v>1000000</v>
          </cell>
          <cell r="AJ82">
            <v>70</v>
          </cell>
          <cell r="AK82">
            <v>2</v>
          </cell>
          <cell r="AL82">
            <v>2</v>
          </cell>
          <cell r="AM82">
            <v>1000000</v>
          </cell>
          <cell r="AN82">
            <v>90</v>
          </cell>
          <cell r="AO82">
            <v>2</v>
          </cell>
          <cell r="AP82">
            <v>2</v>
          </cell>
          <cell r="AQ82">
            <v>1000000</v>
          </cell>
          <cell r="AR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X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D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J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</row>
        <row r="83">
          <cell r="A83">
            <v>78</v>
          </cell>
          <cell r="B83" t="str">
            <v>M.TH.FS-006</v>
          </cell>
          <cell r="C83" t="str">
            <v>Termohigrômetro Digital</v>
          </cell>
          <cell r="D83">
            <v>20</v>
          </cell>
          <cell r="E83" t="str">
            <v>Elus</v>
          </cell>
          <cell r="F83" t="str">
            <v>RBC - CAL 0439</v>
          </cell>
          <cell r="G83" t="str">
            <v>E0312/24</v>
          </cell>
          <cell r="H83">
            <v>45520</v>
          </cell>
          <cell r="I83">
            <v>45899</v>
          </cell>
          <cell r="J83" t="str">
            <v>%ur</v>
          </cell>
          <cell r="K83">
            <v>30</v>
          </cell>
          <cell r="L83">
            <v>90</v>
          </cell>
          <cell r="M83">
            <v>1</v>
          </cell>
          <cell r="N83">
            <v>3</v>
          </cell>
          <cell r="O83">
            <v>2</v>
          </cell>
          <cell r="P83">
            <v>3</v>
          </cell>
          <cell r="Q83">
            <v>0.60884457512586243</v>
          </cell>
          <cell r="R83">
            <v>2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-2.7343363143841285E-3</v>
          </cell>
          <cell r="Z83">
            <v>1.3686668984639578</v>
          </cell>
          <cell r="AA83">
            <v>-12.024975808245973</v>
          </cell>
          <cell r="AB83">
            <v>30</v>
          </cell>
          <cell r="AC83">
            <v>2</v>
          </cell>
          <cell r="AD83">
            <v>2</v>
          </cell>
          <cell r="AE83">
            <v>1000000</v>
          </cell>
          <cell r="AF83">
            <v>50</v>
          </cell>
          <cell r="AG83">
            <v>2</v>
          </cell>
          <cell r="AH83">
            <v>2</v>
          </cell>
          <cell r="AI83">
            <v>1000000</v>
          </cell>
          <cell r="AJ83">
            <v>70</v>
          </cell>
          <cell r="AK83">
            <v>2</v>
          </cell>
          <cell r="AL83">
            <v>2</v>
          </cell>
          <cell r="AM83">
            <v>1000000</v>
          </cell>
          <cell r="AN83">
            <v>90</v>
          </cell>
          <cell r="AO83">
            <v>2</v>
          </cell>
          <cell r="AP83">
            <v>2</v>
          </cell>
          <cell r="AQ83">
            <v>1000000</v>
          </cell>
          <cell r="AR83" t="str">
            <v>-</v>
          </cell>
          <cell r="AS83" t="str">
            <v>-</v>
          </cell>
          <cell r="AT83" t="str">
            <v>-</v>
          </cell>
          <cell r="AU83" t="str">
            <v>-</v>
          </cell>
          <cell r="AV83" t="str">
            <v>-</v>
          </cell>
          <cell r="AW83" t="str">
            <v>-</v>
          </cell>
          <cell r="AX83" t="str">
            <v>-</v>
          </cell>
          <cell r="AY83" t="str">
            <v>-</v>
          </cell>
          <cell r="AZ83" t="str">
            <v>-</v>
          </cell>
          <cell r="BA83" t="str">
            <v>-</v>
          </cell>
          <cell r="BB83" t="str">
            <v>-</v>
          </cell>
          <cell r="BC83" t="str">
            <v>-</v>
          </cell>
          <cell r="BD83" t="str">
            <v>-</v>
          </cell>
          <cell r="BE83" t="str">
            <v>-</v>
          </cell>
          <cell r="BF83" t="str">
            <v>-</v>
          </cell>
          <cell r="BG83" t="str">
            <v>-</v>
          </cell>
          <cell r="BH83" t="str">
            <v>-</v>
          </cell>
          <cell r="BI83" t="str">
            <v>-</v>
          </cell>
          <cell r="BJ83" t="str">
            <v>-</v>
          </cell>
          <cell r="BK83" t="str">
            <v>-</v>
          </cell>
          <cell r="BL83" t="str">
            <v>-</v>
          </cell>
          <cell r="BM83" t="str">
            <v>-</v>
          </cell>
          <cell r="BN83" t="str">
            <v>-</v>
          </cell>
          <cell r="BO83" t="str">
            <v>-</v>
          </cell>
        </row>
        <row r="84">
          <cell r="A84">
            <v>79</v>
          </cell>
          <cell r="B84" t="str">
            <v>M.TH.FS-007</v>
          </cell>
          <cell r="C84" t="str">
            <v>Termohigrômetro Digital</v>
          </cell>
          <cell r="D84">
            <v>20</v>
          </cell>
          <cell r="E84" t="str">
            <v>Elus</v>
          </cell>
          <cell r="F84" t="str">
            <v>RBC - CAL 0439</v>
          </cell>
          <cell r="G84" t="str">
            <v>E0313/24</v>
          </cell>
          <cell r="H84">
            <v>45520</v>
          </cell>
          <cell r="I84">
            <v>45899</v>
          </cell>
          <cell r="J84" t="str">
            <v>%ur</v>
          </cell>
          <cell r="K84">
            <v>30</v>
          </cell>
          <cell r="L84">
            <v>90</v>
          </cell>
          <cell r="M84">
            <v>1</v>
          </cell>
          <cell r="N84">
            <v>3</v>
          </cell>
          <cell r="O84">
            <v>2</v>
          </cell>
          <cell r="P84">
            <v>3</v>
          </cell>
          <cell r="Q84">
            <v>0.94499697032162855</v>
          </cell>
          <cell r="R84">
            <v>2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-3.5739557593718902E-3</v>
          </cell>
          <cell r="Z84">
            <v>1.484378246866989</v>
          </cell>
          <cell r="AA84">
            <v>-14.824351718363646</v>
          </cell>
          <cell r="AB84">
            <v>30</v>
          </cell>
          <cell r="AC84">
            <v>2</v>
          </cell>
          <cell r="AD84">
            <v>2</v>
          </cell>
          <cell r="AE84">
            <v>1000000</v>
          </cell>
          <cell r="AF84">
            <v>50</v>
          </cell>
          <cell r="AG84">
            <v>2</v>
          </cell>
          <cell r="AH84">
            <v>2</v>
          </cell>
          <cell r="AI84">
            <v>1000000</v>
          </cell>
          <cell r="AJ84">
            <v>70</v>
          </cell>
          <cell r="AK84">
            <v>2</v>
          </cell>
          <cell r="AL84">
            <v>2</v>
          </cell>
          <cell r="AM84">
            <v>1000000</v>
          </cell>
          <cell r="AN84">
            <v>90</v>
          </cell>
          <cell r="AO84">
            <v>2</v>
          </cell>
          <cell r="AP84">
            <v>2</v>
          </cell>
          <cell r="AQ84">
            <v>1000000</v>
          </cell>
          <cell r="AR84" t="str">
            <v>-</v>
          </cell>
          <cell r="AS84" t="str">
            <v>-</v>
          </cell>
          <cell r="AT84" t="str">
            <v>-</v>
          </cell>
          <cell r="AU84" t="str">
            <v>-</v>
          </cell>
          <cell r="AV84" t="str">
            <v>-</v>
          </cell>
          <cell r="AW84" t="str">
            <v>-</v>
          </cell>
          <cell r="AX84" t="str">
            <v>-</v>
          </cell>
          <cell r="AY84" t="str">
            <v>-</v>
          </cell>
          <cell r="AZ84" t="str">
            <v>-</v>
          </cell>
          <cell r="BA84" t="str">
            <v>-</v>
          </cell>
          <cell r="BB84" t="str">
            <v>-</v>
          </cell>
          <cell r="BC84" t="str">
            <v>-</v>
          </cell>
          <cell r="BD84" t="str">
            <v>-</v>
          </cell>
          <cell r="BE84" t="str">
            <v>-</v>
          </cell>
          <cell r="BF84" t="str">
            <v>-</v>
          </cell>
          <cell r="BG84" t="str">
            <v>-</v>
          </cell>
          <cell r="BH84" t="str">
            <v>-</v>
          </cell>
          <cell r="BI84" t="str">
            <v>-</v>
          </cell>
          <cell r="BJ84" t="str">
            <v>-</v>
          </cell>
          <cell r="BK84" t="str">
            <v>-</v>
          </cell>
          <cell r="BL84" t="str">
            <v>-</v>
          </cell>
          <cell r="BM84" t="str">
            <v>-</v>
          </cell>
          <cell r="BN84" t="str">
            <v>-</v>
          </cell>
          <cell r="BO84" t="str">
            <v>-</v>
          </cell>
        </row>
        <row r="85">
          <cell r="A85">
            <v>80</v>
          </cell>
          <cell r="B85" t="str">
            <v>-</v>
          </cell>
          <cell r="C85" t="str">
            <v>-</v>
          </cell>
          <cell r="D85" t="str">
            <v>-</v>
          </cell>
          <cell r="E85" t="str">
            <v>-</v>
          </cell>
          <cell r="F85" t="str">
            <v>-</v>
          </cell>
          <cell r="G85" t="str">
            <v>-</v>
          </cell>
          <cell r="H85" t="str">
            <v>-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-</v>
          </cell>
          <cell r="O85" t="str">
            <v>-</v>
          </cell>
          <cell r="P85" t="str">
            <v>-</v>
          </cell>
          <cell r="Q85" t="str">
            <v>-</v>
          </cell>
          <cell r="R85" t="str">
            <v>-</v>
          </cell>
          <cell r="S85" t="str">
            <v>-</v>
          </cell>
          <cell r="T85" t="str">
            <v>-</v>
          </cell>
          <cell r="U85" t="str">
            <v>-</v>
          </cell>
          <cell r="V85" t="str">
            <v>-</v>
          </cell>
          <cell r="W85" t="str">
            <v>-</v>
          </cell>
          <cell r="X85" t="str">
            <v>-</v>
          </cell>
          <cell r="Y85" t="str">
            <v>-</v>
          </cell>
          <cell r="Z85" t="str">
            <v>-</v>
          </cell>
          <cell r="AA85" t="str">
            <v>-</v>
          </cell>
          <cell r="AB85" t="str">
            <v>-</v>
          </cell>
          <cell r="AC85" t="str">
            <v>-</v>
          </cell>
          <cell r="AD85" t="str">
            <v>-</v>
          </cell>
          <cell r="AE85" t="str">
            <v>-</v>
          </cell>
          <cell r="AF85" t="str">
            <v>-</v>
          </cell>
          <cell r="AG85" t="str">
            <v>-</v>
          </cell>
          <cell r="AH85" t="str">
            <v>-</v>
          </cell>
          <cell r="AI85" t="str">
            <v>-</v>
          </cell>
          <cell r="AJ85" t="str">
            <v>-</v>
          </cell>
          <cell r="AK85" t="str">
            <v>-</v>
          </cell>
          <cell r="AL85" t="str">
            <v>-</v>
          </cell>
          <cell r="AM85" t="str">
            <v>-</v>
          </cell>
          <cell r="AN85" t="str">
            <v>-</v>
          </cell>
          <cell r="AO85" t="str">
            <v>-</v>
          </cell>
          <cell r="AP85" t="str">
            <v>-</v>
          </cell>
          <cell r="AQ85" t="str">
            <v>-</v>
          </cell>
          <cell r="AR85" t="str">
            <v>-</v>
          </cell>
          <cell r="AS85" t="str">
            <v>-</v>
          </cell>
          <cell r="AT85" t="str">
            <v>-</v>
          </cell>
          <cell r="AU85" t="str">
            <v>-</v>
          </cell>
          <cell r="AV85" t="str">
            <v>-</v>
          </cell>
          <cell r="AW85" t="str">
            <v>-</v>
          </cell>
          <cell r="AX85" t="str">
            <v>-</v>
          </cell>
          <cell r="AY85" t="str">
            <v>-</v>
          </cell>
          <cell r="AZ85" t="str">
            <v>-</v>
          </cell>
          <cell r="BA85" t="str">
            <v>-</v>
          </cell>
          <cell r="BB85" t="str">
            <v>-</v>
          </cell>
          <cell r="BC85" t="str">
            <v>-</v>
          </cell>
          <cell r="BD85" t="str">
            <v>-</v>
          </cell>
          <cell r="BE85" t="str">
            <v>-</v>
          </cell>
          <cell r="BF85" t="str">
            <v>-</v>
          </cell>
          <cell r="BG85" t="str">
            <v>-</v>
          </cell>
          <cell r="BH85" t="str">
            <v>-</v>
          </cell>
          <cell r="BI85" t="str">
            <v>-</v>
          </cell>
          <cell r="BJ85" t="str">
            <v>-</v>
          </cell>
          <cell r="BK85" t="str">
            <v>-</v>
          </cell>
          <cell r="BL85" t="str">
            <v>-</v>
          </cell>
          <cell r="BM85" t="str">
            <v>-</v>
          </cell>
          <cell r="BN85" t="str">
            <v>-</v>
          </cell>
          <cell r="BO85" t="str">
            <v>-</v>
          </cell>
        </row>
        <row r="86">
          <cell r="A86">
            <v>81</v>
          </cell>
          <cell r="B86" t="str">
            <v>-</v>
          </cell>
          <cell r="C86" t="str">
            <v>-</v>
          </cell>
          <cell r="D86" t="str">
            <v>-</v>
          </cell>
          <cell r="E86" t="str">
            <v>-</v>
          </cell>
          <cell r="F86" t="str">
            <v>-</v>
          </cell>
          <cell r="G86" t="str">
            <v>-</v>
          </cell>
          <cell r="H86" t="str">
            <v>-</v>
          </cell>
          <cell r="I86" t="str">
            <v>-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-</v>
          </cell>
          <cell r="O86" t="str">
            <v>-</v>
          </cell>
          <cell r="P86" t="str">
            <v>-</v>
          </cell>
          <cell r="Q86" t="str">
            <v>-</v>
          </cell>
          <cell r="R86" t="str">
            <v>-</v>
          </cell>
          <cell r="S86" t="str">
            <v>-</v>
          </cell>
          <cell r="T86" t="str">
            <v>-</v>
          </cell>
          <cell r="U86" t="str">
            <v>-</v>
          </cell>
          <cell r="V86" t="str">
            <v>-</v>
          </cell>
          <cell r="W86" t="str">
            <v>-</v>
          </cell>
          <cell r="X86" t="str">
            <v>-</v>
          </cell>
          <cell r="Y86" t="str">
            <v>-</v>
          </cell>
          <cell r="Z86" t="str">
            <v>-</v>
          </cell>
          <cell r="AA86" t="str">
            <v>-</v>
          </cell>
          <cell r="AB86" t="str">
            <v>-</v>
          </cell>
          <cell r="AC86" t="str">
            <v>-</v>
          </cell>
          <cell r="AD86" t="str">
            <v>-</v>
          </cell>
          <cell r="AE86" t="str">
            <v>-</v>
          </cell>
          <cell r="AF86" t="str">
            <v>-</v>
          </cell>
          <cell r="AG86" t="str">
            <v>-</v>
          </cell>
          <cell r="AH86" t="str">
            <v>-</v>
          </cell>
          <cell r="AI86" t="str">
            <v>-</v>
          </cell>
          <cell r="AJ86" t="str">
            <v>-</v>
          </cell>
          <cell r="AK86" t="str">
            <v>-</v>
          </cell>
          <cell r="AL86" t="str">
            <v>-</v>
          </cell>
          <cell r="AM86" t="str">
            <v>-</v>
          </cell>
          <cell r="AN86" t="str">
            <v>-</v>
          </cell>
          <cell r="AO86" t="str">
            <v>-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  <cell r="AT86" t="str">
            <v>-</v>
          </cell>
          <cell r="AU86" t="str">
            <v>-</v>
          </cell>
          <cell r="AV86" t="str">
            <v>-</v>
          </cell>
          <cell r="AW86" t="str">
            <v>-</v>
          </cell>
          <cell r="AX86" t="str">
            <v>-</v>
          </cell>
          <cell r="AY86" t="str">
            <v>-</v>
          </cell>
          <cell r="AZ86" t="str">
            <v>-</v>
          </cell>
          <cell r="BA86" t="str">
            <v>-</v>
          </cell>
          <cell r="BB86" t="str">
            <v>-</v>
          </cell>
          <cell r="BC86" t="str">
            <v>-</v>
          </cell>
          <cell r="BD86" t="str">
            <v>-</v>
          </cell>
          <cell r="BE86" t="str">
            <v>-</v>
          </cell>
          <cell r="BF86" t="str">
            <v>-</v>
          </cell>
          <cell r="BG86" t="str">
            <v>-</v>
          </cell>
          <cell r="BH86" t="str">
            <v>-</v>
          </cell>
          <cell r="BI86" t="str">
            <v>-</v>
          </cell>
          <cell r="BJ86" t="str">
            <v>-</v>
          </cell>
          <cell r="BK86" t="str">
            <v>-</v>
          </cell>
          <cell r="BL86" t="str">
            <v>-</v>
          </cell>
          <cell r="BM86" t="str">
            <v>-</v>
          </cell>
          <cell r="BN86" t="str">
            <v>-</v>
          </cell>
          <cell r="BO86" t="str">
            <v>-</v>
          </cell>
        </row>
        <row r="87">
          <cell r="A87">
            <v>82</v>
          </cell>
          <cell r="B87" t="str">
            <v>-</v>
          </cell>
          <cell r="C87" t="str">
            <v>-</v>
          </cell>
          <cell r="D87" t="str">
            <v>-</v>
          </cell>
          <cell r="E87" t="str">
            <v>-</v>
          </cell>
          <cell r="F87" t="str">
            <v>-</v>
          </cell>
          <cell r="G87" t="str">
            <v>-</v>
          </cell>
          <cell r="H87" t="str">
            <v>-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-</v>
          </cell>
          <cell r="O87" t="str">
            <v>-</v>
          </cell>
          <cell r="P87" t="str">
            <v>-</v>
          </cell>
          <cell r="Q87" t="str">
            <v>-</v>
          </cell>
          <cell r="R87" t="str">
            <v>-</v>
          </cell>
          <cell r="S87" t="str">
            <v>-</v>
          </cell>
          <cell r="T87" t="str">
            <v>-</v>
          </cell>
          <cell r="U87" t="str">
            <v>-</v>
          </cell>
          <cell r="V87" t="str">
            <v>-</v>
          </cell>
          <cell r="W87" t="str">
            <v>-</v>
          </cell>
          <cell r="X87" t="str">
            <v>-</v>
          </cell>
          <cell r="Y87" t="str">
            <v>-</v>
          </cell>
          <cell r="Z87" t="str">
            <v>-</v>
          </cell>
          <cell r="AA87" t="str">
            <v>-</v>
          </cell>
          <cell r="AB87" t="str">
            <v>-</v>
          </cell>
          <cell r="AC87" t="str">
            <v>-</v>
          </cell>
          <cell r="AD87" t="str">
            <v>-</v>
          </cell>
          <cell r="AE87" t="str">
            <v>-</v>
          </cell>
          <cell r="AF87" t="str">
            <v>-</v>
          </cell>
          <cell r="AG87" t="str">
            <v>-</v>
          </cell>
          <cell r="AH87" t="str">
            <v>-</v>
          </cell>
          <cell r="AI87" t="str">
            <v>-</v>
          </cell>
          <cell r="AJ87" t="str">
            <v>-</v>
          </cell>
          <cell r="AK87" t="str">
            <v>-</v>
          </cell>
          <cell r="AL87" t="str">
            <v>-</v>
          </cell>
          <cell r="AM87" t="str">
            <v>-</v>
          </cell>
          <cell r="AN87" t="str">
            <v>-</v>
          </cell>
          <cell r="AO87" t="str">
            <v>-</v>
          </cell>
          <cell r="AP87" t="str">
            <v>-</v>
          </cell>
          <cell r="AQ87" t="str">
            <v>-</v>
          </cell>
          <cell r="AR87" t="str">
            <v>-</v>
          </cell>
          <cell r="AS87" t="str">
            <v>-</v>
          </cell>
          <cell r="AT87" t="str">
            <v>-</v>
          </cell>
          <cell r="AU87" t="str">
            <v>-</v>
          </cell>
          <cell r="AV87" t="str">
            <v>-</v>
          </cell>
          <cell r="AW87" t="str">
            <v>-</v>
          </cell>
          <cell r="AX87" t="str">
            <v>-</v>
          </cell>
          <cell r="AY87" t="str">
            <v>-</v>
          </cell>
          <cell r="AZ87" t="str">
            <v>-</v>
          </cell>
          <cell r="BA87" t="str">
            <v>-</v>
          </cell>
          <cell r="BB87" t="str">
            <v>-</v>
          </cell>
          <cell r="BC87" t="str">
            <v>-</v>
          </cell>
          <cell r="BD87" t="str">
            <v>-</v>
          </cell>
          <cell r="BE87" t="str">
            <v>-</v>
          </cell>
          <cell r="BF87" t="str">
            <v>-</v>
          </cell>
          <cell r="BG87" t="str">
            <v>-</v>
          </cell>
          <cell r="BH87" t="str">
            <v>-</v>
          </cell>
          <cell r="BI87" t="str">
            <v>-</v>
          </cell>
          <cell r="BJ87" t="str">
            <v>-</v>
          </cell>
          <cell r="BK87" t="str">
            <v>-</v>
          </cell>
          <cell r="BL87" t="str">
            <v>-</v>
          </cell>
          <cell r="BM87" t="str">
            <v>-</v>
          </cell>
          <cell r="BN87" t="str">
            <v>-</v>
          </cell>
          <cell r="BO87" t="str">
            <v>-</v>
          </cell>
        </row>
        <row r="88">
          <cell r="A88">
            <v>83</v>
          </cell>
          <cell r="B88" t="str">
            <v>-</v>
          </cell>
          <cell r="C88" t="str">
            <v>-</v>
          </cell>
          <cell r="D88" t="str">
            <v>-</v>
          </cell>
          <cell r="E88" t="str">
            <v>-</v>
          </cell>
          <cell r="F88" t="str">
            <v>-</v>
          </cell>
          <cell r="G88" t="str">
            <v>-</v>
          </cell>
          <cell r="H88" t="str">
            <v>-</v>
          </cell>
          <cell r="I88" t="str">
            <v>-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-</v>
          </cell>
          <cell r="O88" t="str">
            <v>-</v>
          </cell>
          <cell r="P88" t="str">
            <v>-</v>
          </cell>
          <cell r="Q88" t="str">
            <v>-</v>
          </cell>
          <cell r="R88" t="str">
            <v>-</v>
          </cell>
          <cell r="S88" t="str">
            <v>-</v>
          </cell>
          <cell r="T88" t="str">
            <v>-</v>
          </cell>
          <cell r="U88" t="str">
            <v>-</v>
          </cell>
          <cell r="V88" t="str">
            <v>-</v>
          </cell>
          <cell r="W88" t="str">
            <v>-</v>
          </cell>
          <cell r="X88" t="str">
            <v>-</v>
          </cell>
          <cell r="Y88" t="str">
            <v>-</v>
          </cell>
          <cell r="Z88" t="str">
            <v>-</v>
          </cell>
          <cell r="AA88" t="str">
            <v>-</v>
          </cell>
          <cell r="AB88" t="str">
            <v>-</v>
          </cell>
          <cell r="AC88" t="str">
            <v>-</v>
          </cell>
          <cell r="AD88" t="str">
            <v>-</v>
          </cell>
          <cell r="AE88" t="str">
            <v>-</v>
          </cell>
          <cell r="AF88" t="str">
            <v>-</v>
          </cell>
          <cell r="AG88" t="str">
            <v>-</v>
          </cell>
          <cell r="AH88" t="str">
            <v>-</v>
          </cell>
          <cell r="AI88" t="str">
            <v>-</v>
          </cell>
          <cell r="AJ88" t="str">
            <v>-</v>
          </cell>
          <cell r="AK88" t="str">
            <v>-</v>
          </cell>
          <cell r="AL88" t="str">
            <v>-</v>
          </cell>
          <cell r="AM88" t="str">
            <v>-</v>
          </cell>
          <cell r="AN88" t="str">
            <v>-</v>
          </cell>
          <cell r="AO88" t="str">
            <v>-</v>
          </cell>
          <cell r="AP88" t="str">
            <v>-</v>
          </cell>
          <cell r="AQ88" t="str">
            <v>-</v>
          </cell>
          <cell r="AR88" t="str">
            <v>-</v>
          </cell>
          <cell r="AS88" t="str">
            <v>-</v>
          </cell>
          <cell r="AT88" t="str">
            <v>-</v>
          </cell>
          <cell r="AU88" t="str">
            <v>-</v>
          </cell>
          <cell r="AV88" t="str">
            <v>-</v>
          </cell>
          <cell r="AW88" t="str">
            <v>-</v>
          </cell>
          <cell r="AX88" t="str">
            <v>-</v>
          </cell>
          <cell r="AY88" t="str">
            <v>-</v>
          </cell>
          <cell r="AZ88" t="str">
            <v>-</v>
          </cell>
          <cell r="BA88" t="str">
            <v>-</v>
          </cell>
          <cell r="BB88" t="str">
            <v>-</v>
          </cell>
          <cell r="BC88" t="str">
            <v>-</v>
          </cell>
          <cell r="BD88" t="str">
            <v>-</v>
          </cell>
          <cell r="BE88" t="str">
            <v>-</v>
          </cell>
          <cell r="BF88" t="str">
            <v>-</v>
          </cell>
          <cell r="BG88" t="str">
            <v>-</v>
          </cell>
          <cell r="BH88" t="str">
            <v>-</v>
          </cell>
          <cell r="BI88" t="str">
            <v>-</v>
          </cell>
          <cell r="BJ88" t="str">
            <v>-</v>
          </cell>
          <cell r="BK88" t="str">
            <v>-</v>
          </cell>
          <cell r="BL88" t="str">
            <v>-</v>
          </cell>
          <cell r="BM88" t="str">
            <v>-</v>
          </cell>
          <cell r="BN88" t="str">
            <v>-</v>
          </cell>
          <cell r="BO88" t="str">
            <v>-</v>
          </cell>
        </row>
        <row r="89">
          <cell r="A89">
            <v>84</v>
          </cell>
          <cell r="B89" t="str">
            <v>-</v>
          </cell>
          <cell r="C89" t="str">
            <v>-</v>
          </cell>
          <cell r="D89" t="str">
            <v>-</v>
          </cell>
          <cell r="E89" t="str">
            <v>-</v>
          </cell>
          <cell r="F89" t="str">
            <v>-</v>
          </cell>
          <cell r="G89" t="str">
            <v>-</v>
          </cell>
          <cell r="H89" t="str">
            <v>-</v>
          </cell>
          <cell r="I89" t="str">
            <v>-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-</v>
          </cell>
          <cell r="O89" t="str">
            <v>-</v>
          </cell>
          <cell r="P89" t="str">
            <v>-</v>
          </cell>
          <cell r="Q89" t="str">
            <v>-</v>
          </cell>
          <cell r="R89" t="str">
            <v>-</v>
          </cell>
          <cell r="S89" t="str">
            <v>-</v>
          </cell>
          <cell r="T89" t="str">
            <v>-</v>
          </cell>
          <cell r="U89" t="str">
            <v>-</v>
          </cell>
          <cell r="V89" t="str">
            <v>-</v>
          </cell>
          <cell r="W89" t="str">
            <v>-</v>
          </cell>
          <cell r="X89" t="str">
            <v>-</v>
          </cell>
          <cell r="Y89" t="str">
            <v>-</v>
          </cell>
          <cell r="Z89" t="str">
            <v>-</v>
          </cell>
          <cell r="AA89" t="str">
            <v>-</v>
          </cell>
          <cell r="AB89" t="str">
            <v>-</v>
          </cell>
          <cell r="AC89" t="str">
            <v>-</v>
          </cell>
          <cell r="AD89" t="str">
            <v>-</v>
          </cell>
          <cell r="AE89" t="str">
            <v>-</v>
          </cell>
          <cell r="AF89" t="str">
            <v>-</v>
          </cell>
          <cell r="AG89" t="str">
            <v>-</v>
          </cell>
          <cell r="AH89" t="str">
            <v>-</v>
          </cell>
          <cell r="AI89" t="str">
            <v>-</v>
          </cell>
          <cell r="AJ89" t="str">
            <v>-</v>
          </cell>
          <cell r="AK89" t="str">
            <v>-</v>
          </cell>
          <cell r="AL89" t="str">
            <v>-</v>
          </cell>
          <cell r="AM89" t="str">
            <v>-</v>
          </cell>
          <cell r="AN89" t="str">
            <v>-</v>
          </cell>
          <cell r="AO89" t="str">
            <v>-</v>
          </cell>
          <cell r="AP89" t="str">
            <v>-</v>
          </cell>
          <cell r="AQ89" t="str">
            <v>-</v>
          </cell>
          <cell r="AR89" t="str">
            <v>-</v>
          </cell>
          <cell r="AS89" t="str">
            <v>-</v>
          </cell>
          <cell r="AT89" t="str">
            <v>-</v>
          </cell>
          <cell r="AU89" t="str">
            <v>-</v>
          </cell>
          <cell r="AV89" t="str">
            <v>-</v>
          </cell>
          <cell r="AW89" t="str">
            <v>-</v>
          </cell>
          <cell r="AX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D89" t="str">
            <v>-</v>
          </cell>
          <cell r="BE89" t="str">
            <v>-</v>
          </cell>
          <cell r="BF89" t="str">
            <v>-</v>
          </cell>
          <cell r="BG89" t="str">
            <v>-</v>
          </cell>
          <cell r="BH89" t="str">
            <v>-</v>
          </cell>
          <cell r="BI89" t="str">
            <v>-</v>
          </cell>
          <cell r="BJ89" t="str">
            <v>-</v>
          </cell>
          <cell r="BK89" t="str">
            <v>-</v>
          </cell>
          <cell r="BL89" t="str">
            <v>-</v>
          </cell>
          <cell r="BM89" t="str">
            <v>-</v>
          </cell>
          <cell r="BN89" t="str">
            <v>-</v>
          </cell>
          <cell r="BO89" t="str">
            <v>-</v>
          </cell>
        </row>
        <row r="90">
          <cell r="A90">
            <v>85</v>
          </cell>
          <cell r="B90" t="str">
            <v>-</v>
          </cell>
          <cell r="C90" t="str">
            <v>-</v>
          </cell>
          <cell r="D90" t="str">
            <v>-</v>
          </cell>
          <cell r="E90" t="str">
            <v>-</v>
          </cell>
          <cell r="F90" t="str">
            <v>-</v>
          </cell>
          <cell r="G90" t="str">
            <v>-</v>
          </cell>
          <cell r="H90" t="str">
            <v>-</v>
          </cell>
          <cell r="I90" t="str">
            <v>-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-</v>
          </cell>
          <cell r="O90" t="str">
            <v>-</v>
          </cell>
          <cell r="P90" t="str">
            <v>-</v>
          </cell>
          <cell r="Q90" t="str">
            <v>-</v>
          </cell>
          <cell r="R90" t="str">
            <v>-</v>
          </cell>
          <cell r="S90" t="str">
            <v>-</v>
          </cell>
          <cell r="T90" t="str">
            <v>-</v>
          </cell>
          <cell r="U90" t="str">
            <v>-</v>
          </cell>
          <cell r="V90" t="str">
            <v>-</v>
          </cell>
          <cell r="W90" t="str">
            <v>-</v>
          </cell>
          <cell r="X90" t="str">
            <v>-</v>
          </cell>
          <cell r="Y90" t="str">
            <v>-</v>
          </cell>
          <cell r="Z90" t="str">
            <v>-</v>
          </cell>
          <cell r="AA90" t="str">
            <v>-</v>
          </cell>
          <cell r="AB90" t="str">
            <v>-</v>
          </cell>
          <cell r="AC90" t="str">
            <v>-</v>
          </cell>
          <cell r="AD90" t="str">
            <v>-</v>
          </cell>
          <cell r="AE90" t="str">
            <v>-</v>
          </cell>
          <cell r="AF90" t="str">
            <v>-</v>
          </cell>
          <cell r="AG90" t="str">
            <v>-</v>
          </cell>
          <cell r="AH90" t="str">
            <v>-</v>
          </cell>
          <cell r="AI90" t="str">
            <v>-</v>
          </cell>
          <cell r="AJ90" t="str">
            <v>-</v>
          </cell>
          <cell r="AK90" t="str">
            <v>-</v>
          </cell>
          <cell r="AL90" t="str">
            <v>-</v>
          </cell>
          <cell r="AM90" t="str">
            <v>-</v>
          </cell>
          <cell r="AN90" t="str">
            <v>-</v>
          </cell>
          <cell r="AO90" t="str">
            <v>-</v>
          </cell>
          <cell r="AP90" t="str">
            <v>-</v>
          </cell>
          <cell r="AQ90" t="str">
            <v>-</v>
          </cell>
          <cell r="AR90" t="str">
            <v>-</v>
          </cell>
          <cell r="AS90" t="str">
            <v>-</v>
          </cell>
          <cell r="AT90" t="str">
            <v>-</v>
          </cell>
          <cell r="AU90" t="str">
            <v>-</v>
          </cell>
          <cell r="AV90" t="str">
            <v>-</v>
          </cell>
          <cell r="AW90" t="str">
            <v>-</v>
          </cell>
          <cell r="AX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D90" t="str">
            <v>-</v>
          </cell>
          <cell r="BE90" t="str">
            <v>-</v>
          </cell>
          <cell r="BF90" t="str">
            <v>-</v>
          </cell>
          <cell r="BG90" t="str">
            <v>-</v>
          </cell>
          <cell r="BH90" t="str">
            <v>-</v>
          </cell>
          <cell r="BI90" t="str">
            <v>-</v>
          </cell>
          <cell r="BJ90" t="str">
            <v>-</v>
          </cell>
          <cell r="BK90" t="str">
            <v>-</v>
          </cell>
          <cell r="BL90" t="str">
            <v>-</v>
          </cell>
          <cell r="BM90" t="str">
            <v>-</v>
          </cell>
          <cell r="BN90" t="str">
            <v>-</v>
          </cell>
          <cell r="BO90" t="str">
            <v>-</v>
          </cell>
        </row>
        <row r="91">
          <cell r="A91">
            <v>86</v>
          </cell>
          <cell r="B91" t="str">
            <v>-</v>
          </cell>
          <cell r="C91" t="str">
            <v>-</v>
          </cell>
          <cell r="D91" t="str">
            <v>-</v>
          </cell>
          <cell r="E91" t="str">
            <v>-</v>
          </cell>
          <cell r="F91" t="str">
            <v>-</v>
          </cell>
          <cell r="G91" t="str">
            <v>-</v>
          </cell>
          <cell r="H91" t="str">
            <v>-</v>
          </cell>
          <cell r="I91" t="str">
            <v>-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-</v>
          </cell>
          <cell r="O91" t="str">
            <v>-</v>
          </cell>
          <cell r="P91" t="str">
            <v>-</v>
          </cell>
          <cell r="Q91" t="str">
            <v>-</v>
          </cell>
          <cell r="R91" t="str">
            <v>-</v>
          </cell>
          <cell r="S91" t="str">
            <v>-</v>
          </cell>
          <cell r="T91" t="str">
            <v>-</v>
          </cell>
          <cell r="U91" t="str">
            <v>-</v>
          </cell>
          <cell r="V91" t="str">
            <v>-</v>
          </cell>
          <cell r="W91" t="str">
            <v>-</v>
          </cell>
          <cell r="X91" t="str">
            <v>-</v>
          </cell>
          <cell r="Y91" t="str">
            <v>-</v>
          </cell>
          <cell r="Z91" t="str">
            <v>-</v>
          </cell>
          <cell r="AA91" t="str">
            <v>-</v>
          </cell>
          <cell r="AB91" t="str">
            <v>-</v>
          </cell>
          <cell r="AC91" t="str">
            <v>-</v>
          </cell>
          <cell r="AD91" t="str">
            <v>-</v>
          </cell>
          <cell r="AE91" t="str">
            <v>-</v>
          </cell>
          <cell r="AF91" t="str">
            <v>-</v>
          </cell>
          <cell r="AG91" t="str">
            <v>-</v>
          </cell>
          <cell r="AH91" t="str">
            <v>-</v>
          </cell>
          <cell r="AI91" t="str">
            <v>-</v>
          </cell>
          <cell r="AJ91" t="str">
            <v>-</v>
          </cell>
          <cell r="AK91" t="str">
            <v>-</v>
          </cell>
          <cell r="AL91" t="str">
            <v>-</v>
          </cell>
          <cell r="AM91" t="str">
            <v>-</v>
          </cell>
          <cell r="AN91" t="str">
            <v>-</v>
          </cell>
          <cell r="AO91" t="str">
            <v>-</v>
          </cell>
          <cell r="AP91" t="str">
            <v>-</v>
          </cell>
          <cell r="AQ91" t="str">
            <v>-</v>
          </cell>
          <cell r="AR91" t="str">
            <v>-</v>
          </cell>
          <cell r="AS91" t="str">
            <v>-</v>
          </cell>
          <cell r="AT91" t="str">
            <v>-</v>
          </cell>
          <cell r="AU91" t="str">
            <v>-</v>
          </cell>
          <cell r="AV91" t="str">
            <v>-</v>
          </cell>
          <cell r="AW91" t="str">
            <v>-</v>
          </cell>
          <cell r="AX91" t="str">
            <v>-</v>
          </cell>
          <cell r="AY91" t="str">
            <v>-</v>
          </cell>
          <cell r="AZ91" t="str">
            <v>-</v>
          </cell>
          <cell r="BA91" t="str">
            <v>-</v>
          </cell>
          <cell r="BB91" t="str">
            <v>-</v>
          </cell>
          <cell r="BC91" t="str">
            <v>-</v>
          </cell>
          <cell r="BD91" t="str">
            <v>-</v>
          </cell>
          <cell r="BE91" t="str">
            <v>-</v>
          </cell>
          <cell r="BF91" t="str">
            <v>-</v>
          </cell>
          <cell r="BG91" t="str">
            <v>-</v>
          </cell>
          <cell r="BH91" t="str">
            <v>-</v>
          </cell>
          <cell r="BI91" t="str">
            <v>-</v>
          </cell>
          <cell r="BJ91" t="str">
            <v>-</v>
          </cell>
          <cell r="BK91" t="str">
            <v>-</v>
          </cell>
          <cell r="BL91" t="str">
            <v>-</v>
          </cell>
          <cell r="BM91" t="str">
            <v>-</v>
          </cell>
          <cell r="BN91" t="str">
            <v>-</v>
          </cell>
          <cell r="BO91" t="str">
            <v>-</v>
          </cell>
        </row>
        <row r="92">
          <cell r="A92">
            <v>87</v>
          </cell>
          <cell r="B92" t="str">
            <v>-</v>
          </cell>
          <cell r="C92" t="str">
            <v>-</v>
          </cell>
          <cell r="D92" t="str">
            <v>-</v>
          </cell>
          <cell r="E92" t="str">
            <v>-</v>
          </cell>
          <cell r="F92" t="str">
            <v>-</v>
          </cell>
          <cell r="G92" t="str">
            <v>-</v>
          </cell>
          <cell r="H92" t="str">
            <v>-</v>
          </cell>
          <cell r="I92" t="str">
            <v>-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-</v>
          </cell>
          <cell r="O92" t="str">
            <v>-</v>
          </cell>
          <cell r="P92" t="str">
            <v>-</v>
          </cell>
          <cell r="Q92" t="str">
            <v>-</v>
          </cell>
          <cell r="R92" t="str">
            <v>-</v>
          </cell>
          <cell r="S92" t="str">
            <v>-</v>
          </cell>
          <cell r="T92" t="str">
            <v>-</v>
          </cell>
          <cell r="U92" t="str">
            <v>-</v>
          </cell>
          <cell r="V92" t="str">
            <v>-</v>
          </cell>
          <cell r="W92" t="str">
            <v>-</v>
          </cell>
          <cell r="X92" t="str">
            <v>-</v>
          </cell>
          <cell r="Y92" t="str">
            <v>-</v>
          </cell>
          <cell r="Z92" t="str">
            <v>-</v>
          </cell>
          <cell r="AA92" t="str">
            <v>-</v>
          </cell>
          <cell r="AB92" t="str">
            <v>-</v>
          </cell>
          <cell r="AC92" t="str">
            <v>-</v>
          </cell>
          <cell r="AD92" t="str">
            <v>-</v>
          </cell>
          <cell r="AE92" t="str">
            <v>-</v>
          </cell>
          <cell r="AF92" t="str">
            <v>-</v>
          </cell>
          <cell r="AG92" t="str">
            <v>-</v>
          </cell>
          <cell r="AH92" t="str">
            <v>-</v>
          </cell>
          <cell r="AI92" t="str">
            <v>-</v>
          </cell>
          <cell r="AJ92" t="str">
            <v>-</v>
          </cell>
          <cell r="AK92" t="str">
            <v>-</v>
          </cell>
          <cell r="AL92" t="str">
            <v>-</v>
          </cell>
          <cell r="AM92" t="str">
            <v>-</v>
          </cell>
          <cell r="AN92" t="str">
            <v>-</v>
          </cell>
          <cell r="AO92" t="str">
            <v>-</v>
          </cell>
          <cell r="AP92" t="str">
            <v>-</v>
          </cell>
          <cell r="AQ92" t="str">
            <v>-</v>
          </cell>
          <cell r="AR92" t="str">
            <v>-</v>
          </cell>
          <cell r="AS92" t="str">
            <v>-</v>
          </cell>
          <cell r="AT92" t="str">
            <v>-</v>
          </cell>
          <cell r="AU92" t="str">
            <v>-</v>
          </cell>
          <cell r="AV92" t="str">
            <v>-</v>
          </cell>
          <cell r="AW92" t="str">
            <v>-</v>
          </cell>
          <cell r="AX92" t="str">
            <v>-</v>
          </cell>
          <cell r="AY92" t="str">
            <v>-</v>
          </cell>
          <cell r="AZ92" t="str">
            <v>-</v>
          </cell>
          <cell r="BA92" t="str">
            <v>-</v>
          </cell>
          <cell r="BB92" t="str">
            <v>-</v>
          </cell>
          <cell r="BC92" t="str">
            <v>-</v>
          </cell>
          <cell r="BD92" t="str">
            <v>-</v>
          </cell>
          <cell r="BE92" t="str">
            <v>-</v>
          </cell>
          <cell r="BF92" t="str">
            <v>-</v>
          </cell>
          <cell r="BG92" t="str">
            <v>-</v>
          </cell>
          <cell r="BH92" t="str">
            <v>-</v>
          </cell>
          <cell r="BI92" t="str">
            <v>-</v>
          </cell>
          <cell r="BJ92" t="str">
            <v>-</v>
          </cell>
          <cell r="BK92" t="str">
            <v>-</v>
          </cell>
          <cell r="BL92" t="str">
            <v>-</v>
          </cell>
          <cell r="BM92" t="str">
            <v>-</v>
          </cell>
          <cell r="BN92" t="str">
            <v>-</v>
          </cell>
          <cell r="BO92" t="str">
            <v>-</v>
          </cell>
        </row>
        <row r="93">
          <cell r="A93">
            <v>88</v>
          </cell>
          <cell r="B93" t="str">
            <v>-</v>
          </cell>
          <cell r="C93" t="str">
            <v>-</v>
          </cell>
          <cell r="D93" t="str">
            <v>-</v>
          </cell>
          <cell r="E93" t="str">
            <v>-</v>
          </cell>
          <cell r="F93" t="str">
            <v>-</v>
          </cell>
          <cell r="G93" t="str">
            <v>-</v>
          </cell>
          <cell r="H93" t="str">
            <v>-</v>
          </cell>
          <cell r="I93" t="str">
            <v>-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-</v>
          </cell>
          <cell r="O93" t="str">
            <v>-</v>
          </cell>
          <cell r="P93" t="str">
            <v>-</v>
          </cell>
          <cell r="Q93" t="str">
            <v>-</v>
          </cell>
          <cell r="R93" t="str">
            <v>-</v>
          </cell>
          <cell r="S93" t="str">
            <v>-</v>
          </cell>
          <cell r="T93" t="str">
            <v>-</v>
          </cell>
          <cell r="U93" t="str">
            <v>-</v>
          </cell>
          <cell r="V93" t="str">
            <v>-</v>
          </cell>
          <cell r="W93" t="str">
            <v>-</v>
          </cell>
          <cell r="X93" t="str">
            <v>-</v>
          </cell>
          <cell r="Y93" t="str">
            <v>-</v>
          </cell>
          <cell r="Z93" t="str">
            <v>-</v>
          </cell>
          <cell r="AA93" t="str">
            <v>-</v>
          </cell>
          <cell r="AB93" t="str">
            <v>-</v>
          </cell>
          <cell r="AC93" t="str">
            <v>-</v>
          </cell>
          <cell r="AD93" t="str">
            <v>-</v>
          </cell>
          <cell r="AE93" t="str">
            <v>-</v>
          </cell>
          <cell r="AF93" t="str">
            <v>-</v>
          </cell>
          <cell r="AG93" t="str">
            <v>-</v>
          </cell>
          <cell r="AH93" t="str">
            <v>-</v>
          </cell>
          <cell r="AI93" t="str">
            <v>-</v>
          </cell>
          <cell r="AJ93" t="str">
            <v>-</v>
          </cell>
          <cell r="AK93" t="str">
            <v>-</v>
          </cell>
          <cell r="AL93" t="str">
            <v>-</v>
          </cell>
          <cell r="AM93" t="str">
            <v>-</v>
          </cell>
          <cell r="AN93" t="str">
            <v>-</v>
          </cell>
          <cell r="AO93" t="str">
            <v>-</v>
          </cell>
          <cell r="AP93" t="str">
            <v>-</v>
          </cell>
          <cell r="AQ93" t="str">
            <v>-</v>
          </cell>
          <cell r="AR93" t="str">
            <v>-</v>
          </cell>
          <cell r="AS93" t="str">
            <v>-</v>
          </cell>
          <cell r="AT93" t="str">
            <v>-</v>
          </cell>
          <cell r="AU93" t="str">
            <v>-</v>
          </cell>
          <cell r="AV93" t="str">
            <v>-</v>
          </cell>
          <cell r="AW93" t="str">
            <v>-</v>
          </cell>
          <cell r="AX93" t="str">
            <v>-</v>
          </cell>
          <cell r="AY93" t="str">
            <v>-</v>
          </cell>
          <cell r="AZ93" t="str">
            <v>-</v>
          </cell>
          <cell r="BA93" t="str">
            <v>-</v>
          </cell>
          <cell r="BB93" t="str">
            <v>-</v>
          </cell>
          <cell r="BC93" t="str">
            <v>-</v>
          </cell>
          <cell r="BD93" t="str">
            <v>-</v>
          </cell>
          <cell r="BE93" t="str">
            <v>-</v>
          </cell>
          <cell r="BF93" t="str">
            <v>-</v>
          </cell>
          <cell r="BG93" t="str">
            <v>-</v>
          </cell>
          <cell r="BH93" t="str">
            <v>-</v>
          </cell>
          <cell r="BI93" t="str">
            <v>-</v>
          </cell>
          <cell r="BJ93" t="str">
            <v>-</v>
          </cell>
          <cell r="BK93" t="str">
            <v>-</v>
          </cell>
          <cell r="BL93" t="str">
            <v>-</v>
          </cell>
          <cell r="BM93" t="str">
            <v>-</v>
          </cell>
          <cell r="BN93" t="str">
            <v>-</v>
          </cell>
          <cell r="BO93" t="str">
            <v>-</v>
          </cell>
        </row>
        <row r="94">
          <cell r="A94">
            <v>89</v>
          </cell>
          <cell r="B94" t="str">
            <v>-</v>
          </cell>
          <cell r="C94" t="str">
            <v>-</v>
          </cell>
          <cell r="D94" t="str">
            <v>-</v>
          </cell>
          <cell r="E94" t="str">
            <v>-</v>
          </cell>
          <cell r="F94" t="str">
            <v>-</v>
          </cell>
          <cell r="G94" t="str">
            <v>-</v>
          </cell>
          <cell r="H94" t="str">
            <v>-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-</v>
          </cell>
          <cell r="M94" t="str">
            <v>-</v>
          </cell>
          <cell r="N94" t="str">
            <v>-</v>
          </cell>
          <cell r="O94" t="str">
            <v>-</v>
          </cell>
          <cell r="P94" t="str">
            <v>-</v>
          </cell>
          <cell r="Q94" t="str">
            <v>-</v>
          </cell>
          <cell r="R94" t="str">
            <v>-</v>
          </cell>
          <cell r="S94" t="str">
            <v>-</v>
          </cell>
          <cell r="T94" t="str">
            <v>-</v>
          </cell>
          <cell r="U94" t="str">
            <v>-</v>
          </cell>
          <cell r="V94" t="str">
            <v>-</v>
          </cell>
          <cell r="W94" t="str">
            <v>-</v>
          </cell>
          <cell r="X94" t="str">
            <v>-</v>
          </cell>
          <cell r="Y94" t="str">
            <v>-</v>
          </cell>
          <cell r="Z94" t="str">
            <v>-</v>
          </cell>
          <cell r="AA94" t="str">
            <v>-</v>
          </cell>
          <cell r="AB94" t="str">
            <v>-</v>
          </cell>
          <cell r="AC94" t="str">
            <v>-</v>
          </cell>
          <cell r="AD94" t="str">
            <v>-</v>
          </cell>
          <cell r="AE94" t="str">
            <v>-</v>
          </cell>
          <cell r="AF94" t="str">
            <v>-</v>
          </cell>
          <cell r="AG94" t="str">
            <v>-</v>
          </cell>
          <cell r="AH94" t="str">
            <v>-</v>
          </cell>
          <cell r="AI94" t="str">
            <v>-</v>
          </cell>
          <cell r="AJ94" t="str">
            <v>-</v>
          </cell>
          <cell r="AK94" t="str">
            <v>-</v>
          </cell>
          <cell r="AL94" t="str">
            <v>-</v>
          </cell>
          <cell r="AM94" t="str">
            <v>-</v>
          </cell>
          <cell r="AN94" t="str">
            <v>-</v>
          </cell>
          <cell r="AO94" t="str">
            <v>-</v>
          </cell>
          <cell r="AP94" t="str">
            <v>-</v>
          </cell>
          <cell r="AQ94" t="str">
            <v>-</v>
          </cell>
          <cell r="AR94" t="str">
            <v>-</v>
          </cell>
          <cell r="AS94" t="str">
            <v>-</v>
          </cell>
          <cell r="AT94" t="str">
            <v>-</v>
          </cell>
          <cell r="AU94" t="str">
            <v>-</v>
          </cell>
          <cell r="AV94" t="str">
            <v>-</v>
          </cell>
          <cell r="AW94" t="str">
            <v>-</v>
          </cell>
          <cell r="AX94" t="str">
            <v>-</v>
          </cell>
          <cell r="AY94" t="str">
            <v>-</v>
          </cell>
          <cell r="AZ94" t="str">
            <v>-</v>
          </cell>
          <cell r="BA94" t="str">
            <v>-</v>
          </cell>
          <cell r="BB94" t="str">
            <v>-</v>
          </cell>
          <cell r="BC94" t="str">
            <v>-</v>
          </cell>
          <cell r="BD94" t="str">
            <v>-</v>
          </cell>
          <cell r="BE94" t="str">
            <v>-</v>
          </cell>
          <cell r="BF94" t="str">
            <v>-</v>
          </cell>
          <cell r="BG94" t="str">
            <v>-</v>
          </cell>
          <cell r="BH94" t="str">
            <v>-</v>
          </cell>
          <cell r="BI94" t="str">
            <v>-</v>
          </cell>
          <cell r="BJ94" t="str">
            <v>-</v>
          </cell>
          <cell r="BK94" t="str">
            <v>-</v>
          </cell>
          <cell r="BL94" t="str">
            <v>-</v>
          </cell>
          <cell r="BM94" t="str">
            <v>-</v>
          </cell>
          <cell r="BN94" t="str">
            <v>-</v>
          </cell>
          <cell r="BO94" t="str">
            <v>-</v>
          </cell>
        </row>
        <row r="95">
          <cell r="A95">
            <v>90</v>
          </cell>
          <cell r="B95" t="str">
            <v>-</v>
          </cell>
          <cell r="C95" t="str">
            <v>-</v>
          </cell>
          <cell r="D95" t="str">
            <v>-</v>
          </cell>
          <cell r="E95" t="str">
            <v>-</v>
          </cell>
          <cell r="F95" t="str">
            <v>-</v>
          </cell>
          <cell r="G95" t="str">
            <v>-</v>
          </cell>
          <cell r="H95" t="str">
            <v>-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-</v>
          </cell>
          <cell r="O95" t="str">
            <v>-</v>
          </cell>
          <cell r="P95" t="str">
            <v>-</v>
          </cell>
          <cell r="Q95" t="str">
            <v>-</v>
          </cell>
          <cell r="R95" t="str">
            <v>-</v>
          </cell>
          <cell r="S95" t="str">
            <v>-</v>
          </cell>
          <cell r="T95" t="str">
            <v>-</v>
          </cell>
          <cell r="U95" t="str">
            <v>-</v>
          </cell>
          <cell r="V95" t="str">
            <v>-</v>
          </cell>
          <cell r="W95" t="str">
            <v>-</v>
          </cell>
          <cell r="X95" t="str">
            <v>-</v>
          </cell>
          <cell r="Y95" t="str">
            <v>-</v>
          </cell>
          <cell r="Z95" t="str">
            <v>-</v>
          </cell>
          <cell r="AA95" t="str">
            <v>-</v>
          </cell>
          <cell r="AB95" t="str">
            <v>-</v>
          </cell>
          <cell r="AC95" t="str">
            <v>-</v>
          </cell>
          <cell r="AD95" t="str">
            <v>-</v>
          </cell>
          <cell r="AE95" t="str">
            <v>-</v>
          </cell>
          <cell r="AF95" t="str">
            <v>-</v>
          </cell>
          <cell r="AG95" t="str">
            <v>-</v>
          </cell>
          <cell r="AH95" t="str">
            <v>-</v>
          </cell>
          <cell r="AI95" t="str">
            <v>-</v>
          </cell>
          <cell r="AJ95" t="str">
            <v>-</v>
          </cell>
          <cell r="AK95" t="str">
            <v>-</v>
          </cell>
          <cell r="AL95" t="str">
            <v>-</v>
          </cell>
          <cell r="AM95" t="str">
            <v>-</v>
          </cell>
          <cell r="AN95" t="str">
            <v>-</v>
          </cell>
          <cell r="AO95" t="str">
            <v>-</v>
          </cell>
          <cell r="AP95" t="str">
            <v>-</v>
          </cell>
          <cell r="AQ95" t="str">
            <v>-</v>
          </cell>
          <cell r="AR95" t="str">
            <v>-</v>
          </cell>
          <cell r="AS95" t="str">
            <v>-</v>
          </cell>
          <cell r="AT95" t="str">
            <v>-</v>
          </cell>
          <cell r="AU95" t="str">
            <v>-</v>
          </cell>
          <cell r="AV95" t="str">
            <v>-</v>
          </cell>
          <cell r="AW95" t="str">
            <v>-</v>
          </cell>
          <cell r="AX95" t="str">
            <v>-</v>
          </cell>
          <cell r="AY95" t="str">
            <v>-</v>
          </cell>
          <cell r="AZ95" t="str">
            <v>-</v>
          </cell>
          <cell r="BA95" t="str">
            <v>-</v>
          </cell>
          <cell r="BB95" t="str">
            <v>-</v>
          </cell>
          <cell r="BC95" t="str">
            <v>-</v>
          </cell>
          <cell r="BD95" t="str">
            <v>-</v>
          </cell>
          <cell r="BE95" t="str">
            <v>-</v>
          </cell>
          <cell r="BF95" t="str">
            <v>-</v>
          </cell>
          <cell r="BG95" t="str">
            <v>-</v>
          </cell>
          <cell r="BH95" t="str">
            <v>-</v>
          </cell>
          <cell r="BI95" t="str">
            <v>-</v>
          </cell>
          <cell r="BJ95" t="str">
            <v>-</v>
          </cell>
          <cell r="BK95" t="str">
            <v>-</v>
          </cell>
          <cell r="BL95" t="str">
            <v>-</v>
          </cell>
          <cell r="BM95" t="str">
            <v>-</v>
          </cell>
          <cell r="BN95" t="str">
            <v>-</v>
          </cell>
          <cell r="BO95" t="str">
            <v>-</v>
          </cell>
        </row>
        <row r="96">
          <cell r="A96">
            <v>91</v>
          </cell>
          <cell r="B96" t="str">
            <v>-</v>
          </cell>
          <cell r="C96" t="str">
            <v>-</v>
          </cell>
          <cell r="D96" t="str">
            <v>-</v>
          </cell>
          <cell r="E96" t="str">
            <v>-</v>
          </cell>
          <cell r="F96" t="str">
            <v>-</v>
          </cell>
          <cell r="G96" t="str">
            <v>-</v>
          </cell>
          <cell r="H96" t="str">
            <v>-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 t="str">
            <v>-</v>
          </cell>
          <cell r="O96" t="str">
            <v>-</v>
          </cell>
          <cell r="P96" t="str">
            <v>-</v>
          </cell>
          <cell r="Q96" t="str">
            <v>-</v>
          </cell>
          <cell r="R96" t="str">
            <v>-</v>
          </cell>
          <cell r="S96" t="str">
            <v>-</v>
          </cell>
          <cell r="T96" t="str">
            <v>-</v>
          </cell>
          <cell r="U96" t="str">
            <v>-</v>
          </cell>
          <cell r="V96" t="str">
            <v>-</v>
          </cell>
          <cell r="W96" t="str">
            <v>-</v>
          </cell>
          <cell r="X96" t="str">
            <v>-</v>
          </cell>
          <cell r="Y96" t="str">
            <v>-</v>
          </cell>
          <cell r="Z96" t="str">
            <v>-</v>
          </cell>
          <cell r="AA96" t="str">
            <v>-</v>
          </cell>
          <cell r="AB96" t="str">
            <v>-</v>
          </cell>
          <cell r="AC96" t="str">
            <v>-</v>
          </cell>
          <cell r="AD96" t="str">
            <v>-</v>
          </cell>
          <cell r="AE96" t="str">
            <v>-</v>
          </cell>
          <cell r="AF96" t="str">
            <v>-</v>
          </cell>
          <cell r="AG96" t="str">
            <v>-</v>
          </cell>
          <cell r="AH96" t="str">
            <v>-</v>
          </cell>
          <cell r="AI96" t="str">
            <v>-</v>
          </cell>
          <cell r="AJ96" t="str">
            <v>-</v>
          </cell>
          <cell r="AK96" t="str">
            <v>-</v>
          </cell>
          <cell r="AL96" t="str">
            <v>-</v>
          </cell>
          <cell r="AM96" t="str">
            <v>-</v>
          </cell>
          <cell r="AN96" t="str">
            <v>-</v>
          </cell>
          <cell r="AO96" t="str">
            <v>-</v>
          </cell>
          <cell r="AP96" t="str">
            <v>-</v>
          </cell>
          <cell r="AQ96" t="str">
            <v>-</v>
          </cell>
          <cell r="AR96" t="str">
            <v>-</v>
          </cell>
          <cell r="AS96" t="str">
            <v>-</v>
          </cell>
          <cell r="AT96" t="str">
            <v>-</v>
          </cell>
          <cell r="AU96" t="str">
            <v>-</v>
          </cell>
          <cell r="AV96" t="str">
            <v>-</v>
          </cell>
          <cell r="AW96" t="str">
            <v>-</v>
          </cell>
          <cell r="AX96" t="str">
            <v>-</v>
          </cell>
          <cell r="AY96" t="str">
            <v>-</v>
          </cell>
          <cell r="AZ96" t="str">
            <v>-</v>
          </cell>
          <cell r="BA96" t="str">
            <v>-</v>
          </cell>
          <cell r="BB96" t="str">
            <v>-</v>
          </cell>
          <cell r="BC96" t="str">
            <v>-</v>
          </cell>
          <cell r="BD96" t="str">
            <v>-</v>
          </cell>
          <cell r="BE96" t="str">
            <v>-</v>
          </cell>
          <cell r="BF96" t="str">
            <v>-</v>
          </cell>
          <cell r="BG96" t="str">
            <v>-</v>
          </cell>
          <cell r="BH96" t="str">
            <v>-</v>
          </cell>
          <cell r="BI96" t="str">
            <v>-</v>
          </cell>
          <cell r="BJ96" t="str">
            <v>-</v>
          </cell>
          <cell r="BK96" t="str">
            <v>-</v>
          </cell>
          <cell r="BL96" t="str">
            <v>-</v>
          </cell>
          <cell r="BM96" t="str">
            <v>-</v>
          </cell>
          <cell r="BN96" t="str">
            <v>-</v>
          </cell>
          <cell r="BO96" t="str">
            <v>-</v>
          </cell>
        </row>
        <row r="97">
          <cell r="A97">
            <v>92</v>
          </cell>
          <cell r="B97" t="str">
            <v>-</v>
          </cell>
          <cell r="C97" t="str">
            <v>-</v>
          </cell>
          <cell r="D97" t="str">
            <v>-</v>
          </cell>
          <cell r="E97" t="str">
            <v>-</v>
          </cell>
          <cell r="F97" t="str">
            <v>-</v>
          </cell>
          <cell r="G97" t="str">
            <v>-</v>
          </cell>
          <cell r="H97" t="str">
            <v>-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-</v>
          </cell>
          <cell r="O97" t="str">
            <v>-</v>
          </cell>
          <cell r="P97" t="str">
            <v>-</v>
          </cell>
          <cell r="Q97" t="str">
            <v>-</v>
          </cell>
          <cell r="R97" t="str">
            <v>-</v>
          </cell>
          <cell r="S97" t="str">
            <v>-</v>
          </cell>
          <cell r="T97" t="str">
            <v>-</v>
          </cell>
          <cell r="U97" t="str">
            <v>-</v>
          </cell>
          <cell r="V97" t="str">
            <v>-</v>
          </cell>
          <cell r="W97" t="str">
            <v>-</v>
          </cell>
          <cell r="X97" t="str">
            <v>-</v>
          </cell>
          <cell r="Y97" t="str">
            <v>-</v>
          </cell>
          <cell r="Z97" t="str">
            <v>-</v>
          </cell>
          <cell r="AA97" t="str">
            <v>-</v>
          </cell>
          <cell r="AB97" t="str">
            <v>-</v>
          </cell>
          <cell r="AC97" t="str">
            <v>-</v>
          </cell>
          <cell r="AD97" t="str">
            <v>-</v>
          </cell>
          <cell r="AE97" t="str">
            <v>-</v>
          </cell>
          <cell r="AF97" t="str">
            <v>-</v>
          </cell>
          <cell r="AG97" t="str">
            <v>-</v>
          </cell>
          <cell r="AH97" t="str">
            <v>-</v>
          </cell>
          <cell r="AI97" t="str">
            <v>-</v>
          </cell>
          <cell r="AJ97" t="str">
            <v>-</v>
          </cell>
          <cell r="AK97" t="str">
            <v>-</v>
          </cell>
          <cell r="AL97" t="str">
            <v>-</v>
          </cell>
          <cell r="AM97" t="str">
            <v>-</v>
          </cell>
          <cell r="AN97" t="str">
            <v>-</v>
          </cell>
          <cell r="AO97" t="str">
            <v>-</v>
          </cell>
          <cell r="AP97" t="str">
            <v>-</v>
          </cell>
          <cell r="AQ97" t="str">
            <v>-</v>
          </cell>
          <cell r="AR97" t="str">
            <v>-</v>
          </cell>
          <cell r="AS97" t="str">
            <v>-</v>
          </cell>
          <cell r="AT97" t="str">
            <v>-</v>
          </cell>
          <cell r="AU97" t="str">
            <v>-</v>
          </cell>
          <cell r="AV97" t="str">
            <v>-</v>
          </cell>
          <cell r="AW97" t="str">
            <v>-</v>
          </cell>
          <cell r="AX97" t="str">
            <v>-</v>
          </cell>
          <cell r="AY97" t="str">
            <v>-</v>
          </cell>
          <cell r="AZ97" t="str">
            <v>-</v>
          </cell>
          <cell r="BA97" t="str">
            <v>-</v>
          </cell>
          <cell r="BB97" t="str">
            <v>-</v>
          </cell>
          <cell r="BC97" t="str">
            <v>-</v>
          </cell>
          <cell r="BD97" t="str">
            <v>-</v>
          </cell>
          <cell r="BE97" t="str">
            <v>-</v>
          </cell>
          <cell r="BF97" t="str">
            <v>-</v>
          </cell>
          <cell r="BG97" t="str">
            <v>-</v>
          </cell>
          <cell r="BH97" t="str">
            <v>-</v>
          </cell>
          <cell r="BI97" t="str">
            <v>-</v>
          </cell>
          <cell r="BJ97" t="str">
            <v>-</v>
          </cell>
          <cell r="BK97" t="str">
            <v>-</v>
          </cell>
          <cell r="BL97" t="str">
            <v>-</v>
          </cell>
          <cell r="BM97" t="str">
            <v>-</v>
          </cell>
          <cell r="BN97" t="str">
            <v>-</v>
          </cell>
          <cell r="BO97" t="str">
            <v>-</v>
          </cell>
        </row>
        <row r="98">
          <cell r="A98">
            <v>93</v>
          </cell>
          <cell r="B98" t="str">
            <v>-</v>
          </cell>
          <cell r="C98" t="str">
            <v>-</v>
          </cell>
          <cell r="D98" t="str">
            <v>-</v>
          </cell>
          <cell r="E98" t="str">
            <v>-</v>
          </cell>
          <cell r="F98" t="str">
            <v>-</v>
          </cell>
          <cell r="G98" t="str">
            <v>-</v>
          </cell>
          <cell r="H98" t="str">
            <v>-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-</v>
          </cell>
          <cell r="O98" t="str">
            <v>-</v>
          </cell>
          <cell r="P98" t="str">
            <v>-</v>
          </cell>
          <cell r="Q98" t="str">
            <v>-</v>
          </cell>
          <cell r="R98" t="str">
            <v>-</v>
          </cell>
          <cell r="S98" t="str">
            <v>-</v>
          </cell>
          <cell r="T98" t="str">
            <v>-</v>
          </cell>
          <cell r="U98" t="str">
            <v>-</v>
          </cell>
          <cell r="V98" t="str">
            <v>-</v>
          </cell>
          <cell r="W98" t="str">
            <v>-</v>
          </cell>
          <cell r="X98" t="str">
            <v>-</v>
          </cell>
          <cell r="Y98" t="str">
            <v>-</v>
          </cell>
          <cell r="Z98" t="str">
            <v>-</v>
          </cell>
          <cell r="AA98" t="str">
            <v>-</v>
          </cell>
          <cell r="AB98" t="str">
            <v>-</v>
          </cell>
          <cell r="AC98" t="str">
            <v>-</v>
          </cell>
          <cell r="AD98" t="str">
            <v>-</v>
          </cell>
          <cell r="AE98" t="str">
            <v>-</v>
          </cell>
          <cell r="AF98" t="str">
            <v>-</v>
          </cell>
          <cell r="AG98" t="str">
            <v>-</v>
          </cell>
          <cell r="AH98" t="str">
            <v>-</v>
          </cell>
          <cell r="AI98" t="str">
            <v>-</v>
          </cell>
          <cell r="AJ98" t="str">
            <v>-</v>
          </cell>
          <cell r="AK98" t="str">
            <v>-</v>
          </cell>
          <cell r="AL98" t="str">
            <v>-</v>
          </cell>
          <cell r="AM98" t="str">
            <v>-</v>
          </cell>
          <cell r="AN98" t="str">
            <v>-</v>
          </cell>
          <cell r="AO98" t="str">
            <v>-</v>
          </cell>
          <cell r="AP98" t="str">
            <v>-</v>
          </cell>
          <cell r="AQ98" t="str">
            <v>-</v>
          </cell>
          <cell r="AR98" t="str">
            <v>-</v>
          </cell>
          <cell r="AS98" t="str">
            <v>-</v>
          </cell>
          <cell r="AT98" t="str">
            <v>-</v>
          </cell>
          <cell r="AU98" t="str">
            <v>-</v>
          </cell>
          <cell r="AV98" t="str">
            <v>-</v>
          </cell>
          <cell r="AW98" t="str">
            <v>-</v>
          </cell>
          <cell r="AX98" t="str">
            <v>-</v>
          </cell>
          <cell r="AY98" t="str">
            <v>-</v>
          </cell>
          <cell r="AZ98" t="str">
            <v>-</v>
          </cell>
          <cell r="BA98" t="str">
            <v>-</v>
          </cell>
          <cell r="BB98" t="str">
            <v>-</v>
          </cell>
          <cell r="BC98" t="str">
            <v>-</v>
          </cell>
          <cell r="BD98" t="str">
            <v>-</v>
          </cell>
          <cell r="BE98" t="str">
            <v>-</v>
          </cell>
          <cell r="BF98" t="str">
            <v>-</v>
          </cell>
          <cell r="BG98" t="str">
            <v>-</v>
          </cell>
          <cell r="BH98" t="str">
            <v>-</v>
          </cell>
          <cell r="BI98" t="str">
            <v>-</v>
          </cell>
          <cell r="BJ98" t="str">
            <v>-</v>
          </cell>
          <cell r="BK98" t="str">
            <v>-</v>
          </cell>
          <cell r="BL98" t="str">
            <v>-</v>
          </cell>
          <cell r="BM98" t="str">
            <v>-</v>
          </cell>
          <cell r="BN98" t="str">
            <v>-</v>
          </cell>
          <cell r="BO98" t="str">
            <v>-</v>
          </cell>
        </row>
        <row r="99">
          <cell r="A99">
            <v>94</v>
          </cell>
          <cell r="B99" t="str">
            <v>-</v>
          </cell>
          <cell r="C99" t="str">
            <v>-</v>
          </cell>
          <cell r="D99" t="str">
            <v>-</v>
          </cell>
          <cell r="E99" t="str">
            <v>-</v>
          </cell>
          <cell r="F99" t="str">
            <v>-</v>
          </cell>
          <cell r="G99" t="str">
            <v>-</v>
          </cell>
          <cell r="H99" t="str">
            <v>-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-</v>
          </cell>
          <cell r="O99" t="str">
            <v>-</v>
          </cell>
          <cell r="P99" t="str">
            <v>-</v>
          </cell>
          <cell r="Q99" t="str">
            <v>-</v>
          </cell>
          <cell r="R99" t="str">
            <v>-</v>
          </cell>
          <cell r="S99" t="str">
            <v>-</v>
          </cell>
          <cell r="T99" t="str">
            <v>-</v>
          </cell>
          <cell r="U99" t="str">
            <v>-</v>
          </cell>
          <cell r="V99" t="str">
            <v>-</v>
          </cell>
          <cell r="W99" t="str">
            <v>-</v>
          </cell>
          <cell r="X99" t="str">
            <v>-</v>
          </cell>
          <cell r="Y99" t="str">
            <v>-</v>
          </cell>
          <cell r="Z99" t="str">
            <v>-</v>
          </cell>
          <cell r="AA99" t="str">
            <v>-</v>
          </cell>
          <cell r="AB99" t="str">
            <v>-</v>
          </cell>
          <cell r="AC99" t="str">
            <v>-</v>
          </cell>
          <cell r="AD99" t="str">
            <v>-</v>
          </cell>
          <cell r="AE99" t="str">
            <v>-</v>
          </cell>
          <cell r="AF99" t="str">
            <v>-</v>
          </cell>
          <cell r="AG99" t="str">
            <v>-</v>
          </cell>
          <cell r="AH99" t="str">
            <v>-</v>
          </cell>
          <cell r="AI99" t="str">
            <v>-</v>
          </cell>
          <cell r="AJ99" t="str">
            <v>-</v>
          </cell>
          <cell r="AK99" t="str">
            <v>-</v>
          </cell>
          <cell r="AL99" t="str">
            <v>-</v>
          </cell>
          <cell r="AM99" t="str">
            <v>-</v>
          </cell>
          <cell r="AN99" t="str">
            <v>-</v>
          </cell>
          <cell r="AO99" t="str">
            <v>-</v>
          </cell>
          <cell r="AP99" t="str">
            <v>-</v>
          </cell>
          <cell r="AQ99" t="str">
            <v>-</v>
          </cell>
          <cell r="AR99" t="str">
            <v>-</v>
          </cell>
          <cell r="AS99" t="str">
            <v>-</v>
          </cell>
          <cell r="AT99" t="str">
            <v>-</v>
          </cell>
          <cell r="AU99" t="str">
            <v>-</v>
          </cell>
          <cell r="AV99" t="str">
            <v>-</v>
          </cell>
          <cell r="AW99" t="str">
            <v>-</v>
          </cell>
          <cell r="AX99" t="str">
            <v>-</v>
          </cell>
          <cell r="AY99" t="str">
            <v>-</v>
          </cell>
          <cell r="AZ99" t="str">
            <v>-</v>
          </cell>
          <cell r="BA99" t="str">
            <v>-</v>
          </cell>
          <cell r="BB99" t="str">
            <v>-</v>
          </cell>
          <cell r="BC99" t="str">
            <v>-</v>
          </cell>
          <cell r="BD99" t="str">
            <v>-</v>
          </cell>
          <cell r="BE99" t="str">
            <v>-</v>
          </cell>
          <cell r="BF99" t="str">
            <v>-</v>
          </cell>
          <cell r="BG99" t="str">
            <v>-</v>
          </cell>
          <cell r="BH99" t="str">
            <v>-</v>
          </cell>
          <cell r="BI99" t="str">
            <v>-</v>
          </cell>
          <cell r="BJ99" t="str">
            <v>-</v>
          </cell>
          <cell r="BK99" t="str">
            <v>-</v>
          </cell>
          <cell r="BL99" t="str">
            <v>-</v>
          </cell>
          <cell r="BM99" t="str">
            <v>-</v>
          </cell>
          <cell r="BN99" t="str">
            <v>-</v>
          </cell>
          <cell r="BO99" t="str">
            <v>-</v>
          </cell>
        </row>
        <row r="100">
          <cell r="A100">
            <v>95</v>
          </cell>
          <cell r="B100" t="str">
            <v>-</v>
          </cell>
          <cell r="C100" t="str">
            <v>-</v>
          </cell>
          <cell r="D100" t="str">
            <v>-</v>
          </cell>
          <cell r="E100" t="str">
            <v>-</v>
          </cell>
          <cell r="F100" t="str">
            <v>-</v>
          </cell>
          <cell r="G100" t="str">
            <v>-</v>
          </cell>
          <cell r="H100" t="str">
            <v>-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-</v>
          </cell>
          <cell r="O100" t="str">
            <v>-</v>
          </cell>
          <cell r="P100" t="str">
            <v>-</v>
          </cell>
          <cell r="Q100" t="str">
            <v>-</v>
          </cell>
          <cell r="R100" t="str">
            <v>-</v>
          </cell>
          <cell r="S100" t="str">
            <v>-</v>
          </cell>
          <cell r="T100" t="str">
            <v>-</v>
          </cell>
          <cell r="U100" t="str">
            <v>-</v>
          </cell>
          <cell r="V100" t="str">
            <v>-</v>
          </cell>
          <cell r="W100" t="str">
            <v>-</v>
          </cell>
          <cell r="X100" t="str">
            <v>-</v>
          </cell>
          <cell r="Y100" t="str">
            <v>-</v>
          </cell>
          <cell r="Z100" t="str">
            <v>-</v>
          </cell>
          <cell r="AA100" t="str">
            <v>-</v>
          </cell>
          <cell r="AB100" t="str">
            <v>-</v>
          </cell>
          <cell r="AC100" t="str">
            <v>-</v>
          </cell>
          <cell r="AD100" t="str">
            <v>-</v>
          </cell>
          <cell r="AE100" t="str">
            <v>-</v>
          </cell>
          <cell r="AF100" t="str">
            <v>-</v>
          </cell>
          <cell r="AG100" t="str">
            <v>-</v>
          </cell>
          <cell r="AH100" t="str">
            <v>-</v>
          </cell>
          <cell r="AI100" t="str">
            <v>-</v>
          </cell>
          <cell r="AJ100" t="str">
            <v>-</v>
          </cell>
          <cell r="AK100" t="str">
            <v>-</v>
          </cell>
          <cell r="AL100" t="str">
            <v>-</v>
          </cell>
          <cell r="AM100" t="str">
            <v>-</v>
          </cell>
          <cell r="AN100" t="str">
            <v>-</v>
          </cell>
          <cell r="AO100" t="str">
            <v>-</v>
          </cell>
          <cell r="AP100" t="str">
            <v>-</v>
          </cell>
          <cell r="AQ100" t="str">
            <v>-</v>
          </cell>
          <cell r="AR100" t="str">
            <v>-</v>
          </cell>
          <cell r="AS100" t="str">
            <v>-</v>
          </cell>
          <cell r="AT100" t="str">
            <v>-</v>
          </cell>
          <cell r="AU100" t="str">
            <v>-</v>
          </cell>
          <cell r="AV100" t="str">
            <v>-</v>
          </cell>
          <cell r="AW100" t="str">
            <v>-</v>
          </cell>
          <cell r="AX100" t="str">
            <v>-</v>
          </cell>
          <cell r="AY100" t="str">
            <v>-</v>
          </cell>
          <cell r="AZ100" t="str">
            <v>-</v>
          </cell>
          <cell r="BA100" t="str">
            <v>-</v>
          </cell>
          <cell r="BB100" t="str">
            <v>-</v>
          </cell>
          <cell r="BC100" t="str">
            <v>-</v>
          </cell>
          <cell r="BD100" t="str">
            <v>-</v>
          </cell>
          <cell r="BE100" t="str">
            <v>-</v>
          </cell>
          <cell r="BF100" t="str">
            <v>-</v>
          </cell>
          <cell r="BG100" t="str">
            <v>-</v>
          </cell>
          <cell r="BH100" t="str">
            <v>-</v>
          </cell>
          <cell r="BI100" t="str">
            <v>-</v>
          </cell>
          <cell r="BJ100" t="str">
            <v>-</v>
          </cell>
          <cell r="BK100" t="str">
            <v>-</v>
          </cell>
          <cell r="BL100" t="str">
            <v>-</v>
          </cell>
          <cell r="BM100" t="str">
            <v>-</v>
          </cell>
          <cell r="BN100" t="str">
            <v>-</v>
          </cell>
          <cell r="BO100" t="str">
            <v>-</v>
          </cell>
        </row>
        <row r="101">
          <cell r="A101">
            <v>96</v>
          </cell>
          <cell r="B101" t="str">
            <v>-</v>
          </cell>
          <cell r="C101" t="str">
            <v>-</v>
          </cell>
          <cell r="D101" t="str">
            <v>-</v>
          </cell>
          <cell r="E101" t="str">
            <v>-</v>
          </cell>
          <cell r="F101" t="str">
            <v>-</v>
          </cell>
          <cell r="G101" t="str">
            <v>-</v>
          </cell>
          <cell r="H101" t="str">
            <v>-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-</v>
          </cell>
          <cell r="M101" t="str">
            <v>-</v>
          </cell>
          <cell r="N101" t="str">
            <v>-</v>
          </cell>
          <cell r="O101" t="str">
            <v>-</v>
          </cell>
          <cell r="P101" t="str">
            <v>-</v>
          </cell>
          <cell r="Q101" t="str">
            <v>-</v>
          </cell>
          <cell r="R101" t="str">
            <v>-</v>
          </cell>
          <cell r="S101" t="str">
            <v>-</v>
          </cell>
          <cell r="T101" t="str">
            <v>-</v>
          </cell>
          <cell r="U101" t="str">
            <v>-</v>
          </cell>
          <cell r="V101" t="str">
            <v>-</v>
          </cell>
          <cell r="W101" t="str">
            <v>-</v>
          </cell>
          <cell r="X101" t="str">
            <v>-</v>
          </cell>
          <cell r="Y101" t="str">
            <v>-</v>
          </cell>
          <cell r="Z101" t="str">
            <v>-</v>
          </cell>
          <cell r="AA101" t="str">
            <v>-</v>
          </cell>
          <cell r="AB101" t="str">
            <v>-</v>
          </cell>
          <cell r="AC101" t="str">
            <v>-</v>
          </cell>
          <cell r="AD101" t="str">
            <v>-</v>
          </cell>
          <cell r="AE101" t="str">
            <v>-</v>
          </cell>
          <cell r="AF101" t="str">
            <v>-</v>
          </cell>
          <cell r="AG101" t="str">
            <v>-</v>
          </cell>
          <cell r="AH101" t="str">
            <v>-</v>
          </cell>
          <cell r="AI101" t="str">
            <v>-</v>
          </cell>
          <cell r="AJ101" t="str">
            <v>-</v>
          </cell>
          <cell r="AK101" t="str">
            <v>-</v>
          </cell>
          <cell r="AL101" t="str">
            <v>-</v>
          </cell>
          <cell r="AM101" t="str">
            <v>-</v>
          </cell>
          <cell r="AN101" t="str">
            <v>-</v>
          </cell>
          <cell r="AO101" t="str">
            <v>-</v>
          </cell>
          <cell r="AP101" t="str">
            <v>-</v>
          </cell>
          <cell r="AQ101" t="str">
            <v>-</v>
          </cell>
          <cell r="AR101" t="str">
            <v>-</v>
          </cell>
          <cell r="AS101" t="str">
            <v>-</v>
          </cell>
          <cell r="AT101" t="str">
            <v>-</v>
          </cell>
          <cell r="AU101" t="str">
            <v>-</v>
          </cell>
          <cell r="AV101" t="str">
            <v>-</v>
          </cell>
          <cell r="AW101" t="str">
            <v>-</v>
          </cell>
          <cell r="AX101" t="str">
            <v>-</v>
          </cell>
          <cell r="AY101" t="str">
            <v>-</v>
          </cell>
          <cell r="AZ101" t="str">
            <v>-</v>
          </cell>
          <cell r="BA101" t="str">
            <v>-</v>
          </cell>
          <cell r="BB101" t="str">
            <v>-</v>
          </cell>
          <cell r="BC101" t="str">
            <v>-</v>
          </cell>
          <cell r="BD101" t="str">
            <v>-</v>
          </cell>
          <cell r="BE101" t="str">
            <v>-</v>
          </cell>
          <cell r="BF101" t="str">
            <v>-</v>
          </cell>
          <cell r="BG101" t="str">
            <v>-</v>
          </cell>
          <cell r="BH101" t="str">
            <v>-</v>
          </cell>
          <cell r="BI101" t="str">
            <v>-</v>
          </cell>
          <cell r="BJ101" t="str">
            <v>-</v>
          </cell>
          <cell r="BK101" t="str">
            <v>-</v>
          </cell>
          <cell r="BL101" t="str">
            <v>-</v>
          </cell>
          <cell r="BM101" t="str">
            <v>-</v>
          </cell>
          <cell r="BN101" t="str">
            <v>-</v>
          </cell>
          <cell r="BO101" t="str">
            <v>-</v>
          </cell>
        </row>
        <row r="102">
          <cell r="A102">
            <v>97</v>
          </cell>
          <cell r="B102" t="str">
            <v>-</v>
          </cell>
          <cell r="C102" t="str">
            <v>-</v>
          </cell>
          <cell r="D102" t="str">
            <v>-</v>
          </cell>
          <cell r="E102" t="str">
            <v>-</v>
          </cell>
          <cell r="F102" t="str">
            <v>-</v>
          </cell>
          <cell r="G102" t="str">
            <v>-</v>
          </cell>
          <cell r="H102" t="str">
            <v>-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-</v>
          </cell>
          <cell r="O102" t="str">
            <v>-</v>
          </cell>
          <cell r="P102" t="str">
            <v>-</v>
          </cell>
          <cell r="Q102" t="str">
            <v>-</v>
          </cell>
          <cell r="R102" t="str">
            <v>-</v>
          </cell>
          <cell r="S102" t="str">
            <v>-</v>
          </cell>
          <cell r="T102" t="str">
            <v>-</v>
          </cell>
          <cell r="U102" t="str">
            <v>-</v>
          </cell>
          <cell r="V102" t="str">
            <v>-</v>
          </cell>
          <cell r="W102" t="str">
            <v>-</v>
          </cell>
          <cell r="X102" t="str">
            <v>-</v>
          </cell>
          <cell r="Y102" t="str">
            <v>-</v>
          </cell>
          <cell r="Z102" t="str">
            <v>-</v>
          </cell>
          <cell r="AA102" t="str">
            <v>-</v>
          </cell>
          <cell r="AB102" t="str">
            <v>-</v>
          </cell>
          <cell r="AC102" t="str">
            <v>-</v>
          </cell>
          <cell r="AD102" t="str">
            <v>-</v>
          </cell>
          <cell r="AE102" t="str">
            <v>-</v>
          </cell>
          <cell r="AF102" t="str">
            <v>-</v>
          </cell>
          <cell r="AG102" t="str">
            <v>-</v>
          </cell>
          <cell r="AH102" t="str">
            <v>-</v>
          </cell>
          <cell r="AI102" t="str">
            <v>-</v>
          </cell>
          <cell r="AJ102" t="str">
            <v>-</v>
          </cell>
          <cell r="AK102" t="str">
            <v>-</v>
          </cell>
          <cell r="AL102" t="str">
            <v>-</v>
          </cell>
          <cell r="AM102" t="str">
            <v>-</v>
          </cell>
          <cell r="AN102" t="str">
            <v>-</v>
          </cell>
          <cell r="AO102" t="str">
            <v>-</v>
          </cell>
          <cell r="AP102" t="str">
            <v>-</v>
          </cell>
          <cell r="AQ102" t="str">
            <v>-</v>
          </cell>
          <cell r="AR102" t="str">
            <v>-</v>
          </cell>
          <cell r="AS102" t="str">
            <v>-</v>
          </cell>
          <cell r="AT102" t="str">
            <v>-</v>
          </cell>
          <cell r="AU102" t="str">
            <v>-</v>
          </cell>
          <cell r="AV102" t="str">
            <v>-</v>
          </cell>
          <cell r="AW102" t="str">
            <v>-</v>
          </cell>
          <cell r="AX102" t="str">
            <v>-</v>
          </cell>
          <cell r="AY102" t="str">
            <v>-</v>
          </cell>
          <cell r="AZ102" t="str">
            <v>-</v>
          </cell>
          <cell r="BA102" t="str">
            <v>-</v>
          </cell>
          <cell r="BB102" t="str">
            <v>-</v>
          </cell>
          <cell r="BC102" t="str">
            <v>-</v>
          </cell>
          <cell r="BD102" t="str">
            <v>-</v>
          </cell>
          <cell r="BE102" t="str">
            <v>-</v>
          </cell>
          <cell r="BF102" t="str">
            <v>-</v>
          </cell>
          <cell r="BG102" t="str">
            <v>-</v>
          </cell>
          <cell r="BH102" t="str">
            <v>-</v>
          </cell>
          <cell r="BI102" t="str">
            <v>-</v>
          </cell>
          <cell r="BJ102" t="str">
            <v>-</v>
          </cell>
          <cell r="BK102" t="str">
            <v>-</v>
          </cell>
          <cell r="BL102" t="str">
            <v>-</v>
          </cell>
          <cell r="BM102" t="str">
            <v>-</v>
          </cell>
          <cell r="BN102" t="str">
            <v>-</v>
          </cell>
          <cell r="BO102" t="str">
            <v>-</v>
          </cell>
        </row>
        <row r="103">
          <cell r="A103">
            <v>98</v>
          </cell>
          <cell r="B103" t="str">
            <v>-</v>
          </cell>
          <cell r="C103" t="str">
            <v>-</v>
          </cell>
          <cell r="D103" t="str">
            <v>-</v>
          </cell>
          <cell r="E103" t="str">
            <v>-</v>
          </cell>
          <cell r="F103" t="str">
            <v>-</v>
          </cell>
          <cell r="G103" t="str">
            <v>-</v>
          </cell>
          <cell r="H103" t="str">
            <v>-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-</v>
          </cell>
          <cell r="O103" t="str">
            <v>-</v>
          </cell>
          <cell r="P103" t="str">
            <v>-</v>
          </cell>
          <cell r="Q103" t="str">
            <v>-</v>
          </cell>
          <cell r="R103" t="str">
            <v>-</v>
          </cell>
          <cell r="S103" t="str">
            <v>-</v>
          </cell>
          <cell r="T103" t="str">
            <v>-</v>
          </cell>
          <cell r="U103" t="str">
            <v>-</v>
          </cell>
          <cell r="V103" t="str">
            <v>-</v>
          </cell>
          <cell r="W103" t="str">
            <v>-</v>
          </cell>
          <cell r="X103" t="str">
            <v>-</v>
          </cell>
          <cell r="Y103" t="str">
            <v>-</v>
          </cell>
          <cell r="Z103" t="str">
            <v>-</v>
          </cell>
          <cell r="AA103" t="str">
            <v>-</v>
          </cell>
          <cell r="AB103" t="str">
            <v>-</v>
          </cell>
          <cell r="AC103" t="str">
            <v>-</v>
          </cell>
          <cell r="AD103" t="str">
            <v>-</v>
          </cell>
          <cell r="AE103" t="str">
            <v>-</v>
          </cell>
          <cell r="AF103" t="str">
            <v>-</v>
          </cell>
          <cell r="AG103" t="str">
            <v>-</v>
          </cell>
          <cell r="AH103" t="str">
            <v>-</v>
          </cell>
          <cell r="AI103" t="str">
            <v>-</v>
          </cell>
          <cell r="AJ103" t="str">
            <v>-</v>
          </cell>
          <cell r="AK103" t="str">
            <v>-</v>
          </cell>
          <cell r="AL103" t="str">
            <v>-</v>
          </cell>
          <cell r="AM103" t="str">
            <v>-</v>
          </cell>
          <cell r="AN103" t="str">
            <v>-</v>
          </cell>
          <cell r="AO103" t="str">
            <v>-</v>
          </cell>
          <cell r="AP103" t="str">
            <v>-</v>
          </cell>
          <cell r="AQ103" t="str">
            <v>-</v>
          </cell>
          <cell r="AR103" t="str">
            <v>-</v>
          </cell>
          <cell r="AS103" t="str">
            <v>-</v>
          </cell>
          <cell r="AT103" t="str">
            <v>-</v>
          </cell>
          <cell r="AU103" t="str">
            <v>-</v>
          </cell>
          <cell r="AV103" t="str">
            <v>-</v>
          </cell>
          <cell r="AW103" t="str">
            <v>-</v>
          </cell>
          <cell r="AX103" t="str">
            <v>-</v>
          </cell>
          <cell r="AY103" t="str">
            <v>-</v>
          </cell>
          <cell r="AZ103" t="str">
            <v>-</v>
          </cell>
          <cell r="BA103" t="str">
            <v>-</v>
          </cell>
          <cell r="BB103" t="str">
            <v>-</v>
          </cell>
          <cell r="BC103" t="str">
            <v>-</v>
          </cell>
          <cell r="BD103" t="str">
            <v>-</v>
          </cell>
          <cell r="BE103" t="str">
            <v>-</v>
          </cell>
          <cell r="BF103" t="str">
            <v>-</v>
          </cell>
          <cell r="BG103" t="str">
            <v>-</v>
          </cell>
          <cell r="BH103" t="str">
            <v>-</v>
          </cell>
          <cell r="BI103" t="str">
            <v>-</v>
          </cell>
          <cell r="BJ103" t="str">
            <v>-</v>
          </cell>
          <cell r="BK103" t="str">
            <v>-</v>
          </cell>
          <cell r="BL103" t="str">
            <v>-</v>
          </cell>
          <cell r="BM103" t="str">
            <v>-</v>
          </cell>
          <cell r="BN103" t="str">
            <v>-</v>
          </cell>
          <cell r="BO103" t="str">
            <v>-</v>
          </cell>
        </row>
        <row r="104">
          <cell r="A104">
            <v>99</v>
          </cell>
          <cell r="B104" t="str">
            <v>-</v>
          </cell>
          <cell r="C104" t="str">
            <v>-</v>
          </cell>
          <cell r="D104" t="str">
            <v>-</v>
          </cell>
          <cell r="E104" t="str">
            <v>-</v>
          </cell>
          <cell r="F104" t="str">
            <v>-</v>
          </cell>
          <cell r="G104" t="str">
            <v>-</v>
          </cell>
          <cell r="H104" t="str">
            <v>-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-</v>
          </cell>
          <cell r="O104" t="str">
            <v>-</v>
          </cell>
          <cell r="P104" t="str">
            <v>-</v>
          </cell>
          <cell r="Q104" t="str">
            <v>-</v>
          </cell>
          <cell r="R104" t="str">
            <v>-</v>
          </cell>
          <cell r="S104" t="str">
            <v>-</v>
          </cell>
          <cell r="T104" t="str">
            <v>-</v>
          </cell>
          <cell r="U104" t="str">
            <v>-</v>
          </cell>
          <cell r="V104" t="str">
            <v>-</v>
          </cell>
          <cell r="W104" t="str">
            <v>-</v>
          </cell>
          <cell r="X104" t="str">
            <v>-</v>
          </cell>
          <cell r="Y104" t="str">
            <v>-</v>
          </cell>
          <cell r="Z104" t="str">
            <v>-</v>
          </cell>
          <cell r="AA104" t="str">
            <v>-</v>
          </cell>
          <cell r="AB104" t="str">
            <v>-</v>
          </cell>
          <cell r="AC104" t="str">
            <v>-</v>
          </cell>
          <cell r="AD104" t="str">
            <v>-</v>
          </cell>
          <cell r="AE104" t="str">
            <v>-</v>
          </cell>
          <cell r="AF104" t="str">
            <v>-</v>
          </cell>
          <cell r="AG104" t="str">
            <v>-</v>
          </cell>
          <cell r="AH104" t="str">
            <v>-</v>
          </cell>
          <cell r="AI104" t="str">
            <v>-</v>
          </cell>
          <cell r="AJ104" t="str">
            <v>-</v>
          </cell>
          <cell r="AK104" t="str">
            <v>-</v>
          </cell>
          <cell r="AL104" t="str">
            <v>-</v>
          </cell>
          <cell r="AM104" t="str">
            <v>-</v>
          </cell>
          <cell r="AN104" t="str">
            <v>-</v>
          </cell>
          <cell r="AO104" t="str">
            <v>-</v>
          </cell>
          <cell r="AP104" t="str">
            <v>-</v>
          </cell>
          <cell r="AQ104" t="str">
            <v>-</v>
          </cell>
          <cell r="AR104" t="str">
            <v>-</v>
          </cell>
          <cell r="AS104" t="str">
            <v>-</v>
          </cell>
          <cell r="AT104" t="str">
            <v>-</v>
          </cell>
          <cell r="AU104" t="str">
            <v>-</v>
          </cell>
          <cell r="AV104" t="str">
            <v>-</v>
          </cell>
          <cell r="AW104" t="str">
            <v>-</v>
          </cell>
          <cell r="AX104" t="str">
            <v>-</v>
          </cell>
          <cell r="AY104" t="str">
            <v>-</v>
          </cell>
          <cell r="AZ104" t="str">
            <v>-</v>
          </cell>
          <cell r="BA104" t="str">
            <v>-</v>
          </cell>
          <cell r="BB104" t="str">
            <v>-</v>
          </cell>
          <cell r="BC104" t="str">
            <v>-</v>
          </cell>
          <cell r="BD104" t="str">
            <v>-</v>
          </cell>
          <cell r="BE104" t="str">
            <v>-</v>
          </cell>
          <cell r="BF104" t="str">
            <v>-</v>
          </cell>
          <cell r="BG104" t="str">
            <v>-</v>
          </cell>
          <cell r="BH104" t="str">
            <v>-</v>
          </cell>
          <cell r="BI104" t="str">
            <v>-</v>
          </cell>
          <cell r="BJ104" t="str">
            <v>-</v>
          </cell>
          <cell r="BK104" t="str">
            <v>-</v>
          </cell>
          <cell r="BL104" t="str">
            <v>-</v>
          </cell>
          <cell r="BM104" t="str">
            <v>-</v>
          </cell>
          <cell r="BN104" t="str">
            <v>-</v>
          </cell>
          <cell r="BO104" t="str">
            <v>-</v>
          </cell>
        </row>
        <row r="105">
          <cell r="A105">
            <v>100</v>
          </cell>
          <cell r="B105" t="str">
            <v>-</v>
          </cell>
          <cell r="C105" t="str">
            <v>-</v>
          </cell>
          <cell r="D105" t="str">
            <v>-</v>
          </cell>
          <cell r="E105" t="str">
            <v>-</v>
          </cell>
          <cell r="F105" t="str">
            <v>-</v>
          </cell>
          <cell r="G105" t="str">
            <v>-</v>
          </cell>
          <cell r="H105" t="str">
            <v>-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-</v>
          </cell>
          <cell r="O105" t="str">
            <v>-</v>
          </cell>
          <cell r="P105" t="str">
            <v>-</v>
          </cell>
          <cell r="Q105" t="str">
            <v>-</v>
          </cell>
          <cell r="R105" t="str">
            <v>-</v>
          </cell>
          <cell r="S105" t="str">
            <v>-</v>
          </cell>
          <cell r="T105" t="str">
            <v>-</v>
          </cell>
          <cell r="U105" t="str">
            <v>-</v>
          </cell>
          <cell r="V105" t="str">
            <v>-</v>
          </cell>
          <cell r="W105" t="str">
            <v>-</v>
          </cell>
          <cell r="X105" t="str">
            <v>-</v>
          </cell>
          <cell r="Y105" t="str">
            <v>-</v>
          </cell>
          <cell r="Z105" t="str">
            <v>-</v>
          </cell>
          <cell r="AA105" t="str">
            <v>-</v>
          </cell>
          <cell r="AB105" t="str">
            <v>-</v>
          </cell>
          <cell r="AC105" t="str">
            <v>-</v>
          </cell>
          <cell r="AD105" t="str">
            <v>-</v>
          </cell>
          <cell r="AE105" t="str">
            <v>-</v>
          </cell>
          <cell r="AF105" t="str">
            <v>-</v>
          </cell>
          <cell r="AG105" t="str">
            <v>-</v>
          </cell>
          <cell r="AH105" t="str">
            <v>-</v>
          </cell>
          <cell r="AI105" t="str">
            <v>-</v>
          </cell>
          <cell r="AJ105" t="str">
            <v>-</v>
          </cell>
          <cell r="AK105" t="str">
            <v>-</v>
          </cell>
          <cell r="AL105" t="str">
            <v>-</v>
          </cell>
          <cell r="AM105" t="str">
            <v>-</v>
          </cell>
          <cell r="AN105" t="str">
            <v>-</v>
          </cell>
          <cell r="AO105" t="str">
            <v>-</v>
          </cell>
          <cell r="AP105" t="str">
            <v>-</v>
          </cell>
          <cell r="AQ105" t="str">
            <v>-</v>
          </cell>
          <cell r="AR105" t="str">
            <v>-</v>
          </cell>
          <cell r="AS105" t="str">
            <v>-</v>
          </cell>
          <cell r="AT105" t="str">
            <v>-</v>
          </cell>
          <cell r="AU105" t="str">
            <v>-</v>
          </cell>
          <cell r="AV105" t="str">
            <v>-</v>
          </cell>
          <cell r="AW105" t="str">
            <v>-</v>
          </cell>
          <cell r="AX105" t="str">
            <v>-</v>
          </cell>
          <cell r="AY105" t="str">
            <v>-</v>
          </cell>
          <cell r="AZ105" t="str">
            <v>-</v>
          </cell>
          <cell r="BA105" t="str">
            <v>-</v>
          </cell>
          <cell r="BB105" t="str">
            <v>-</v>
          </cell>
          <cell r="BC105" t="str">
            <v>-</v>
          </cell>
          <cell r="BD105" t="str">
            <v>-</v>
          </cell>
          <cell r="BE105" t="str">
            <v>-</v>
          </cell>
          <cell r="BF105" t="str">
            <v>-</v>
          </cell>
          <cell r="BG105" t="str">
            <v>-</v>
          </cell>
          <cell r="BH105" t="str">
            <v>-</v>
          </cell>
          <cell r="BI105" t="str">
            <v>-</v>
          </cell>
          <cell r="BJ105" t="str">
            <v>-</v>
          </cell>
          <cell r="BK105" t="str">
            <v>-</v>
          </cell>
          <cell r="BL105" t="str">
            <v>-</v>
          </cell>
          <cell r="BM105" t="str">
            <v>-</v>
          </cell>
          <cell r="BN105" t="str">
            <v>-</v>
          </cell>
          <cell r="BO105" t="str">
            <v>-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 - Padrões"/>
      <sheetName val="Controle"/>
      <sheetName val="Histórico de revisões"/>
    </sheetNames>
    <sheetDataSet>
      <sheetData sheetId="0"/>
      <sheetData sheetId="1">
        <row r="6">
          <cell r="A6">
            <v>1</v>
          </cell>
          <cell r="B6" t="str">
            <v>X.TH.LV-001</v>
          </cell>
          <cell r="C6" t="str">
            <v>Barômetro Digital</v>
          </cell>
          <cell r="D6" t="str">
            <v>ELUS</v>
          </cell>
          <cell r="E6" t="str">
            <v>RBC - CAL 0439</v>
          </cell>
          <cell r="F6" t="str">
            <v>E0369B/24</v>
          </cell>
          <cell r="G6">
            <v>45559</v>
          </cell>
          <cell r="H6">
            <v>45924</v>
          </cell>
          <cell r="I6" t="str">
            <v>hPa</v>
          </cell>
          <cell r="J6">
            <v>500.04</v>
          </cell>
          <cell r="K6">
            <v>1099.1500000000001</v>
          </cell>
          <cell r="L6">
            <v>0.01</v>
          </cell>
          <cell r="M6">
            <v>0.5</v>
          </cell>
          <cell r="N6">
            <v>0.11</v>
          </cell>
          <cell r="O6">
            <v>6.9999999999993179E-2</v>
          </cell>
          <cell r="P6">
            <v>8.577388855574835E-3</v>
          </cell>
          <cell r="Q6">
            <v>3</v>
          </cell>
          <cell r="R6">
            <v>-1.6624347886143584E-9</v>
          </cell>
          <cell r="S6">
            <v>3.7566008020070642E-6</v>
          </cell>
          <cell r="T6">
            <v>0.99781207801395577</v>
          </cell>
          <cell r="U6">
            <v>-0.1364471993613201</v>
          </cell>
          <cell r="V6">
            <v>500.04</v>
          </cell>
          <cell r="W6">
            <v>0.06</v>
          </cell>
          <cell r="X6">
            <v>2</v>
          </cell>
          <cell r="Y6">
            <v>1000000</v>
          </cell>
          <cell r="Z6">
            <v>620.07000000000005</v>
          </cell>
          <cell r="AA6">
            <v>0.06</v>
          </cell>
          <cell r="AB6">
            <v>2</v>
          </cell>
          <cell r="AC6">
            <v>1000000</v>
          </cell>
          <cell r="AD6">
            <v>740.11</v>
          </cell>
          <cell r="AE6">
            <v>0.08</v>
          </cell>
          <cell r="AF6">
            <v>2</v>
          </cell>
          <cell r="AG6">
            <v>1000000</v>
          </cell>
          <cell r="AH6">
            <v>860.13</v>
          </cell>
          <cell r="AI6">
            <v>0.09</v>
          </cell>
          <cell r="AJ6">
            <v>2</v>
          </cell>
          <cell r="AK6">
            <v>1000000</v>
          </cell>
          <cell r="AL6">
            <v>980.15</v>
          </cell>
          <cell r="AM6">
            <v>0.1</v>
          </cell>
          <cell r="AN6">
            <v>2</v>
          </cell>
          <cell r="AO6">
            <v>1000000</v>
          </cell>
          <cell r="AP6">
            <v>1099.1500000000001</v>
          </cell>
          <cell r="AQ6">
            <v>0.11</v>
          </cell>
          <cell r="AR6">
            <v>2</v>
          </cell>
          <cell r="AS6">
            <v>1000000</v>
          </cell>
          <cell r="AT6" t="str">
            <v>-</v>
          </cell>
          <cell r="AU6" t="str">
            <v>-</v>
          </cell>
          <cell r="AV6" t="str">
            <v>-</v>
          </cell>
          <cell r="AW6" t="str">
            <v>-</v>
          </cell>
          <cell r="AX6" t="str">
            <v>-</v>
          </cell>
          <cell r="AY6" t="str">
            <v>-</v>
          </cell>
          <cell r="AZ6" t="str">
            <v>-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 t="str">
            <v>-</v>
          </cell>
          <cell r="BQ6" t="str">
            <v>-</v>
          </cell>
          <cell r="BR6" t="str">
            <v>-</v>
          </cell>
          <cell r="BS6" t="str">
            <v>-</v>
          </cell>
          <cell r="BT6" t="str">
            <v>-</v>
          </cell>
          <cell r="BU6" t="str">
            <v>-</v>
          </cell>
          <cell r="BV6" t="str">
            <v>-</v>
          </cell>
          <cell r="BW6" t="str">
            <v>-</v>
          </cell>
          <cell r="BX6" t="str">
            <v>-</v>
          </cell>
          <cell r="BY6" t="str">
            <v>-</v>
          </cell>
          <cell r="BZ6" t="str">
            <v>-</v>
          </cell>
          <cell r="CA6" t="str">
            <v>-</v>
          </cell>
          <cell r="CB6" t="str">
            <v>-</v>
          </cell>
          <cell r="CC6" t="str">
            <v>-</v>
          </cell>
        </row>
        <row r="7">
          <cell r="A7">
            <v>2</v>
          </cell>
          <cell r="B7" t="str">
            <v>E.PS.FS-001</v>
          </cell>
          <cell r="C7" t="str">
            <v>Barômetro Digital</v>
          </cell>
          <cell r="D7" t="str">
            <v>ELUS</v>
          </cell>
          <cell r="E7" t="str">
            <v>RBC - CAL 0439</v>
          </cell>
          <cell r="F7" t="str">
            <v>E0627/25</v>
          </cell>
          <cell r="G7">
            <v>45905</v>
          </cell>
          <cell r="H7">
            <v>46295</v>
          </cell>
          <cell r="I7" t="str">
            <v>hPa</v>
          </cell>
          <cell r="J7">
            <v>801</v>
          </cell>
          <cell r="K7">
            <v>1100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0.18420034618709938</v>
          </cell>
          <cell r="Q7">
            <v>3</v>
          </cell>
          <cell r="R7">
            <v>-2.3107083749117935E-7</v>
          </cell>
          <cell r="S7">
            <v>6.3483257297121387E-4</v>
          </cell>
          <cell r="T7">
            <v>0.42144865504733053</v>
          </cell>
          <cell r="U7">
            <v>175.88221038859828</v>
          </cell>
          <cell r="V7">
            <v>801</v>
          </cell>
          <cell r="W7">
            <v>1</v>
          </cell>
          <cell r="X7">
            <v>2</v>
          </cell>
          <cell r="Y7">
            <v>1000000</v>
          </cell>
          <cell r="Z7">
            <v>881</v>
          </cell>
          <cell r="AA7">
            <v>1</v>
          </cell>
          <cell r="AB7">
            <v>2</v>
          </cell>
          <cell r="AC7">
            <v>1000000</v>
          </cell>
          <cell r="AD7">
            <v>961</v>
          </cell>
          <cell r="AE7">
            <v>1</v>
          </cell>
          <cell r="AF7">
            <v>2</v>
          </cell>
          <cell r="AG7">
            <v>1000000</v>
          </cell>
          <cell r="AH7">
            <v>1001</v>
          </cell>
          <cell r="AI7">
            <v>1</v>
          </cell>
          <cell r="AJ7">
            <v>2</v>
          </cell>
          <cell r="AK7">
            <v>1000000</v>
          </cell>
          <cell r="AL7">
            <v>1051</v>
          </cell>
          <cell r="AM7">
            <v>1</v>
          </cell>
          <cell r="AN7">
            <v>2</v>
          </cell>
          <cell r="AO7">
            <v>1000000</v>
          </cell>
          <cell r="AP7">
            <v>1100</v>
          </cell>
          <cell r="AQ7">
            <v>1</v>
          </cell>
          <cell r="AR7">
            <v>2</v>
          </cell>
          <cell r="AS7">
            <v>1000000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 t="str">
            <v>-</v>
          </cell>
          <cell r="BQ7" t="str">
            <v>-</v>
          </cell>
          <cell r="BR7" t="str">
            <v>-</v>
          </cell>
          <cell r="BS7" t="str">
            <v>-</v>
          </cell>
          <cell r="BT7" t="str">
            <v>-</v>
          </cell>
          <cell r="BU7" t="str">
            <v>-</v>
          </cell>
          <cell r="BV7" t="str">
            <v>-</v>
          </cell>
          <cell r="BW7" t="str">
            <v>-</v>
          </cell>
          <cell r="BX7" t="str">
            <v>-</v>
          </cell>
          <cell r="BY7" t="str">
            <v>-</v>
          </cell>
          <cell r="BZ7" t="str">
            <v>-</v>
          </cell>
          <cell r="CA7" t="str">
            <v>-</v>
          </cell>
          <cell r="CB7" t="str">
            <v>-</v>
          </cell>
          <cell r="CC7" t="str">
            <v>-</v>
          </cell>
        </row>
        <row r="8">
          <cell r="A8">
            <v>3</v>
          </cell>
          <cell r="B8" t="str">
            <v>E.PS.FS-002</v>
          </cell>
          <cell r="C8" t="str">
            <v>Barômetro Digital</v>
          </cell>
          <cell r="D8" t="str">
            <v>Elus</v>
          </cell>
          <cell r="E8" t="str">
            <v>RBC - CAL 0439</v>
          </cell>
          <cell r="F8" t="str">
            <v>E0652/25</v>
          </cell>
          <cell r="G8">
            <v>45917</v>
          </cell>
          <cell r="H8">
            <v>46295</v>
          </cell>
          <cell r="I8" t="str">
            <v>hPa</v>
          </cell>
          <cell r="J8">
            <v>799.9</v>
          </cell>
          <cell r="K8">
            <v>1050</v>
          </cell>
          <cell r="L8">
            <v>0.1</v>
          </cell>
          <cell r="M8">
            <v>1.7999999999999545</v>
          </cell>
          <cell r="N8">
            <v>0.3</v>
          </cell>
          <cell r="O8">
            <v>0.29999999999995453</v>
          </cell>
          <cell r="P8">
            <v>3.9848709513484896E-2</v>
          </cell>
          <cell r="Q8">
            <v>3</v>
          </cell>
          <cell r="R8">
            <v>1.9799577877805459E-7</v>
          </cell>
          <cell r="S8">
            <v>-5.2199501064470032E-4</v>
          </cell>
          <cell r="T8">
            <v>1.447998793731057</v>
          </cell>
          <cell r="U8">
            <v>-123.89991714488653</v>
          </cell>
          <cell r="V8">
            <v>799.9</v>
          </cell>
          <cell r="W8">
            <v>0.3</v>
          </cell>
          <cell r="X8">
            <v>2</v>
          </cell>
          <cell r="Y8">
            <v>1000000</v>
          </cell>
          <cell r="Z8">
            <v>849.9</v>
          </cell>
          <cell r="AA8">
            <v>0.3</v>
          </cell>
          <cell r="AB8">
            <v>2</v>
          </cell>
          <cell r="AC8">
            <v>1000000</v>
          </cell>
          <cell r="AD8">
            <v>899.9</v>
          </cell>
          <cell r="AE8">
            <v>0.3</v>
          </cell>
          <cell r="AF8">
            <v>2</v>
          </cell>
          <cell r="AG8">
            <v>1000000</v>
          </cell>
          <cell r="AH8">
            <v>929.9</v>
          </cell>
          <cell r="AI8">
            <v>0.3</v>
          </cell>
          <cell r="AJ8">
            <v>2</v>
          </cell>
          <cell r="AK8">
            <v>1000000</v>
          </cell>
          <cell r="AL8">
            <v>949.9</v>
          </cell>
          <cell r="AM8">
            <v>0.3</v>
          </cell>
          <cell r="AN8">
            <v>2</v>
          </cell>
          <cell r="AO8">
            <v>1000000</v>
          </cell>
          <cell r="AP8">
            <v>999.9</v>
          </cell>
          <cell r="AQ8">
            <v>0.3</v>
          </cell>
          <cell r="AR8">
            <v>2</v>
          </cell>
          <cell r="AS8">
            <v>1000000</v>
          </cell>
          <cell r="AT8">
            <v>1050</v>
          </cell>
          <cell r="AU8">
            <v>0.3</v>
          </cell>
          <cell r="AV8">
            <v>2</v>
          </cell>
          <cell r="AW8">
            <v>1000000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 t="str">
            <v>-</v>
          </cell>
          <cell r="BQ8" t="str">
            <v>-</v>
          </cell>
          <cell r="BR8" t="str">
            <v>-</v>
          </cell>
          <cell r="BS8" t="str">
            <v>-</v>
          </cell>
          <cell r="BT8" t="str">
            <v>-</v>
          </cell>
          <cell r="BU8" t="str">
            <v>-</v>
          </cell>
          <cell r="BV8" t="str">
            <v>-</v>
          </cell>
          <cell r="BW8" t="str">
            <v>-</v>
          </cell>
          <cell r="BX8" t="str">
            <v>-</v>
          </cell>
          <cell r="BY8" t="str">
            <v>-</v>
          </cell>
          <cell r="BZ8" t="str">
            <v>-</v>
          </cell>
          <cell r="CA8" t="str">
            <v>-</v>
          </cell>
          <cell r="CB8" t="str">
            <v>-</v>
          </cell>
          <cell r="CC8" t="str">
            <v>-</v>
          </cell>
        </row>
        <row r="9">
          <cell r="A9">
            <v>4</v>
          </cell>
          <cell r="B9" t="str">
            <v>EL-193</v>
          </cell>
          <cell r="C9" t="str">
            <v>Barômetro Digital</v>
          </cell>
          <cell r="D9" t="str">
            <v>CTA</v>
          </cell>
          <cell r="E9" t="str">
            <v>RBC - CAL 0001</v>
          </cell>
          <cell r="F9" t="str">
            <v>MF-P 747/23</v>
          </cell>
          <cell r="G9">
            <v>45254</v>
          </cell>
          <cell r="H9">
            <v>45991</v>
          </cell>
          <cell r="I9" t="str">
            <v>hPa</v>
          </cell>
          <cell r="J9">
            <v>498.88299999999998</v>
          </cell>
          <cell r="K9">
            <v>1099.655</v>
          </cell>
          <cell r="L9">
            <v>0.01</v>
          </cell>
          <cell r="M9">
            <v>0.15700000000003911</v>
          </cell>
          <cell r="N9">
            <v>0.05</v>
          </cell>
          <cell r="O9">
            <v>0.10450000000003001</v>
          </cell>
          <cell r="P9">
            <v>7.8008194168222361E-3</v>
          </cell>
          <cell r="Q9">
            <v>3</v>
          </cell>
          <cell r="R9">
            <v>-5.7637750888708536E-10</v>
          </cell>
          <cell r="S9">
            <v>1.3503379454848327E-6</v>
          </cell>
          <cell r="T9">
            <v>0.99915590867238524</v>
          </cell>
          <cell r="U9">
            <v>-2.4334906636035436E-3</v>
          </cell>
          <cell r="V9">
            <v>498.88299999999998</v>
          </cell>
          <cell r="W9">
            <v>0.05</v>
          </cell>
          <cell r="X9">
            <v>2</v>
          </cell>
          <cell r="Y9">
            <v>1000000</v>
          </cell>
          <cell r="Z9">
            <v>598.04499999999996</v>
          </cell>
          <cell r="AA9">
            <v>0.05</v>
          </cell>
          <cell r="AB9">
            <v>2</v>
          </cell>
          <cell r="AC9">
            <v>1000000</v>
          </cell>
          <cell r="AD9">
            <v>697.18899999999996</v>
          </cell>
          <cell r="AE9">
            <v>0.05</v>
          </cell>
          <cell r="AF9">
            <v>2</v>
          </cell>
          <cell r="AG9">
            <v>1000000</v>
          </cell>
          <cell r="AH9">
            <v>799.26</v>
          </cell>
          <cell r="AI9">
            <v>0.05</v>
          </cell>
          <cell r="AJ9">
            <v>2</v>
          </cell>
          <cell r="AK9">
            <v>1000000</v>
          </cell>
          <cell r="AL9">
            <v>898.42600000000004</v>
          </cell>
          <cell r="AM9">
            <v>0.05</v>
          </cell>
          <cell r="AN9">
            <v>2</v>
          </cell>
          <cell r="AO9">
            <v>1000000</v>
          </cell>
          <cell r="AP9">
            <v>997.58100000000002</v>
          </cell>
          <cell r="AQ9">
            <v>0.05</v>
          </cell>
          <cell r="AR9">
            <v>2</v>
          </cell>
          <cell r="AS9">
            <v>1000000</v>
          </cell>
          <cell r="AT9">
            <v>1099.655</v>
          </cell>
          <cell r="AU9">
            <v>0.05</v>
          </cell>
          <cell r="AV9">
            <v>2</v>
          </cell>
          <cell r="AW9">
            <v>1000000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 t="str">
            <v>-</v>
          </cell>
          <cell r="BQ9" t="str">
            <v>-</v>
          </cell>
          <cell r="BR9" t="str">
            <v>-</v>
          </cell>
          <cell r="BS9" t="str">
            <v>-</v>
          </cell>
          <cell r="BT9" t="str">
            <v>-</v>
          </cell>
          <cell r="BU9" t="str">
            <v>-</v>
          </cell>
          <cell r="BV9" t="str">
            <v>-</v>
          </cell>
          <cell r="BW9" t="str">
            <v>-</v>
          </cell>
          <cell r="BX9" t="str">
            <v>-</v>
          </cell>
          <cell r="BY9" t="str">
            <v>-</v>
          </cell>
          <cell r="BZ9" t="str">
            <v>-</v>
          </cell>
          <cell r="CA9" t="str">
            <v>-</v>
          </cell>
          <cell r="CB9" t="str">
            <v>-</v>
          </cell>
          <cell r="CC9" t="str">
            <v>-</v>
          </cell>
        </row>
        <row r="10">
          <cell r="A10">
            <v>5</v>
          </cell>
          <cell r="B10" t="str">
            <v>E.PS.FS-008</v>
          </cell>
          <cell r="C10" t="str">
            <v>Barômetro Digital</v>
          </cell>
          <cell r="D10" t="str">
            <v>ELUS</v>
          </cell>
          <cell r="E10" t="str">
            <v>RBC - CAL 0439</v>
          </cell>
          <cell r="F10" t="str">
            <v>E0047/26</v>
          </cell>
          <cell r="G10">
            <v>46055</v>
          </cell>
          <cell r="H10">
            <v>46446</v>
          </cell>
          <cell r="I10" t="str">
            <v>hPa</v>
          </cell>
          <cell r="J10">
            <v>501.5</v>
          </cell>
          <cell r="K10">
            <v>1097</v>
          </cell>
          <cell r="L10">
            <v>0.1</v>
          </cell>
          <cell r="M10">
            <v>2</v>
          </cell>
          <cell r="N10">
            <v>0.2</v>
          </cell>
          <cell r="O10">
            <v>0.5</v>
          </cell>
          <cell r="P10">
            <v>7.1520873773438978E-2</v>
          </cell>
          <cell r="Q10">
            <v>3</v>
          </cell>
          <cell r="R10">
            <v>-5.766069411478351E-9</v>
          </cell>
          <cell r="S10">
            <v>1.4816257133856974E-5</v>
          </cell>
          <cell r="T10">
            <v>0.98712395388569296</v>
          </cell>
          <cell r="U10">
            <v>1.868799295868004</v>
          </cell>
          <cell r="V10">
            <v>501.5</v>
          </cell>
          <cell r="W10">
            <v>0.2</v>
          </cell>
          <cell r="X10">
            <v>2</v>
          </cell>
          <cell r="Y10">
            <v>1000000</v>
          </cell>
          <cell r="Z10">
            <v>550.20000000000005</v>
          </cell>
          <cell r="AA10">
            <v>0.2</v>
          </cell>
          <cell r="AB10">
            <v>2</v>
          </cell>
          <cell r="AC10">
            <v>1000000</v>
          </cell>
          <cell r="AD10">
            <v>600.20000000000005</v>
          </cell>
          <cell r="AE10">
            <v>0.2</v>
          </cell>
          <cell r="AF10">
            <v>2</v>
          </cell>
          <cell r="AG10">
            <v>1000000</v>
          </cell>
          <cell r="AH10">
            <v>650.1</v>
          </cell>
          <cell r="AI10">
            <v>0.2</v>
          </cell>
          <cell r="AJ10">
            <v>2</v>
          </cell>
          <cell r="AK10">
            <v>1000000</v>
          </cell>
          <cell r="AL10">
            <v>700.2</v>
          </cell>
          <cell r="AM10">
            <v>0.2</v>
          </cell>
          <cell r="AN10">
            <v>2</v>
          </cell>
          <cell r="AO10">
            <v>1000000</v>
          </cell>
          <cell r="AP10">
            <v>750.2</v>
          </cell>
          <cell r="AQ10">
            <v>0.2</v>
          </cell>
          <cell r="AR10">
            <v>2</v>
          </cell>
          <cell r="AS10">
            <v>1000000</v>
          </cell>
          <cell r="AT10">
            <v>800.1</v>
          </cell>
          <cell r="AU10">
            <v>0.2</v>
          </cell>
          <cell r="AV10">
            <v>2</v>
          </cell>
          <cell r="AW10">
            <v>1000000</v>
          </cell>
          <cell r="AX10">
            <v>850.1</v>
          </cell>
          <cell r="AY10">
            <v>0.2</v>
          </cell>
          <cell r="AZ10">
            <v>2</v>
          </cell>
          <cell r="BA10">
            <v>1000000</v>
          </cell>
          <cell r="BB10">
            <v>900.1</v>
          </cell>
          <cell r="BC10">
            <v>0.2</v>
          </cell>
          <cell r="BD10">
            <v>2</v>
          </cell>
          <cell r="BE10">
            <v>1000000</v>
          </cell>
          <cell r="BF10">
            <v>950</v>
          </cell>
          <cell r="BG10">
            <v>0.2</v>
          </cell>
          <cell r="BH10">
            <v>2</v>
          </cell>
          <cell r="BI10">
            <v>1000000</v>
          </cell>
          <cell r="BJ10">
            <v>1000</v>
          </cell>
          <cell r="BK10">
            <v>0.2</v>
          </cell>
          <cell r="BL10">
            <v>2</v>
          </cell>
          <cell r="BM10">
            <v>1000000</v>
          </cell>
          <cell r="BN10">
            <v>1050</v>
          </cell>
          <cell r="BO10">
            <v>0.2</v>
          </cell>
          <cell r="BP10">
            <v>2</v>
          </cell>
          <cell r="BQ10">
            <v>1000000</v>
          </cell>
          <cell r="BR10">
            <v>1097</v>
          </cell>
          <cell r="BS10">
            <v>0.2</v>
          </cell>
          <cell r="BT10">
            <v>2</v>
          </cell>
          <cell r="BU10">
            <v>1000000</v>
          </cell>
          <cell r="BV10" t="str">
            <v>-</v>
          </cell>
          <cell r="BW10" t="str">
            <v>-</v>
          </cell>
          <cell r="BX10" t="str">
            <v>-</v>
          </cell>
          <cell r="BY10" t="str">
            <v>-</v>
          </cell>
          <cell r="BZ10" t="str">
            <v>-</v>
          </cell>
          <cell r="CA10" t="str">
            <v>-</v>
          </cell>
          <cell r="CB10" t="str">
            <v>-</v>
          </cell>
          <cell r="CC10" t="str">
            <v>-</v>
          </cell>
        </row>
        <row r="11">
          <cell r="A11">
            <v>6</v>
          </cell>
          <cell r="B11" t="str">
            <v>E.PS.FS-009</v>
          </cell>
          <cell r="C11" t="str">
            <v>Barômetro Digital</v>
          </cell>
          <cell r="D11" t="str">
            <v>ELUS</v>
          </cell>
          <cell r="E11" t="str">
            <v>RBC - CAL 0439</v>
          </cell>
          <cell r="F11" t="str">
            <v>E0094/26</v>
          </cell>
          <cell r="G11">
            <v>46071</v>
          </cell>
          <cell r="H11">
            <v>46446</v>
          </cell>
          <cell r="I11" t="str">
            <v>hPa</v>
          </cell>
          <cell r="J11">
            <v>500</v>
          </cell>
          <cell r="K11">
            <v>1099.9000000000001</v>
          </cell>
          <cell r="L11">
            <v>0.1</v>
          </cell>
          <cell r="M11">
            <v>0.10000000000002274</v>
          </cell>
          <cell r="N11">
            <v>0.3</v>
          </cell>
          <cell r="O11">
            <v>0.5</v>
          </cell>
          <cell r="P11">
            <v>3.8627956095552779E-2</v>
          </cell>
          <cell r="Q11">
            <v>3</v>
          </cell>
          <cell r="R11">
            <v>-2.3310023309462804E-10</v>
          </cell>
          <cell r="S11">
            <v>8.9910089908734612E-7</v>
          </cell>
          <cell r="T11">
            <v>0.99883674658675758</v>
          </cell>
          <cell r="U11">
            <v>0.40109890109578289</v>
          </cell>
          <cell r="V11">
            <v>500</v>
          </cell>
          <cell r="W11">
            <v>0.3</v>
          </cell>
          <cell r="X11">
            <v>2</v>
          </cell>
          <cell r="Y11">
            <v>1000000</v>
          </cell>
          <cell r="Z11">
            <v>550</v>
          </cell>
          <cell r="AA11">
            <v>0.3</v>
          </cell>
          <cell r="AB11">
            <v>2</v>
          </cell>
          <cell r="AC11">
            <v>1000000</v>
          </cell>
          <cell r="AD11">
            <v>600</v>
          </cell>
          <cell r="AE11">
            <v>0.3</v>
          </cell>
          <cell r="AF11">
            <v>2</v>
          </cell>
          <cell r="AG11">
            <v>1000000</v>
          </cell>
          <cell r="AH11">
            <v>650</v>
          </cell>
          <cell r="AI11">
            <v>0.3</v>
          </cell>
          <cell r="AJ11">
            <v>2</v>
          </cell>
          <cell r="AK11">
            <v>1000000</v>
          </cell>
          <cell r="AL11">
            <v>699.9</v>
          </cell>
          <cell r="AM11">
            <v>0.3</v>
          </cell>
          <cell r="AN11">
            <v>2</v>
          </cell>
          <cell r="AO11">
            <v>1000000</v>
          </cell>
          <cell r="AP11">
            <v>749.9</v>
          </cell>
          <cell r="AQ11">
            <v>0.3</v>
          </cell>
          <cell r="AR11">
            <v>2</v>
          </cell>
          <cell r="AS11">
            <v>1000000</v>
          </cell>
          <cell r="AT11">
            <v>799.9</v>
          </cell>
          <cell r="AU11">
            <v>0.3</v>
          </cell>
          <cell r="AV11">
            <v>2</v>
          </cell>
          <cell r="AW11">
            <v>1000000</v>
          </cell>
          <cell r="AX11">
            <v>850</v>
          </cell>
          <cell r="AY11">
            <v>0.3</v>
          </cell>
          <cell r="AZ11">
            <v>2</v>
          </cell>
          <cell r="BA11">
            <v>1000000</v>
          </cell>
          <cell r="BB11">
            <v>899.9</v>
          </cell>
          <cell r="BC11">
            <v>0.3</v>
          </cell>
          <cell r="BD11">
            <v>2</v>
          </cell>
          <cell r="BE11">
            <v>1000000</v>
          </cell>
          <cell r="BF11">
            <v>949.9</v>
          </cell>
          <cell r="BG11">
            <v>0.3</v>
          </cell>
          <cell r="BH11">
            <v>2</v>
          </cell>
          <cell r="BI11">
            <v>1000000</v>
          </cell>
          <cell r="BJ11">
            <v>999.9</v>
          </cell>
          <cell r="BK11">
            <v>0.3</v>
          </cell>
          <cell r="BL11">
            <v>2</v>
          </cell>
          <cell r="BM11">
            <v>1000000</v>
          </cell>
          <cell r="BN11">
            <v>1049.9000000000001</v>
          </cell>
          <cell r="BO11">
            <v>0.3</v>
          </cell>
          <cell r="BP11">
            <v>2</v>
          </cell>
          <cell r="BQ11">
            <v>1000000</v>
          </cell>
          <cell r="BR11">
            <v>1099.9000000000001</v>
          </cell>
          <cell r="BS11">
            <v>0.3</v>
          </cell>
          <cell r="BT11">
            <v>2</v>
          </cell>
          <cell r="BU11">
            <v>1000000</v>
          </cell>
          <cell r="BV11" t="str">
            <v>-</v>
          </cell>
          <cell r="BW11" t="str">
            <v>-</v>
          </cell>
          <cell r="BX11" t="str">
            <v>-</v>
          </cell>
          <cell r="BY11" t="str">
            <v>-</v>
          </cell>
          <cell r="BZ11" t="str">
            <v>-</v>
          </cell>
          <cell r="CA11" t="str">
            <v>-</v>
          </cell>
          <cell r="CB11" t="str">
            <v>-</v>
          </cell>
          <cell r="CC11" t="str">
            <v>-</v>
          </cell>
        </row>
        <row r="12">
          <cell r="A12">
            <v>7</v>
          </cell>
          <cell r="B12" t="str">
            <v>E.PS.FS-003</v>
          </cell>
          <cell r="C12" t="str">
            <v>Barômetro Digital</v>
          </cell>
          <cell r="D12" t="str">
            <v>ELUS</v>
          </cell>
          <cell r="E12" t="str">
            <v>RBC - CAL 0439</v>
          </cell>
          <cell r="F12" t="str">
            <v>E0817/25</v>
          </cell>
          <cell r="G12">
            <v>45979</v>
          </cell>
          <cell r="H12">
            <v>46356</v>
          </cell>
          <cell r="I12" t="str">
            <v>hPa</v>
          </cell>
          <cell r="J12">
            <v>751</v>
          </cell>
          <cell r="K12">
            <v>1090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0.51015593864270925</v>
          </cell>
          <cell r="Q12">
            <v>3</v>
          </cell>
          <cell r="R12">
            <v>-8.126174011416944E-8</v>
          </cell>
          <cell r="S12">
            <v>2.299535861664254E-4</v>
          </cell>
          <cell r="T12">
            <v>0.78300602246735751</v>
          </cell>
          <cell r="U12">
            <v>68.454917371203081</v>
          </cell>
          <cell r="V12">
            <v>751</v>
          </cell>
          <cell r="W12">
            <v>1</v>
          </cell>
          <cell r="X12">
            <v>2</v>
          </cell>
          <cell r="Y12">
            <v>1000000</v>
          </cell>
          <cell r="Z12">
            <v>800</v>
          </cell>
          <cell r="AA12">
            <v>1</v>
          </cell>
          <cell r="AB12">
            <v>2</v>
          </cell>
          <cell r="AC12">
            <v>1000000</v>
          </cell>
          <cell r="AD12">
            <v>850</v>
          </cell>
          <cell r="AE12">
            <v>1</v>
          </cell>
          <cell r="AF12">
            <v>2</v>
          </cell>
          <cell r="AG12">
            <v>1000000</v>
          </cell>
          <cell r="AH12">
            <v>901</v>
          </cell>
          <cell r="AI12">
            <v>1</v>
          </cell>
          <cell r="AJ12">
            <v>2</v>
          </cell>
          <cell r="AK12">
            <v>1000000</v>
          </cell>
          <cell r="AL12">
            <v>950</v>
          </cell>
          <cell r="AM12">
            <v>1</v>
          </cell>
          <cell r="AN12">
            <v>2</v>
          </cell>
          <cell r="AO12">
            <v>1000000</v>
          </cell>
          <cell r="AP12">
            <v>1000</v>
          </cell>
          <cell r="AQ12">
            <v>1</v>
          </cell>
          <cell r="AR12">
            <v>2</v>
          </cell>
          <cell r="AS12">
            <v>1000000</v>
          </cell>
          <cell r="AT12">
            <v>1010</v>
          </cell>
          <cell r="AU12">
            <v>1</v>
          </cell>
          <cell r="AV12">
            <v>2</v>
          </cell>
          <cell r="AW12">
            <v>1000000</v>
          </cell>
          <cell r="AX12">
            <v>1090</v>
          </cell>
          <cell r="AY12">
            <v>1</v>
          </cell>
          <cell r="AZ12">
            <v>2</v>
          </cell>
          <cell r="BA12">
            <v>1000000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  <cell r="BP12" t="str">
            <v>-</v>
          </cell>
          <cell r="BQ12" t="str">
            <v>-</v>
          </cell>
          <cell r="BR12" t="str">
            <v>-</v>
          </cell>
          <cell r="BS12" t="str">
            <v>-</v>
          </cell>
          <cell r="BT12" t="str">
            <v>-</v>
          </cell>
          <cell r="BU12" t="str">
            <v>-</v>
          </cell>
          <cell r="BV12" t="str">
            <v>-</v>
          </cell>
          <cell r="BW12" t="str">
            <v>-</v>
          </cell>
          <cell r="BX12" t="str">
            <v>-</v>
          </cell>
          <cell r="BY12" t="str">
            <v>-</v>
          </cell>
          <cell r="BZ12" t="str">
            <v>-</v>
          </cell>
          <cell r="CA12" t="str">
            <v>-</v>
          </cell>
          <cell r="CB12" t="str">
            <v>-</v>
          </cell>
          <cell r="CC12" t="str">
            <v>-</v>
          </cell>
        </row>
        <row r="13">
          <cell r="A13">
            <v>8</v>
          </cell>
          <cell r="B13" t="str">
            <v>E.TH.LP-001</v>
          </cell>
          <cell r="C13" t="str">
            <v>Barômetro Digital</v>
          </cell>
          <cell r="D13" t="str">
            <v>Elus</v>
          </cell>
          <cell r="E13" t="str">
            <v>RBC - CAL 0439</v>
          </cell>
          <cell r="F13" t="str">
            <v>E0396B/25</v>
          </cell>
          <cell r="G13">
            <v>45822</v>
          </cell>
          <cell r="H13">
            <v>46203</v>
          </cell>
          <cell r="I13" t="str">
            <v>hPa</v>
          </cell>
          <cell r="J13">
            <v>910</v>
          </cell>
          <cell r="K13">
            <v>950</v>
          </cell>
          <cell r="L13">
            <v>0.1</v>
          </cell>
          <cell r="M13">
            <v>0</v>
          </cell>
          <cell r="N13">
            <v>0.2</v>
          </cell>
          <cell r="O13">
            <v>0</v>
          </cell>
          <cell r="P13">
            <v>0</v>
          </cell>
          <cell r="Q13">
            <v>1</v>
          </cell>
          <cell r="R13">
            <v>0</v>
          </cell>
          <cell r="S13">
            <v>0</v>
          </cell>
          <cell r="T13">
            <v>1.0000000000000002</v>
          </cell>
          <cell r="U13">
            <v>-2.2737367544323206E-13</v>
          </cell>
          <cell r="V13">
            <v>910</v>
          </cell>
          <cell r="W13">
            <v>0.2</v>
          </cell>
          <cell r="X13">
            <v>2</v>
          </cell>
          <cell r="Y13">
            <v>1000000</v>
          </cell>
          <cell r="Z13">
            <v>930</v>
          </cell>
          <cell r="AA13">
            <v>0.2</v>
          </cell>
          <cell r="AB13">
            <v>2</v>
          </cell>
          <cell r="AC13">
            <v>1000000</v>
          </cell>
          <cell r="AD13">
            <v>950</v>
          </cell>
          <cell r="AE13">
            <v>0.2</v>
          </cell>
          <cell r="AF13">
            <v>2</v>
          </cell>
          <cell r="AG13">
            <v>1000000</v>
          </cell>
          <cell r="AH13" t="str">
            <v>-</v>
          </cell>
          <cell r="AI13" t="str">
            <v>-</v>
          </cell>
          <cell r="AJ13" t="str">
            <v>-</v>
          </cell>
          <cell r="AK13" t="str">
            <v>-</v>
          </cell>
          <cell r="AL13" t="str">
            <v>-</v>
          </cell>
          <cell r="AM13" t="str">
            <v>-</v>
          </cell>
          <cell r="AN13" t="str">
            <v>-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 t="str">
            <v>-</v>
          </cell>
          <cell r="BQ13" t="str">
            <v>-</v>
          </cell>
          <cell r="BR13" t="str">
            <v>-</v>
          </cell>
          <cell r="BS13" t="str">
            <v>-</v>
          </cell>
          <cell r="BT13" t="str">
            <v>-</v>
          </cell>
          <cell r="BU13" t="str">
            <v>-</v>
          </cell>
          <cell r="BV13" t="str">
            <v>-</v>
          </cell>
          <cell r="BW13" t="str">
            <v>-</v>
          </cell>
          <cell r="BX13" t="str">
            <v>-</v>
          </cell>
          <cell r="BY13" t="str">
            <v>-</v>
          </cell>
          <cell r="BZ13" t="str">
            <v>-</v>
          </cell>
          <cell r="CA13" t="str">
            <v>-</v>
          </cell>
          <cell r="CB13" t="str">
            <v>-</v>
          </cell>
          <cell r="CC13" t="str">
            <v>-</v>
          </cell>
        </row>
        <row r="14">
          <cell r="A14">
            <v>9</v>
          </cell>
          <cell r="B14" t="str">
            <v>E.TH.LQ-001</v>
          </cell>
          <cell r="C14" t="str">
            <v>Barômetro Digital</v>
          </cell>
          <cell r="D14" t="str">
            <v>Elus</v>
          </cell>
          <cell r="E14" t="str">
            <v>RBC - CAL 0439</v>
          </cell>
          <cell r="F14" t="str">
            <v>E0397B/25</v>
          </cell>
          <cell r="G14">
            <v>45822</v>
          </cell>
          <cell r="H14">
            <v>46203</v>
          </cell>
          <cell r="I14" t="str">
            <v>hPa</v>
          </cell>
          <cell r="J14">
            <v>910.1</v>
          </cell>
          <cell r="K14">
            <v>950.2</v>
          </cell>
          <cell r="L14">
            <v>0.1</v>
          </cell>
          <cell r="M14">
            <v>0.20000000000004547</v>
          </cell>
          <cell r="N14">
            <v>0.2</v>
          </cell>
          <cell r="O14">
            <v>0.5</v>
          </cell>
          <cell r="P14">
            <v>0</v>
          </cell>
          <cell r="Q14">
            <v>1</v>
          </cell>
          <cell r="R14">
            <v>0</v>
          </cell>
          <cell r="S14">
            <v>0</v>
          </cell>
          <cell r="T14">
            <v>1.0025000000000008</v>
          </cell>
          <cell r="U14">
            <v>-2.1916666666674018</v>
          </cell>
          <cell r="V14">
            <v>910.1</v>
          </cell>
          <cell r="W14">
            <v>0.2</v>
          </cell>
          <cell r="X14">
            <v>2</v>
          </cell>
          <cell r="Y14">
            <v>1000000</v>
          </cell>
          <cell r="Z14">
            <v>930.1</v>
          </cell>
          <cell r="AA14">
            <v>0.2</v>
          </cell>
          <cell r="AB14">
            <v>2</v>
          </cell>
          <cell r="AC14">
            <v>1000000</v>
          </cell>
          <cell r="AD14">
            <v>950.2</v>
          </cell>
          <cell r="AE14">
            <v>0.2</v>
          </cell>
          <cell r="AF14">
            <v>2</v>
          </cell>
          <cell r="AG14">
            <v>1000000</v>
          </cell>
          <cell r="AH14" t="str">
            <v>-</v>
          </cell>
          <cell r="AI14" t="str">
            <v>-</v>
          </cell>
          <cell r="AJ14" t="str">
            <v>-</v>
          </cell>
          <cell r="AK14" t="str">
            <v>-</v>
          </cell>
          <cell r="AL14" t="str">
            <v>-</v>
          </cell>
          <cell r="AM14" t="str">
            <v>-</v>
          </cell>
          <cell r="AN14" t="str">
            <v>-</v>
          </cell>
          <cell r="AO14" t="str">
            <v>-</v>
          </cell>
          <cell r="AP14" t="str">
            <v>-</v>
          </cell>
          <cell r="AQ14" t="str">
            <v>-</v>
          </cell>
          <cell r="AR14" t="str">
            <v>-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-</v>
          </cell>
          <cell r="AY14" t="str">
            <v>-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 t="str">
            <v>-</v>
          </cell>
          <cell r="BQ14" t="str">
            <v>-</v>
          </cell>
          <cell r="BR14" t="str">
            <v>-</v>
          </cell>
          <cell r="BS14" t="str">
            <v>-</v>
          </cell>
          <cell r="BT14" t="str">
            <v>-</v>
          </cell>
          <cell r="BU14" t="str">
            <v>-</v>
          </cell>
          <cell r="BV14" t="str">
            <v>-</v>
          </cell>
          <cell r="BW14" t="str">
            <v>-</v>
          </cell>
          <cell r="BX14" t="str">
            <v>-</v>
          </cell>
          <cell r="BY14" t="str">
            <v>-</v>
          </cell>
          <cell r="BZ14" t="str">
            <v>-</v>
          </cell>
          <cell r="CA14" t="str">
            <v>-</v>
          </cell>
          <cell r="CB14" t="str">
            <v>-</v>
          </cell>
          <cell r="CC14" t="str">
            <v>-</v>
          </cell>
        </row>
        <row r="15">
          <cell r="A15">
            <v>10</v>
          </cell>
          <cell r="B15" t="str">
            <v>E.TH.LQ-002</v>
          </cell>
          <cell r="C15" t="str">
            <v>Barômetro Digital</v>
          </cell>
          <cell r="D15" t="str">
            <v>Elus</v>
          </cell>
          <cell r="E15" t="str">
            <v>RBC - CAL 0439</v>
          </cell>
          <cell r="F15" t="str">
            <v>E0398B/25</v>
          </cell>
          <cell r="G15">
            <v>45822</v>
          </cell>
          <cell r="H15">
            <v>46203</v>
          </cell>
          <cell r="I15" t="str">
            <v>hPa</v>
          </cell>
          <cell r="J15">
            <v>910</v>
          </cell>
          <cell r="K15">
            <v>950</v>
          </cell>
          <cell r="L15">
            <v>0.1</v>
          </cell>
          <cell r="M15">
            <v>0</v>
          </cell>
          <cell r="N15">
            <v>0.2</v>
          </cell>
          <cell r="O15">
            <v>0</v>
          </cell>
          <cell r="P15">
            <v>0</v>
          </cell>
          <cell r="Q15">
            <v>1</v>
          </cell>
          <cell r="R15">
            <v>0</v>
          </cell>
          <cell r="S15">
            <v>0</v>
          </cell>
          <cell r="T15">
            <v>1.0000000000000002</v>
          </cell>
          <cell r="U15">
            <v>-2.2737367544323206E-13</v>
          </cell>
          <cell r="V15">
            <v>910</v>
          </cell>
          <cell r="W15">
            <v>0.2</v>
          </cell>
          <cell r="X15">
            <v>2</v>
          </cell>
          <cell r="Y15">
            <v>1000000</v>
          </cell>
          <cell r="Z15">
            <v>930</v>
          </cell>
          <cell r="AA15">
            <v>0.2</v>
          </cell>
          <cell r="AB15">
            <v>2</v>
          </cell>
          <cell r="AC15">
            <v>1000000</v>
          </cell>
          <cell r="AD15">
            <v>950</v>
          </cell>
          <cell r="AE15">
            <v>0.2</v>
          </cell>
          <cell r="AF15">
            <v>2</v>
          </cell>
          <cell r="AG15">
            <v>1000000</v>
          </cell>
          <cell r="AH15" t="str">
            <v>-</v>
          </cell>
          <cell r="AI15" t="str">
            <v>-</v>
          </cell>
          <cell r="AJ15" t="str">
            <v>-</v>
          </cell>
          <cell r="AK15" t="str">
            <v>-</v>
          </cell>
          <cell r="AL15" t="str">
            <v>-</v>
          </cell>
          <cell r="AM15" t="str">
            <v>-</v>
          </cell>
          <cell r="AN15" t="str">
            <v>-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-</v>
          </cell>
          <cell r="AY15" t="str">
            <v>-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 t="str">
            <v>-</v>
          </cell>
          <cell r="BQ15" t="str">
            <v>-</v>
          </cell>
          <cell r="BR15" t="str">
            <v>-</v>
          </cell>
          <cell r="BS15" t="str">
            <v>-</v>
          </cell>
          <cell r="BT15" t="str">
            <v>-</v>
          </cell>
          <cell r="BU15" t="str">
            <v>-</v>
          </cell>
          <cell r="BV15" t="str">
            <v>-</v>
          </cell>
          <cell r="BW15" t="str">
            <v>-</v>
          </cell>
          <cell r="BX15" t="str">
            <v>-</v>
          </cell>
          <cell r="BY15" t="str">
            <v>-</v>
          </cell>
          <cell r="BZ15" t="str">
            <v>-</v>
          </cell>
          <cell r="CA15" t="str">
            <v>-</v>
          </cell>
          <cell r="CB15" t="str">
            <v>-</v>
          </cell>
          <cell r="CC15" t="str">
            <v>-</v>
          </cell>
        </row>
        <row r="16">
          <cell r="A16">
            <v>11</v>
          </cell>
          <cell r="B16" t="str">
            <v>E.TH.LV-002</v>
          </cell>
          <cell r="C16" t="str">
            <v>Barômetro Digital</v>
          </cell>
          <cell r="D16" t="str">
            <v>Elus</v>
          </cell>
          <cell r="E16" t="str">
            <v>RBC - CAL 0439</v>
          </cell>
          <cell r="F16" t="str">
            <v>E0400B/25</v>
          </cell>
          <cell r="G16">
            <v>45822</v>
          </cell>
          <cell r="H16">
            <v>46203</v>
          </cell>
          <cell r="I16" t="str">
            <v>hPa</v>
          </cell>
          <cell r="J16">
            <v>909.77</v>
          </cell>
          <cell r="K16">
            <v>949.75</v>
          </cell>
          <cell r="L16">
            <v>0.1</v>
          </cell>
          <cell r="M16">
            <v>0.25</v>
          </cell>
          <cell r="N16">
            <v>0.12</v>
          </cell>
          <cell r="O16">
            <v>0.25</v>
          </cell>
          <cell r="P16">
            <v>0</v>
          </cell>
          <cell r="Q16">
            <v>1</v>
          </cell>
          <cell r="R16">
            <v>0</v>
          </cell>
          <cell r="S16">
            <v>0</v>
          </cell>
          <cell r="T16">
            <v>0.9995000000000005</v>
          </cell>
          <cell r="U16">
            <v>0.22166666666623769</v>
          </cell>
          <cell r="V16">
            <v>909.77</v>
          </cell>
          <cell r="W16">
            <v>0.12</v>
          </cell>
          <cell r="X16">
            <v>2</v>
          </cell>
          <cell r="Y16">
            <v>1000000</v>
          </cell>
          <cell r="Z16">
            <v>929.75</v>
          </cell>
          <cell r="AA16">
            <v>0.12</v>
          </cell>
          <cell r="AB16">
            <v>2</v>
          </cell>
          <cell r="AC16">
            <v>1000000</v>
          </cell>
          <cell r="AD16">
            <v>949.75</v>
          </cell>
          <cell r="AE16">
            <v>0.12</v>
          </cell>
          <cell r="AF16">
            <v>2</v>
          </cell>
          <cell r="AG16">
            <v>1000000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 t="str">
            <v>-</v>
          </cell>
          <cell r="BQ16" t="str">
            <v>-</v>
          </cell>
          <cell r="BR16" t="str">
            <v>-</v>
          </cell>
          <cell r="BS16" t="str">
            <v>-</v>
          </cell>
          <cell r="BT16" t="str">
            <v>-</v>
          </cell>
          <cell r="BU16" t="str">
            <v>-</v>
          </cell>
          <cell r="BV16" t="str">
            <v>-</v>
          </cell>
          <cell r="BW16" t="str">
            <v>-</v>
          </cell>
          <cell r="BX16" t="str">
            <v>-</v>
          </cell>
          <cell r="BY16" t="str">
            <v>-</v>
          </cell>
          <cell r="BZ16" t="str">
            <v>-</v>
          </cell>
          <cell r="CA16" t="str">
            <v>-</v>
          </cell>
          <cell r="CB16" t="str">
            <v>-</v>
          </cell>
          <cell r="CC16" t="str">
            <v>-</v>
          </cell>
        </row>
        <row r="17">
          <cell r="A17">
            <v>12</v>
          </cell>
          <cell r="B17" t="str">
            <v>-</v>
          </cell>
          <cell r="C17" t="str">
            <v>-</v>
          </cell>
          <cell r="D17" t="str">
            <v>-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-</v>
          </cell>
          <cell r="O17" t="str">
            <v>-</v>
          </cell>
          <cell r="P17" t="str">
            <v>-</v>
          </cell>
          <cell r="Q17" t="str">
            <v>-</v>
          </cell>
          <cell r="R17" t="str">
            <v>-</v>
          </cell>
          <cell r="S17" t="str">
            <v>-</v>
          </cell>
          <cell r="T17" t="str">
            <v>-</v>
          </cell>
          <cell r="U17" t="str">
            <v>-</v>
          </cell>
          <cell r="V17" t="str">
            <v>-</v>
          </cell>
          <cell r="W17" t="str">
            <v>-</v>
          </cell>
          <cell r="X17" t="str">
            <v>-</v>
          </cell>
          <cell r="Y17" t="str">
            <v>-</v>
          </cell>
          <cell r="Z17" t="str">
            <v>-</v>
          </cell>
          <cell r="AA17" t="str">
            <v>-</v>
          </cell>
          <cell r="AB17" t="str">
            <v>-</v>
          </cell>
          <cell r="AC17" t="str">
            <v>-</v>
          </cell>
          <cell r="AD17" t="str">
            <v>-</v>
          </cell>
          <cell r="AE17" t="str">
            <v>-</v>
          </cell>
          <cell r="AF17" t="str">
            <v>-</v>
          </cell>
          <cell r="AG17" t="str">
            <v>-</v>
          </cell>
          <cell r="AH17" t="str">
            <v>-</v>
          </cell>
          <cell r="AI17" t="str">
            <v>-</v>
          </cell>
          <cell r="AJ17" t="str">
            <v>-</v>
          </cell>
          <cell r="AK17" t="str">
            <v>-</v>
          </cell>
          <cell r="AL17" t="str">
            <v>-</v>
          </cell>
          <cell r="AM17" t="str">
            <v>-</v>
          </cell>
          <cell r="AN17" t="str">
            <v>-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-</v>
          </cell>
          <cell r="AY17" t="str">
            <v>-</v>
          </cell>
          <cell r="AZ17" t="str">
            <v>-</v>
          </cell>
          <cell r="BA17" t="str">
            <v>-</v>
          </cell>
          <cell r="BB17" t="str">
            <v>-</v>
          </cell>
          <cell r="BC17" t="str">
            <v>-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 t="str">
            <v>-</v>
          </cell>
          <cell r="BQ17" t="str">
            <v>-</v>
          </cell>
          <cell r="BR17" t="str">
            <v>-</v>
          </cell>
          <cell r="BS17" t="str">
            <v>-</v>
          </cell>
          <cell r="BT17" t="str">
            <v>-</v>
          </cell>
          <cell r="BU17" t="str">
            <v>-</v>
          </cell>
          <cell r="BV17" t="str">
            <v>-</v>
          </cell>
          <cell r="BW17" t="str">
            <v>-</v>
          </cell>
          <cell r="BX17" t="str">
            <v>-</v>
          </cell>
          <cell r="BY17" t="str">
            <v>-</v>
          </cell>
          <cell r="BZ17" t="str">
            <v>-</v>
          </cell>
          <cell r="CA17" t="str">
            <v>-</v>
          </cell>
          <cell r="CB17" t="str">
            <v>-</v>
          </cell>
          <cell r="CC17" t="str">
            <v>-</v>
          </cell>
        </row>
        <row r="18">
          <cell r="A18">
            <v>13</v>
          </cell>
          <cell r="B18" t="str">
            <v>E.PS.FS-010</v>
          </cell>
          <cell r="C18" t="str">
            <v>Barômetro Digital</v>
          </cell>
          <cell r="D18" t="str">
            <v>ELUS</v>
          </cell>
          <cell r="E18" t="str">
            <v>RBC - CAL 0439</v>
          </cell>
          <cell r="F18" t="str">
            <v>E0093/26</v>
          </cell>
          <cell r="G18">
            <v>46071</v>
          </cell>
          <cell r="H18">
            <v>46446</v>
          </cell>
          <cell r="I18" t="str">
            <v>hPa</v>
          </cell>
          <cell r="J18">
            <v>501.2</v>
          </cell>
          <cell r="K18">
            <v>1099.7</v>
          </cell>
          <cell r="L18">
            <v>0.1</v>
          </cell>
          <cell r="M18">
            <v>0.29999999999995453</v>
          </cell>
          <cell r="N18">
            <v>0.3</v>
          </cell>
          <cell r="O18">
            <v>0.30000000000001137</v>
          </cell>
          <cell r="P18">
            <v>5.9721876740242867E-2</v>
          </cell>
          <cell r="Q18">
            <v>3</v>
          </cell>
          <cell r="R18">
            <v>-7.947611683699974E-9</v>
          </cell>
          <cell r="S18">
            <v>2.0081707130848176E-5</v>
          </cell>
          <cell r="T18">
            <v>0.98314025552509976</v>
          </cell>
          <cell r="U18">
            <v>4.5311683372956049</v>
          </cell>
          <cell r="V18">
            <v>501.2</v>
          </cell>
          <cell r="W18">
            <v>0.3</v>
          </cell>
          <cell r="X18">
            <v>2</v>
          </cell>
          <cell r="Y18">
            <v>1000000</v>
          </cell>
          <cell r="Z18">
            <v>549.9</v>
          </cell>
          <cell r="AA18">
            <v>0.3</v>
          </cell>
          <cell r="AB18">
            <v>2</v>
          </cell>
          <cell r="AC18">
            <v>1000000</v>
          </cell>
          <cell r="AD18">
            <v>599.9</v>
          </cell>
          <cell r="AE18">
            <v>0.3</v>
          </cell>
          <cell r="AF18">
            <v>2</v>
          </cell>
          <cell r="AG18">
            <v>1000000</v>
          </cell>
          <cell r="AH18">
            <v>649.9</v>
          </cell>
          <cell r="AI18">
            <v>0.3</v>
          </cell>
          <cell r="AJ18">
            <v>2</v>
          </cell>
          <cell r="AK18">
            <v>1000000</v>
          </cell>
          <cell r="AL18">
            <v>699.9</v>
          </cell>
          <cell r="AM18">
            <v>0.3</v>
          </cell>
          <cell r="AN18">
            <v>2</v>
          </cell>
          <cell r="AO18">
            <v>1000000</v>
          </cell>
          <cell r="AP18">
            <v>749.8</v>
          </cell>
          <cell r="AQ18">
            <v>0.3</v>
          </cell>
          <cell r="AR18">
            <v>2</v>
          </cell>
          <cell r="AS18">
            <v>1000000</v>
          </cell>
          <cell r="AT18">
            <v>799.9</v>
          </cell>
          <cell r="AU18">
            <v>0.3</v>
          </cell>
          <cell r="AV18">
            <v>2</v>
          </cell>
          <cell r="AW18">
            <v>1000000</v>
          </cell>
          <cell r="AX18">
            <v>849.8</v>
          </cell>
          <cell r="AY18">
            <v>0.3</v>
          </cell>
          <cell r="AZ18">
            <v>2</v>
          </cell>
          <cell r="BA18">
            <v>1000000</v>
          </cell>
          <cell r="BB18">
            <v>899.8</v>
          </cell>
          <cell r="BC18">
            <v>0.3</v>
          </cell>
          <cell r="BD18">
            <v>2</v>
          </cell>
          <cell r="BE18">
            <v>1000000</v>
          </cell>
          <cell r="BF18">
            <v>949.8</v>
          </cell>
          <cell r="BG18">
            <v>0.3</v>
          </cell>
          <cell r="BH18">
            <v>2</v>
          </cell>
          <cell r="BI18">
            <v>1000000</v>
          </cell>
          <cell r="BJ18">
            <v>999.8</v>
          </cell>
          <cell r="BK18">
            <v>0.3</v>
          </cell>
          <cell r="BL18">
            <v>2</v>
          </cell>
          <cell r="BM18">
            <v>1000000</v>
          </cell>
          <cell r="BN18">
            <v>1049.8</v>
          </cell>
          <cell r="BO18">
            <v>0.3</v>
          </cell>
          <cell r="BP18">
            <v>2</v>
          </cell>
          <cell r="BQ18">
            <v>1000000</v>
          </cell>
          <cell r="BR18">
            <v>1099.7</v>
          </cell>
          <cell r="BS18">
            <v>0.3</v>
          </cell>
          <cell r="BT18">
            <v>2</v>
          </cell>
          <cell r="BU18">
            <v>1000000</v>
          </cell>
          <cell r="BV18" t="str">
            <v>-</v>
          </cell>
          <cell r="BW18" t="str">
            <v>-</v>
          </cell>
          <cell r="BX18" t="str">
            <v>-</v>
          </cell>
          <cell r="BY18" t="str">
            <v>-</v>
          </cell>
          <cell r="BZ18" t="str">
            <v>-</v>
          </cell>
          <cell r="CA18" t="str">
            <v>-</v>
          </cell>
          <cell r="CB18" t="str">
            <v>-</v>
          </cell>
          <cell r="CC18" t="str">
            <v>-</v>
          </cell>
        </row>
        <row r="19">
          <cell r="A19">
            <v>14</v>
          </cell>
          <cell r="B19" t="str">
            <v>E.PS.FS-011</v>
          </cell>
          <cell r="C19" t="str">
            <v>Barômetro Digital</v>
          </cell>
          <cell r="D19" t="str">
            <v>ELUS</v>
          </cell>
          <cell r="E19" t="str">
            <v>RBC - CAL 0439</v>
          </cell>
          <cell r="F19" t="str">
            <v>E0091/26</v>
          </cell>
          <cell r="G19">
            <v>46071</v>
          </cell>
          <cell r="H19">
            <v>46446</v>
          </cell>
          <cell r="I19" t="str">
            <v>hPa</v>
          </cell>
          <cell r="J19">
            <v>501.4</v>
          </cell>
          <cell r="K19">
            <v>1099.3</v>
          </cell>
          <cell r="L19">
            <v>0.1</v>
          </cell>
          <cell r="M19">
            <v>0.70000000000004547</v>
          </cell>
          <cell r="N19">
            <v>0.3</v>
          </cell>
          <cell r="O19">
            <v>0.60000000000013642</v>
          </cell>
          <cell r="P19">
            <v>0.17511317641358584</v>
          </cell>
          <cell r="Q19">
            <v>3</v>
          </cell>
          <cell r="R19">
            <v>-2.3810866335455392E-8</v>
          </cell>
          <cell r="S19">
            <v>6.0724626329553966E-5</v>
          </cell>
          <cell r="T19">
            <v>0.94924982114923662</v>
          </cell>
          <cell r="U19">
            <v>13.318285776228185</v>
          </cell>
          <cell r="V19">
            <v>501.4</v>
          </cell>
          <cell r="W19">
            <v>0.3</v>
          </cell>
          <cell r="X19">
            <v>2</v>
          </cell>
          <cell r="Y19">
            <v>1000000</v>
          </cell>
          <cell r="Z19">
            <v>549.5</v>
          </cell>
          <cell r="AA19">
            <v>0.3</v>
          </cell>
          <cell r="AB19">
            <v>2</v>
          </cell>
          <cell r="AC19">
            <v>1000000</v>
          </cell>
          <cell r="AD19">
            <v>599.4</v>
          </cell>
          <cell r="AE19">
            <v>0.3</v>
          </cell>
          <cell r="AF19">
            <v>2</v>
          </cell>
          <cell r="AG19">
            <v>1000000</v>
          </cell>
          <cell r="AH19">
            <v>649.5</v>
          </cell>
          <cell r="AI19">
            <v>0.3</v>
          </cell>
          <cell r="AJ19">
            <v>2</v>
          </cell>
          <cell r="AK19">
            <v>1000000</v>
          </cell>
          <cell r="AL19">
            <v>699.5</v>
          </cell>
          <cell r="AM19">
            <v>0.3</v>
          </cell>
          <cell r="AN19">
            <v>2</v>
          </cell>
          <cell r="AO19">
            <v>1000000</v>
          </cell>
          <cell r="AP19">
            <v>749.5</v>
          </cell>
          <cell r="AQ19">
            <v>0.3</v>
          </cell>
          <cell r="AR19">
            <v>2</v>
          </cell>
          <cell r="AS19">
            <v>1000000</v>
          </cell>
          <cell r="AT19">
            <v>799.5</v>
          </cell>
          <cell r="AU19">
            <v>0.3</v>
          </cell>
          <cell r="AV19">
            <v>2</v>
          </cell>
          <cell r="AW19">
            <v>1000000</v>
          </cell>
          <cell r="AX19">
            <v>849.4</v>
          </cell>
          <cell r="AY19">
            <v>0.3</v>
          </cell>
          <cell r="AZ19">
            <v>2</v>
          </cell>
          <cell r="BA19">
            <v>1000000</v>
          </cell>
          <cell r="BB19">
            <v>899.4</v>
          </cell>
          <cell r="BC19">
            <v>0.3</v>
          </cell>
          <cell r="BD19">
            <v>2</v>
          </cell>
          <cell r="BE19">
            <v>1000000</v>
          </cell>
          <cell r="BF19">
            <v>949.4</v>
          </cell>
          <cell r="BG19">
            <v>0.3</v>
          </cell>
          <cell r="BH19">
            <v>2</v>
          </cell>
          <cell r="BI19">
            <v>1000000</v>
          </cell>
          <cell r="BJ19">
            <v>999.4</v>
          </cell>
          <cell r="BK19">
            <v>0.3</v>
          </cell>
          <cell r="BL19">
            <v>2</v>
          </cell>
          <cell r="BM19">
            <v>1000000</v>
          </cell>
          <cell r="BN19">
            <v>1049.5</v>
          </cell>
          <cell r="BO19">
            <v>0.3</v>
          </cell>
          <cell r="BP19">
            <v>2</v>
          </cell>
          <cell r="BQ19">
            <v>1000000</v>
          </cell>
          <cell r="BR19">
            <v>1099.3</v>
          </cell>
          <cell r="BS19">
            <v>0.3</v>
          </cell>
          <cell r="BT19">
            <v>2</v>
          </cell>
          <cell r="BU19">
            <v>1000000</v>
          </cell>
          <cell r="BV19" t="str">
            <v>-</v>
          </cell>
          <cell r="BW19" t="str">
            <v>-</v>
          </cell>
          <cell r="BX19" t="str">
            <v>-</v>
          </cell>
          <cell r="BY19" t="str">
            <v>-</v>
          </cell>
          <cell r="BZ19" t="str">
            <v>-</v>
          </cell>
          <cell r="CA19" t="str">
            <v>-</v>
          </cell>
          <cell r="CB19" t="str">
            <v>-</v>
          </cell>
          <cell r="CC19" t="str">
            <v>-</v>
          </cell>
        </row>
        <row r="20">
          <cell r="A20">
            <v>15</v>
          </cell>
          <cell r="B20" t="str">
            <v>E.PS.FS-035</v>
          </cell>
          <cell r="C20" t="str">
            <v>Barômetro Digital</v>
          </cell>
          <cell r="D20" t="str">
            <v>ELUS</v>
          </cell>
          <cell r="E20" t="str">
            <v>RBC - CAL 0439</v>
          </cell>
          <cell r="F20" t="str">
            <v>E0381/25</v>
          </cell>
          <cell r="G20">
            <v>45819</v>
          </cell>
          <cell r="H20">
            <v>46203</v>
          </cell>
          <cell r="I20" t="str">
            <v>hPa</v>
          </cell>
          <cell r="J20">
            <v>500.9</v>
          </cell>
          <cell r="K20">
            <v>1100</v>
          </cell>
          <cell r="L20">
            <v>0.1</v>
          </cell>
          <cell r="M20">
            <v>0.10000000000002274</v>
          </cell>
          <cell r="N20">
            <v>0.2</v>
          </cell>
          <cell r="O20">
            <v>0.10000000000002274</v>
          </cell>
          <cell r="P20">
            <v>3.5786747524967438E-2</v>
          </cell>
          <cell r="Q20">
            <v>3</v>
          </cell>
          <cell r="R20">
            <v>-6.8674437114351172E-10</v>
          </cell>
          <cell r="S20">
            <v>1.3269527238282232E-6</v>
          </cell>
          <cell r="T20">
            <v>0.9994363335835329</v>
          </cell>
          <cell r="U20">
            <v>-7.394096591486965E-2</v>
          </cell>
          <cell r="V20">
            <v>500.9</v>
          </cell>
          <cell r="W20">
            <v>0.2</v>
          </cell>
          <cell r="X20">
            <v>2</v>
          </cell>
          <cell r="Y20">
            <v>1000000</v>
          </cell>
          <cell r="Z20">
            <v>549.9</v>
          </cell>
          <cell r="AA20">
            <v>0.2</v>
          </cell>
          <cell r="AB20">
            <v>2</v>
          </cell>
          <cell r="AC20">
            <v>1000000</v>
          </cell>
          <cell r="AD20">
            <v>599.9</v>
          </cell>
          <cell r="AE20">
            <v>0.2</v>
          </cell>
          <cell r="AF20">
            <v>2</v>
          </cell>
          <cell r="AG20">
            <v>1000000</v>
          </cell>
          <cell r="AH20">
            <v>649.9</v>
          </cell>
          <cell r="AI20">
            <v>0.2</v>
          </cell>
          <cell r="AJ20">
            <v>2</v>
          </cell>
          <cell r="AK20">
            <v>1000000</v>
          </cell>
          <cell r="AL20">
            <v>700</v>
          </cell>
          <cell r="AM20">
            <v>0.2</v>
          </cell>
          <cell r="AN20">
            <v>2</v>
          </cell>
          <cell r="AO20">
            <v>1000000</v>
          </cell>
          <cell r="AP20">
            <v>750</v>
          </cell>
          <cell r="AQ20">
            <v>0.2</v>
          </cell>
          <cell r="AR20">
            <v>2</v>
          </cell>
          <cell r="AS20">
            <v>1000000</v>
          </cell>
          <cell r="AT20">
            <v>799.9</v>
          </cell>
          <cell r="AU20">
            <v>0.2</v>
          </cell>
          <cell r="AV20">
            <v>2</v>
          </cell>
          <cell r="AW20">
            <v>1000000</v>
          </cell>
          <cell r="AX20">
            <v>850</v>
          </cell>
          <cell r="AY20">
            <v>0.2</v>
          </cell>
          <cell r="AZ20">
            <v>2</v>
          </cell>
          <cell r="BA20">
            <v>1000000</v>
          </cell>
          <cell r="BB20">
            <v>900</v>
          </cell>
          <cell r="BC20">
            <v>0.2</v>
          </cell>
          <cell r="BD20">
            <v>2</v>
          </cell>
          <cell r="BE20">
            <v>1000000</v>
          </cell>
          <cell r="BF20">
            <v>950</v>
          </cell>
          <cell r="BG20">
            <v>0.2</v>
          </cell>
          <cell r="BH20">
            <v>2</v>
          </cell>
          <cell r="BI20">
            <v>1000000</v>
          </cell>
          <cell r="BJ20">
            <v>1000</v>
          </cell>
          <cell r="BK20">
            <v>0.2</v>
          </cell>
          <cell r="BL20">
            <v>2</v>
          </cell>
          <cell r="BM20">
            <v>1000000</v>
          </cell>
          <cell r="BN20">
            <v>1050</v>
          </cell>
          <cell r="BO20">
            <v>0.2</v>
          </cell>
          <cell r="BP20">
            <v>2</v>
          </cell>
          <cell r="BQ20">
            <v>1000000</v>
          </cell>
          <cell r="BR20">
            <v>1100</v>
          </cell>
          <cell r="BS20">
            <v>0.2</v>
          </cell>
          <cell r="BT20">
            <v>2</v>
          </cell>
          <cell r="BU20">
            <v>1000000</v>
          </cell>
          <cell r="BV20" t="str">
            <v>-</v>
          </cell>
          <cell r="BW20" t="str">
            <v>-</v>
          </cell>
          <cell r="BX20" t="str">
            <v>-</v>
          </cell>
          <cell r="BY20" t="str">
            <v>-</v>
          </cell>
          <cell r="BZ20" t="str">
            <v>-</v>
          </cell>
          <cell r="CA20" t="str">
            <v>-</v>
          </cell>
          <cell r="CB20" t="str">
            <v>-</v>
          </cell>
          <cell r="CC20" t="str">
            <v>-</v>
          </cell>
        </row>
        <row r="21">
          <cell r="A21">
            <v>16</v>
          </cell>
          <cell r="B21" t="str">
            <v>-</v>
          </cell>
          <cell r="C21" t="str">
            <v>-</v>
          </cell>
          <cell r="D21" t="str">
            <v>-</v>
          </cell>
          <cell r="E21" t="str">
            <v>-</v>
          </cell>
          <cell r="F21" t="str">
            <v>-</v>
          </cell>
          <cell r="G21" t="str">
            <v>-</v>
          </cell>
          <cell r="H21" t="str">
            <v>-</v>
          </cell>
          <cell r="I21" t="str">
            <v>-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-</v>
          </cell>
          <cell r="O21" t="str">
            <v>-</v>
          </cell>
          <cell r="P21" t="str">
            <v>-</v>
          </cell>
          <cell r="Q21" t="str">
            <v>-</v>
          </cell>
          <cell r="R21" t="str">
            <v>-</v>
          </cell>
          <cell r="S21" t="str">
            <v>-</v>
          </cell>
          <cell r="T21" t="str">
            <v>-</v>
          </cell>
          <cell r="U21" t="str">
            <v>-</v>
          </cell>
          <cell r="V21" t="str">
            <v>-</v>
          </cell>
          <cell r="W21" t="str">
            <v>-</v>
          </cell>
          <cell r="X21" t="str">
            <v>-</v>
          </cell>
          <cell r="Y21" t="str">
            <v>-</v>
          </cell>
          <cell r="Z21" t="str">
            <v>-</v>
          </cell>
          <cell r="AA21" t="str">
            <v>-</v>
          </cell>
          <cell r="AB21" t="str">
            <v>-</v>
          </cell>
          <cell r="AC21" t="str">
            <v>-</v>
          </cell>
          <cell r="AD21" t="str">
            <v>-</v>
          </cell>
          <cell r="AE21" t="str">
            <v>-</v>
          </cell>
          <cell r="AF21" t="str">
            <v>-</v>
          </cell>
          <cell r="AG21" t="str">
            <v>-</v>
          </cell>
          <cell r="AH21" t="str">
            <v>-</v>
          </cell>
          <cell r="AI21" t="str">
            <v>-</v>
          </cell>
          <cell r="AJ21" t="str">
            <v>-</v>
          </cell>
          <cell r="AK21" t="str">
            <v>-</v>
          </cell>
          <cell r="AL21" t="str">
            <v>-</v>
          </cell>
          <cell r="AM21" t="str">
            <v>-</v>
          </cell>
          <cell r="AN21" t="str">
            <v>-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 t="str">
            <v>-</v>
          </cell>
          <cell r="BQ21" t="str">
            <v>-</v>
          </cell>
          <cell r="BR21" t="str">
            <v>-</v>
          </cell>
          <cell r="BS21" t="str">
            <v>-</v>
          </cell>
          <cell r="BT21" t="str">
            <v>-</v>
          </cell>
          <cell r="BU21" t="str">
            <v>-</v>
          </cell>
          <cell r="BV21" t="str">
            <v>-</v>
          </cell>
          <cell r="BW21" t="str">
            <v>-</v>
          </cell>
          <cell r="BX21" t="str">
            <v>-</v>
          </cell>
          <cell r="BY21" t="str">
            <v>-</v>
          </cell>
          <cell r="BZ21" t="str">
            <v>-</v>
          </cell>
          <cell r="CA21" t="str">
            <v>-</v>
          </cell>
          <cell r="CB21" t="str">
            <v>-</v>
          </cell>
          <cell r="CC21" t="str">
            <v>-</v>
          </cell>
        </row>
        <row r="22">
          <cell r="A22">
            <v>17</v>
          </cell>
          <cell r="B22" t="str">
            <v>M.MS.LM-016</v>
          </cell>
          <cell r="C22" t="str">
            <v>Barômetro Digital</v>
          </cell>
          <cell r="D22" t="str">
            <v>Elus</v>
          </cell>
          <cell r="E22" t="str">
            <v>RBC - CAL 0439</v>
          </cell>
          <cell r="F22" t="str">
            <v>E0226/25</v>
          </cell>
          <cell r="G22">
            <v>45777</v>
          </cell>
          <cell r="H22">
            <v>46507</v>
          </cell>
          <cell r="I22" t="str">
            <v>hPa</v>
          </cell>
          <cell r="J22">
            <v>500.8</v>
          </cell>
          <cell r="K22">
            <v>1099.8</v>
          </cell>
          <cell r="L22">
            <v>0.1</v>
          </cell>
          <cell r="M22">
            <v>0.20000000000004547</v>
          </cell>
          <cell r="N22">
            <v>0.2</v>
          </cell>
          <cell r="O22">
            <v>0.20000000000004547</v>
          </cell>
          <cell r="P22">
            <v>3.4642957129513263E-2</v>
          </cell>
          <cell r="Q22">
            <v>3</v>
          </cell>
          <cell r="R22">
            <v>6.29310529764046E-9</v>
          </cell>
          <cell r="S22">
            <v>-1.6567825201869858E-5</v>
          </cell>
          <cell r="T22">
            <v>1.0138683994396074</v>
          </cell>
          <cell r="U22">
            <v>-3.7892158383123666</v>
          </cell>
          <cell r="V22">
            <v>500.8</v>
          </cell>
          <cell r="W22">
            <v>0.2</v>
          </cell>
          <cell r="X22">
            <v>2</v>
          </cell>
          <cell r="Y22">
            <v>1000000</v>
          </cell>
          <cell r="Z22">
            <v>599.9</v>
          </cell>
          <cell r="AA22">
            <v>0.2</v>
          </cell>
          <cell r="AB22">
            <v>2</v>
          </cell>
          <cell r="AC22">
            <v>1000000</v>
          </cell>
          <cell r="AD22">
            <v>699.99</v>
          </cell>
          <cell r="AE22">
            <v>0.2</v>
          </cell>
          <cell r="AF22">
            <v>2</v>
          </cell>
          <cell r="AG22">
            <v>1000000</v>
          </cell>
          <cell r="AH22">
            <v>799.9</v>
          </cell>
          <cell r="AI22">
            <v>0.2</v>
          </cell>
          <cell r="AJ22">
            <v>2</v>
          </cell>
          <cell r="AK22">
            <v>1000000</v>
          </cell>
          <cell r="AL22">
            <v>899.9</v>
          </cell>
          <cell r="AM22">
            <v>0.2</v>
          </cell>
          <cell r="AN22">
            <v>2</v>
          </cell>
          <cell r="AO22">
            <v>1000000</v>
          </cell>
          <cell r="AP22">
            <v>949.8</v>
          </cell>
          <cell r="AQ22">
            <v>0.2</v>
          </cell>
          <cell r="AR22">
            <v>2</v>
          </cell>
          <cell r="AS22">
            <v>1000000</v>
          </cell>
          <cell r="AT22">
            <v>999.8</v>
          </cell>
          <cell r="AU22">
            <v>0.2</v>
          </cell>
          <cell r="AV22">
            <v>2</v>
          </cell>
          <cell r="AW22">
            <v>1000000</v>
          </cell>
          <cell r="AX22">
            <v>1099.8</v>
          </cell>
          <cell r="AY22">
            <v>0.2</v>
          </cell>
          <cell r="AZ22">
            <v>2</v>
          </cell>
          <cell r="BA22">
            <v>1000000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 t="str">
            <v>-</v>
          </cell>
          <cell r="BQ22" t="str">
            <v>-</v>
          </cell>
          <cell r="BR22" t="str">
            <v>-</v>
          </cell>
          <cell r="BS22" t="str">
            <v>-</v>
          </cell>
          <cell r="BT22" t="str">
            <v>-</v>
          </cell>
          <cell r="BU22" t="str">
            <v>-</v>
          </cell>
          <cell r="BV22" t="str">
            <v>-</v>
          </cell>
          <cell r="BW22" t="str">
            <v>-</v>
          </cell>
          <cell r="BX22" t="str">
            <v>-</v>
          </cell>
          <cell r="BY22" t="str">
            <v>-</v>
          </cell>
          <cell r="BZ22" t="str">
            <v>-</v>
          </cell>
          <cell r="CA22" t="str">
            <v>-</v>
          </cell>
          <cell r="CB22" t="str">
            <v>-</v>
          </cell>
          <cell r="CC22" t="str">
            <v>-</v>
          </cell>
        </row>
        <row r="23">
          <cell r="A23">
            <v>18</v>
          </cell>
          <cell r="B23" t="str">
            <v>M.MS.LM-015</v>
          </cell>
          <cell r="C23" t="str">
            <v>Barômetro Digital</v>
          </cell>
          <cell r="D23" t="str">
            <v>Elus</v>
          </cell>
          <cell r="E23" t="str">
            <v>RBC - CAL 0439</v>
          </cell>
          <cell r="F23" t="str">
            <v>E0225/25</v>
          </cell>
          <cell r="G23">
            <v>45777</v>
          </cell>
          <cell r="H23">
            <v>46507</v>
          </cell>
          <cell r="I23" t="str">
            <v>hPa</v>
          </cell>
          <cell r="J23">
            <v>501.2</v>
          </cell>
          <cell r="K23">
            <v>1099.3</v>
          </cell>
          <cell r="L23">
            <v>0.1</v>
          </cell>
          <cell r="M23">
            <v>0.29999999999995453</v>
          </cell>
          <cell r="N23">
            <v>0.2</v>
          </cell>
          <cell r="O23">
            <v>0.29999999999995453</v>
          </cell>
          <cell r="P23">
            <v>4.00845254424083E-2</v>
          </cell>
          <cell r="Q23">
            <v>3</v>
          </cell>
          <cell r="R23">
            <v>4.8746548515543508E-9</v>
          </cell>
          <cell r="S23">
            <v>-1.2168607075886795E-5</v>
          </cell>
          <cell r="T23">
            <v>1.0098455249487905</v>
          </cell>
          <cell r="U23">
            <v>-2.2887439353229531</v>
          </cell>
          <cell r="V23">
            <v>501.2</v>
          </cell>
          <cell r="W23">
            <v>0.2</v>
          </cell>
          <cell r="X23">
            <v>2</v>
          </cell>
          <cell r="Y23">
            <v>1000000</v>
          </cell>
          <cell r="Z23">
            <v>600.29999999999995</v>
          </cell>
          <cell r="AA23">
            <v>0.2</v>
          </cell>
          <cell r="AB23">
            <v>2</v>
          </cell>
          <cell r="AC23">
            <v>1000000</v>
          </cell>
          <cell r="AD23">
            <v>700.3</v>
          </cell>
          <cell r="AE23">
            <v>0.2</v>
          </cell>
          <cell r="AF23">
            <v>2</v>
          </cell>
          <cell r="AG23">
            <v>1000000</v>
          </cell>
          <cell r="AH23">
            <v>800.3</v>
          </cell>
          <cell r="AI23">
            <v>0.2</v>
          </cell>
          <cell r="AJ23">
            <v>2</v>
          </cell>
          <cell r="AK23">
            <v>1000000</v>
          </cell>
          <cell r="AL23">
            <v>900.3</v>
          </cell>
          <cell r="AM23">
            <v>0.2</v>
          </cell>
          <cell r="AN23">
            <v>2</v>
          </cell>
          <cell r="AO23">
            <v>1000000</v>
          </cell>
          <cell r="AP23">
            <v>950.2</v>
          </cell>
          <cell r="AQ23">
            <v>0.2</v>
          </cell>
          <cell r="AR23">
            <v>2</v>
          </cell>
          <cell r="AS23">
            <v>1000000</v>
          </cell>
          <cell r="AT23">
            <v>1000.3</v>
          </cell>
          <cell r="AU23">
            <v>0.2</v>
          </cell>
          <cell r="AV23">
            <v>2</v>
          </cell>
          <cell r="AW23">
            <v>1000000</v>
          </cell>
          <cell r="AX23">
            <v>1099.3</v>
          </cell>
          <cell r="AY23">
            <v>0.2</v>
          </cell>
          <cell r="AZ23">
            <v>2</v>
          </cell>
          <cell r="BA23">
            <v>1000000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 t="str">
            <v>-</v>
          </cell>
          <cell r="BQ23" t="str">
            <v>-</v>
          </cell>
          <cell r="BR23" t="str">
            <v>-</v>
          </cell>
          <cell r="BS23" t="str">
            <v>-</v>
          </cell>
          <cell r="BT23" t="str">
            <v>-</v>
          </cell>
          <cell r="BU23" t="str">
            <v>-</v>
          </cell>
          <cell r="BV23" t="str">
            <v>-</v>
          </cell>
          <cell r="BW23" t="str">
            <v>-</v>
          </cell>
          <cell r="BX23" t="str">
            <v>-</v>
          </cell>
          <cell r="BY23" t="str">
            <v>-</v>
          </cell>
          <cell r="BZ23" t="str">
            <v>-</v>
          </cell>
          <cell r="CA23" t="str">
            <v>-</v>
          </cell>
          <cell r="CB23" t="str">
            <v>-</v>
          </cell>
          <cell r="CC23" t="str">
            <v>-</v>
          </cell>
        </row>
        <row r="24">
          <cell r="A24">
            <v>19</v>
          </cell>
          <cell r="B24" t="str">
            <v>M.MS.LM-013</v>
          </cell>
          <cell r="C24" t="str">
            <v>Barômetro Digital</v>
          </cell>
          <cell r="D24" t="str">
            <v>Elus</v>
          </cell>
          <cell r="E24" t="str">
            <v>RBC - CAL 0439</v>
          </cell>
          <cell r="F24" t="str">
            <v>E0040A/25</v>
          </cell>
          <cell r="G24">
            <v>45701</v>
          </cell>
          <cell r="H24">
            <v>46446</v>
          </cell>
          <cell r="I24" t="str">
            <v>hPa</v>
          </cell>
          <cell r="J24">
            <v>501.4</v>
          </cell>
          <cell r="K24">
            <v>1099.9000000000001</v>
          </cell>
          <cell r="L24">
            <v>0.1</v>
          </cell>
          <cell r="M24">
            <v>1.3999999999999773</v>
          </cell>
          <cell r="N24">
            <v>0.3</v>
          </cell>
          <cell r="O24">
            <v>0.89999999999997726</v>
          </cell>
          <cell r="P24">
            <v>0.14897638138094718</v>
          </cell>
          <cell r="Q24">
            <v>3</v>
          </cell>
          <cell r="R24">
            <v>-2.6687477098153539E-8</v>
          </cell>
          <cell r="S24">
            <v>5.6380710893028193E-5</v>
          </cell>
          <cell r="T24">
            <v>0.96098837771476631</v>
          </cell>
          <cell r="U24">
            <v>10.191678592910119</v>
          </cell>
          <cell r="V24">
            <v>501.4</v>
          </cell>
          <cell r="W24">
            <v>0.3</v>
          </cell>
          <cell r="X24">
            <v>2</v>
          </cell>
          <cell r="Y24">
            <v>1000000</v>
          </cell>
          <cell r="Z24">
            <v>601.4</v>
          </cell>
          <cell r="AA24">
            <v>0.3</v>
          </cell>
          <cell r="AB24">
            <v>2</v>
          </cell>
          <cell r="AC24">
            <v>1000000</v>
          </cell>
          <cell r="AD24">
            <v>701.4</v>
          </cell>
          <cell r="AE24">
            <v>0.3</v>
          </cell>
          <cell r="AF24">
            <v>2</v>
          </cell>
          <cell r="AG24">
            <v>1000000</v>
          </cell>
          <cell r="AH24">
            <v>801.3</v>
          </cell>
          <cell r="AI24">
            <v>0.3</v>
          </cell>
          <cell r="AJ24">
            <v>2</v>
          </cell>
          <cell r="AK24">
            <v>1000000</v>
          </cell>
          <cell r="AL24">
            <v>901.2</v>
          </cell>
          <cell r="AM24">
            <v>0.3</v>
          </cell>
          <cell r="AN24">
            <v>2</v>
          </cell>
          <cell r="AO24">
            <v>1000000</v>
          </cell>
          <cell r="AP24">
            <v>951.1</v>
          </cell>
          <cell r="AQ24">
            <v>0.3</v>
          </cell>
          <cell r="AR24">
            <v>2</v>
          </cell>
          <cell r="AS24">
            <v>1000000</v>
          </cell>
          <cell r="AT24">
            <v>1001.1</v>
          </cell>
          <cell r="AU24">
            <v>0.3</v>
          </cell>
          <cell r="AV24">
            <v>2</v>
          </cell>
          <cell r="AW24">
            <v>1000000</v>
          </cell>
          <cell r="AX24">
            <v>1099.9000000000001</v>
          </cell>
          <cell r="AY24">
            <v>0.3</v>
          </cell>
          <cell r="AZ24">
            <v>2</v>
          </cell>
          <cell r="BA24">
            <v>1000000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 t="str">
            <v>-</v>
          </cell>
          <cell r="BQ24" t="str">
            <v>-</v>
          </cell>
          <cell r="BR24" t="str">
            <v>-</v>
          </cell>
          <cell r="BS24" t="str">
            <v>-</v>
          </cell>
          <cell r="BT24" t="str">
            <v>-</v>
          </cell>
          <cell r="BU24" t="str">
            <v>-</v>
          </cell>
          <cell r="BV24" t="str">
            <v>-</v>
          </cell>
          <cell r="BW24" t="str">
            <v>-</v>
          </cell>
          <cell r="BX24" t="str">
            <v>-</v>
          </cell>
          <cell r="BY24" t="str">
            <v>-</v>
          </cell>
          <cell r="BZ24" t="str">
            <v>-</v>
          </cell>
          <cell r="CA24" t="str">
            <v>-</v>
          </cell>
          <cell r="CB24" t="str">
            <v>-</v>
          </cell>
          <cell r="CC24" t="str">
            <v>-</v>
          </cell>
        </row>
        <row r="25">
          <cell r="A25">
            <v>20</v>
          </cell>
          <cell r="B25" t="str">
            <v>M.MS.LM-012</v>
          </cell>
          <cell r="C25" t="str">
            <v>Barômetro Digital</v>
          </cell>
          <cell r="D25" t="str">
            <v>Elus</v>
          </cell>
          <cell r="E25" t="str">
            <v>RBC - CAL 0439</v>
          </cell>
          <cell r="F25" t="str">
            <v>E0526A/24</v>
          </cell>
          <cell r="G25">
            <v>45632</v>
          </cell>
          <cell r="H25">
            <v>46386</v>
          </cell>
          <cell r="I25" t="str">
            <v>hPa</v>
          </cell>
          <cell r="J25">
            <v>600</v>
          </cell>
          <cell r="K25">
            <v>1100</v>
          </cell>
          <cell r="L25">
            <v>1</v>
          </cell>
          <cell r="M25">
            <v>1</v>
          </cell>
          <cell r="N25">
            <v>1</v>
          </cell>
          <cell r="O25">
            <v>2</v>
          </cell>
          <cell r="P25">
            <v>0</v>
          </cell>
          <cell r="Q25">
            <v>3</v>
          </cell>
          <cell r="R25">
            <v>0</v>
          </cell>
          <cell r="S25">
            <v>0</v>
          </cell>
          <cell r="T25">
            <v>1</v>
          </cell>
          <cell r="U25">
            <v>1</v>
          </cell>
          <cell r="V25">
            <v>600</v>
          </cell>
          <cell r="W25">
            <v>1</v>
          </cell>
          <cell r="X25">
            <v>2</v>
          </cell>
          <cell r="Y25">
            <v>1000000</v>
          </cell>
          <cell r="Z25">
            <v>700</v>
          </cell>
          <cell r="AA25">
            <v>1</v>
          </cell>
          <cell r="AB25">
            <v>2</v>
          </cell>
          <cell r="AC25">
            <v>1000000</v>
          </cell>
          <cell r="AD25">
            <v>800</v>
          </cell>
          <cell r="AE25">
            <v>1</v>
          </cell>
          <cell r="AF25">
            <v>2</v>
          </cell>
          <cell r="AG25">
            <v>1000000</v>
          </cell>
          <cell r="AH25">
            <v>900</v>
          </cell>
          <cell r="AI25">
            <v>1</v>
          </cell>
          <cell r="AJ25">
            <v>2</v>
          </cell>
          <cell r="AK25">
            <v>1000000</v>
          </cell>
          <cell r="AL25">
            <v>1000</v>
          </cell>
          <cell r="AM25">
            <v>1</v>
          </cell>
          <cell r="AN25">
            <v>2</v>
          </cell>
          <cell r="AO25">
            <v>1000000</v>
          </cell>
          <cell r="AP25">
            <v>1100</v>
          </cell>
          <cell r="AQ25">
            <v>1</v>
          </cell>
          <cell r="AR25">
            <v>2</v>
          </cell>
          <cell r="AS25">
            <v>1000000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 t="str">
            <v>-</v>
          </cell>
          <cell r="BQ25" t="str">
            <v>-</v>
          </cell>
          <cell r="BR25" t="str">
            <v>-</v>
          </cell>
          <cell r="BS25" t="str">
            <v>-</v>
          </cell>
          <cell r="BT25" t="str">
            <v>-</v>
          </cell>
          <cell r="BU25" t="str">
            <v>-</v>
          </cell>
          <cell r="BV25" t="str">
            <v>-</v>
          </cell>
          <cell r="BW25" t="str">
            <v>-</v>
          </cell>
          <cell r="BX25" t="str">
            <v>-</v>
          </cell>
          <cell r="BY25" t="str">
            <v>-</v>
          </cell>
          <cell r="BZ25" t="str">
            <v>-</v>
          </cell>
          <cell r="CA25" t="str">
            <v>-</v>
          </cell>
          <cell r="CB25" t="str">
            <v>-</v>
          </cell>
          <cell r="CC25" t="str">
            <v>-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 dos Padrões"/>
      <sheetName val="Controle"/>
      <sheetName val="Histórico de revisões"/>
      <sheetName val="Planilha1"/>
    </sheetNames>
    <sheetDataSet>
      <sheetData sheetId="0"/>
      <sheetData sheetId="1">
        <row r="6">
          <cell r="A6">
            <v>1</v>
          </cell>
          <cell r="B6" t="str">
            <v>E.MS.LQ-003</v>
          </cell>
          <cell r="C6" t="str">
            <v>Balança Eletrônica</v>
          </cell>
          <cell r="D6" t="str">
            <v>Elus</v>
          </cell>
          <cell r="E6" t="str">
            <v>RBC - CAL 0439</v>
          </cell>
          <cell r="F6" t="str">
            <v>E0011/26</v>
          </cell>
          <cell r="G6">
            <v>46031</v>
          </cell>
          <cell r="H6">
            <v>46417</v>
          </cell>
          <cell r="I6" t="str">
            <v>g</v>
          </cell>
          <cell r="J6">
            <v>1</v>
          </cell>
          <cell r="K6">
            <v>2000</v>
          </cell>
          <cell r="L6">
            <v>0.01</v>
          </cell>
          <cell r="M6">
            <v>1.999999999998181E-2</v>
          </cell>
          <cell r="N6">
            <v>0.05</v>
          </cell>
          <cell r="O6">
            <v>9.9999999999909051E-3</v>
          </cell>
          <cell r="P6">
            <v>3.9999999999963624E-3</v>
          </cell>
          <cell r="Q6">
            <v>8.3868147318000297E-4</v>
          </cell>
          <cell r="R6">
            <v>5</v>
          </cell>
          <cell r="S6">
            <v>0</v>
          </cell>
          <cell r="T6">
            <v>0</v>
          </cell>
          <cell r="U6">
            <v>0</v>
          </cell>
          <cell r="V6">
            <v>-2.1946623841346573E-17</v>
          </cell>
          <cell r="W6">
            <v>1.435668068304213E-13</v>
          </cell>
          <cell r="X6">
            <v>-3.21167452306003E-10</v>
          </cell>
          <cell r="Y6">
            <v>3.1307290236240752E-7</v>
          </cell>
          <cell r="Z6">
            <v>0.99986579442207157</v>
          </cell>
          <cell r="AA6">
            <v>6.8337237960630626E-4</v>
          </cell>
          <cell r="AB6">
            <v>1</v>
          </cell>
          <cell r="AC6">
            <v>0.02</v>
          </cell>
          <cell r="AD6">
            <v>2</v>
          </cell>
          <cell r="AE6">
            <v>1000000</v>
          </cell>
          <cell r="AF6">
            <v>10</v>
          </cell>
          <cell r="AG6">
            <v>0.02</v>
          </cell>
          <cell r="AH6">
            <v>2</v>
          </cell>
          <cell r="AI6">
            <v>1000000</v>
          </cell>
          <cell r="AJ6">
            <v>100</v>
          </cell>
          <cell r="AK6">
            <v>0.02</v>
          </cell>
          <cell r="AL6">
            <v>2</v>
          </cell>
          <cell r="AM6">
            <v>1000000</v>
          </cell>
          <cell r="AN6">
            <v>500</v>
          </cell>
          <cell r="AO6">
            <v>0.02</v>
          </cell>
          <cell r="AP6">
            <v>2</v>
          </cell>
          <cell r="AQ6">
            <v>1000000</v>
          </cell>
          <cell r="AR6">
            <v>1000</v>
          </cell>
          <cell r="AS6">
            <v>0.03</v>
          </cell>
          <cell r="AT6">
            <v>2</v>
          </cell>
          <cell r="AU6">
            <v>574</v>
          </cell>
          <cell r="AV6">
            <v>1500</v>
          </cell>
          <cell r="AW6">
            <v>0.04</v>
          </cell>
          <cell r="AX6">
            <v>2</v>
          </cell>
          <cell r="AY6">
            <v>1000000</v>
          </cell>
          <cell r="AZ6">
            <v>2000</v>
          </cell>
          <cell r="BA6">
            <v>0.05</v>
          </cell>
          <cell r="BB6">
            <v>2</v>
          </cell>
          <cell r="BC6">
            <v>1000000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>
            <v>0</v>
          </cell>
          <cell r="BQ6">
            <v>0</v>
          </cell>
          <cell r="BR6">
            <v>1.0000000000005116E-2</v>
          </cell>
          <cell r="BS6">
            <v>1.999999999998181E-2</v>
          </cell>
          <cell r="BT6">
            <v>1.999999999998181E-2</v>
          </cell>
          <cell r="BU6">
            <v>1.999999999998181E-2</v>
          </cell>
          <cell r="BV6">
            <v>-9.9999999999909051E-3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9.9999999999909051E-3</v>
          </cell>
          <cell r="CC6">
            <v>0</v>
          </cell>
          <cell r="CD6">
            <v>0</v>
          </cell>
          <cell r="CE6">
            <v>-9.9999999999909051E-3</v>
          </cell>
          <cell r="CF6">
            <v>9.9999999999909051E-3</v>
          </cell>
          <cell r="CG6">
            <v>0</v>
          </cell>
          <cell r="CH6">
            <v>0</v>
          </cell>
          <cell r="CI6">
            <v>0</v>
          </cell>
        </row>
        <row r="7">
          <cell r="A7">
            <v>2</v>
          </cell>
          <cell r="B7" t="str">
            <v>E.MS.LV-003</v>
          </cell>
          <cell r="C7" t="str">
            <v>Balança Eletrônica</v>
          </cell>
          <cell r="D7" t="str">
            <v>Elus</v>
          </cell>
          <cell r="E7" t="str">
            <v>RBC - CAL 0439</v>
          </cell>
          <cell r="F7" t="str">
            <v>E0017/26</v>
          </cell>
          <cell r="G7">
            <v>46031</v>
          </cell>
          <cell r="H7">
            <v>46417</v>
          </cell>
          <cell r="I7" t="str">
            <v>g</v>
          </cell>
          <cell r="J7">
            <v>0</v>
          </cell>
          <cell r="K7">
            <v>400</v>
          </cell>
          <cell r="L7">
            <v>0.1</v>
          </cell>
          <cell r="M7">
            <v>0</v>
          </cell>
          <cell r="N7">
            <v>0.2</v>
          </cell>
          <cell r="O7">
            <v>0</v>
          </cell>
          <cell r="P7">
            <v>0</v>
          </cell>
          <cell r="Q7">
            <v>2.2204460492503131E-16</v>
          </cell>
          <cell r="R7">
            <v>5</v>
          </cell>
          <cell r="S7">
            <v>0</v>
          </cell>
          <cell r="T7">
            <v>0</v>
          </cell>
          <cell r="U7">
            <v>0</v>
          </cell>
          <cell r="V7">
            <v>-8.4933571278960088E-26</v>
          </cell>
          <cell r="W7">
            <v>9.1690581063248635E-23</v>
          </cell>
          <cell r="X7">
            <v>-3.2533344481417852E-20</v>
          </cell>
          <cell r="Y7">
            <v>4.4010147553346896E-18</v>
          </cell>
          <cell r="Z7">
            <v>0.99999999999999989</v>
          </cell>
          <cell r="AA7">
            <v>-1.1641814564574626E-14</v>
          </cell>
          <cell r="AB7">
            <v>0</v>
          </cell>
          <cell r="AC7">
            <v>0.2</v>
          </cell>
          <cell r="AD7">
            <v>2</v>
          </cell>
          <cell r="AE7">
            <v>1000000</v>
          </cell>
          <cell r="AF7">
            <v>0.2</v>
          </cell>
          <cell r="AG7">
            <v>0.2</v>
          </cell>
          <cell r="AH7">
            <v>2</v>
          </cell>
          <cell r="AI7">
            <v>1000000</v>
          </cell>
          <cell r="AJ7">
            <v>5</v>
          </cell>
          <cell r="AK7">
            <v>0.2</v>
          </cell>
          <cell r="AL7">
            <v>2</v>
          </cell>
          <cell r="AM7">
            <v>1000000</v>
          </cell>
          <cell r="AN7">
            <v>50</v>
          </cell>
          <cell r="AO7">
            <v>0.2</v>
          </cell>
          <cell r="AP7">
            <v>2</v>
          </cell>
          <cell r="AQ7">
            <v>1000000</v>
          </cell>
          <cell r="AR7">
            <v>100</v>
          </cell>
          <cell r="AS7">
            <v>0.2</v>
          </cell>
          <cell r="AT7">
            <v>2</v>
          </cell>
          <cell r="AU7">
            <v>1000000</v>
          </cell>
          <cell r="AV7">
            <v>300</v>
          </cell>
          <cell r="AW7">
            <v>0.2</v>
          </cell>
          <cell r="AX7">
            <v>2</v>
          </cell>
          <cell r="AY7">
            <v>1000000</v>
          </cell>
          <cell r="AZ7">
            <v>400</v>
          </cell>
          <cell r="BA7">
            <v>0.2</v>
          </cell>
          <cell r="BB7">
            <v>2</v>
          </cell>
          <cell r="BC7">
            <v>1000000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</row>
        <row r="8">
          <cell r="A8">
            <v>3</v>
          </cell>
          <cell r="B8" t="str">
            <v>E.MS.LV-002</v>
          </cell>
          <cell r="C8" t="str">
            <v>Balança Eletrônica</v>
          </cell>
          <cell r="D8" t="str">
            <v>Elus</v>
          </cell>
          <cell r="E8" t="str">
            <v>RBC - CAL 0439</v>
          </cell>
          <cell r="F8" t="str">
            <v>E0016/26</v>
          </cell>
          <cell r="G8">
            <v>46031</v>
          </cell>
          <cell r="H8">
            <v>46417</v>
          </cell>
          <cell r="I8" t="str">
            <v>kg</v>
          </cell>
          <cell r="J8">
            <v>10</v>
          </cell>
          <cell r="K8">
            <v>500</v>
          </cell>
          <cell r="L8">
            <v>1E-3</v>
          </cell>
          <cell r="M8">
            <v>4.0000000000190994E-3</v>
          </cell>
          <cell r="N8">
            <v>1.0999999999999999E-2</v>
          </cell>
          <cell r="O8">
            <v>2.4000000000000909E-2</v>
          </cell>
          <cell r="P8">
            <v>6.2500000000298428E-4</v>
          </cell>
          <cell r="Q8">
            <v>1.2310936059023447E-4</v>
          </cell>
          <cell r="R8">
            <v>3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2.0540732034428424E-11</v>
          </cell>
          <cell r="Y8">
            <v>-1.1037249574251975E-8</v>
          </cell>
          <cell r="Z8">
            <v>1.0000086953519802</v>
          </cell>
          <cell r="AA8">
            <v>-1.5767507148904583E-4</v>
          </cell>
          <cell r="AB8">
            <v>10</v>
          </cell>
          <cell r="AC8">
            <v>2E-3</v>
          </cell>
          <cell r="AD8">
            <v>2</v>
          </cell>
          <cell r="AE8">
            <v>1000000</v>
          </cell>
          <cell r="AF8">
            <v>30</v>
          </cell>
          <cell r="AG8">
            <v>2E-3</v>
          </cell>
          <cell r="AH8">
            <v>2</v>
          </cell>
          <cell r="AI8">
            <v>1000000</v>
          </cell>
          <cell r="AJ8">
            <v>150</v>
          </cell>
          <cell r="AK8">
            <v>3.0000000000000001E-3</v>
          </cell>
          <cell r="AL8">
            <v>2</v>
          </cell>
          <cell r="AM8">
            <v>1000000</v>
          </cell>
          <cell r="AN8">
            <v>300</v>
          </cell>
          <cell r="AO8">
            <v>8.0000000000000002E-3</v>
          </cell>
          <cell r="AP8">
            <v>2</v>
          </cell>
          <cell r="AQ8">
            <v>1000000</v>
          </cell>
          <cell r="AR8">
            <v>500</v>
          </cell>
          <cell r="AS8">
            <v>1.0999999999999999E-2</v>
          </cell>
          <cell r="AT8">
            <v>2</v>
          </cell>
          <cell r="AU8">
            <v>1000000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>
            <v>0</v>
          </cell>
          <cell r="BQ8">
            <v>0</v>
          </cell>
          <cell r="BR8">
            <v>-1.0000000000047748E-3</v>
          </cell>
          <cell r="BS8">
            <v>-2.0000000000095497E-3</v>
          </cell>
          <cell r="BT8">
            <v>-4.0000000000190994E-3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-2.0000000000006679E-3</v>
          </cell>
          <cell r="CA8">
            <v>-4.0000000000013358E-3</v>
          </cell>
          <cell r="CB8">
            <v>2.0000000000010232E-2</v>
          </cell>
          <cell r="CC8">
            <v>1.999999999998181E-2</v>
          </cell>
          <cell r="CD8">
            <v>-2.4000000000000909E-2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</row>
        <row r="9">
          <cell r="A9">
            <v>4</v>
          </cell>
          <cell r="B9" t="str">
            <v>E.MS.PMR-002</v>
          </cell>
          <cell r="C9" t="str">
            <v>Balança Eletrônica</v>
          </cell>
          <cell r="D9" t="str">
            <v>Elus</v>
          </cell>
          <cell r="E9" t="str">
            <v>RBC - CAL 0439</v>
          </cell>
          <cell r="F9" t="str">
            <v>E0019/26</v>
          </cell>
          <cell r="G9">
            <v>46031</v>
          </cell>
          <cell r="H9">
            <v>46417</v>
          </cell>
          <cell r="I9" t="str">
            <v>g</v>
          </cell>
          <cell r="J9">
            <v>20</v>
          </cell>
          <cell r="K9">
            <v>30000</v>
          </cell>
          <cell r="L9">
            <v>0.1</v>
          </cell>
          <cell r="M9">
            <v>0.2000000000007276</v>
          </cell>
          <cell r="N9">
            <v>0.3</v>
          </cell>
          <cell r="O9">
            <v>1.2000000000007276</v>
          </cell>
          <cell r="P9">
            <v>1.000000000003638E-3</v>
          </cell>
          <cell r="Q9">
            <v>1.6848098131049483E-2</v>
          </cell>
          <cell r="R9">
            <v>5</v>
          </cell>
          <cell r="S9">
            <v>0</v>
          </cell>
          <cell r="T9">
            <v>0</v>
          </cell>
          <cell r="U9">
            <v>0</v>
          </cell>
          <cell r="V9">
            <v>-7.2974851831902944E-23</v>
          </cell>
          <cell r="W9">
            <v>6.6650732363596578E-18</v>
          </cell>
          <cell r="X9">
            <v>-2.5448840515727437E-13</v>
          </cell>
          <cell r="Y9">
            <v>4.6578151843851313E-9</v>
          </cell>
          <cell r="Z9">
            <v>0.9999614680477944</v>
          </cell>
          <cell r="AA9">
            <v>9.7308650930569285E-3</v>
          </cell>
          <cell r="AB9">
            <v>20</v>
          </cell>
          <cell r="AC9">
            <v>0.2</v>
          </cell>
          <cell r="AD9">
            <v>2</v>
          </cell>
          <cell r="AE9">
            <v>1000000</v>
          </cell>
          <cell r="AF9">
            <v>600</v>
          </cell>
          <cell r="AG9">
            <v>0.2</v>
          </cell>
          <cell r="AH9">
            <v>2</v>
          </cell>
          <cell r="AI9">
            <v>1000000</v>
          </cell>
          <cell r="AJ9">
            <v>5000</v>
          </cell>
          <cell r="AK9">
            <v>0.2</v>
          </cell>
          <cell r="AL9">
            <v>2.02</v>
          </cell>
          <cell r="AM9">
            <v>102</v>
          </cell>
          <cell r="AN9">
            <v>10000</v>
          </cell>
          <cell r="AO9">
            <v>0.2</v>
          </cell>
          <cell r="AP9">
            <v>2</v>
          </cell>
          <cell r="AQ9">
            <v>1000000</v>
          </cell>
          <cell r="AR9">
            <v>15000</v>
          </cell>
          <cell r="AS9">
            <v>0.2</v>
          </cell>
          <cell r="AT9">
            <v>2</v>
          </cell>
          <cell r="AU9">
            <v>1000000</v>
          </cell>
          <cell r="AV9">
            <v>20000</v>
          </cell>
          <cell r="AW9">
            <v>0.3</v>
          </cell>
          <cell r="AX9">
            <v>2.0099999999999998</v>
          </cell>
          <cell r="AY9">
            <v>279</v>
          </cell>
          <cell r="AZ9">
            <v>30000</v>
          </cell>
          <cell r="BA9">
            <v>0.3</v>
          </cell>
          <cell r="BB9">
            <v>2.0099999999999998</v>
          </cell>
          <cell r="BC9">
            <v>433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>
            <v>0</v>
          </cell>
          <cell r="BQ9">
            <v>0</v>
          </cell>
          <cell r="BR9">
            <v>0.1000000000003638</v>
          </cell>
          <cell r="BS9">
            <v>0.1000000000003638</v>
          </cell>
          <cell r="BT9">
            <v>0.1000000000003638</v>
          </cell>
          <cell r="BU9">
            <v>9.9999999998544808E-2</v>
          </cell>
          <cell r="BV9">
            <v>0.2000000000007276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-0.10000000000002274</v>
          </cell>
          <cell r="CB9">
            <v>-0.5</v>
          </cell>
          <cell r="CC9">
            <v>-0.7000000000007276</v>
          </cell>
          <cell r="CD9">
            <v>-0.8999999999996362</v>
          </cell>
          <cell r="CE9">
            <v>-0.89999999999781721</v>
          </cell>
          <cell r="CF9">
            <v>-1.2000000000007276</v>
          </cell>
          <cell r="CG9">
            <v>0</v>
          </cell>
          <cell r="CH9">
            <v>0</v>
          </cell>
          <cell r="CI9">
            <v>0</v>
          </cell>
        </row>
        <row r="10">
          <cell r="A10">
            <v>5</v>
          </cell>
          <cell r="B10" t="str">
            <v>E.MS.LV-001</v>
          </cell>
          <cell r="C10" t="str">
            <v>Balança Eletrônica</v>
          </cell>
          <cell r="D10" t="str">
            <v>Metrolab</v>
          </cell>
          <cell r="E10" t="str">
            <v>RBC - CAL 0215</v>
          </cell>
          <cell r="F10" t="str">
            <v>M0075/25</v>
          </cell>
          <cell r="G10">
            <v>45876</v>
          </cell>
          <cell r="H10">
            <v>46264</v>
          </cell>
          <cell r="I10" t="str">
            <v>kg</v>
          </cell>
          <cell r="J10">
            <v>2</v>
          </cell>
          <cell r="K10">
            <v>2000</v>
          </cell>
          <cell r="L10">
            <v>0.1</v>
          </cell>
          <cell r="M10">
            <v>0</v>
          </cell>
          <cell r="N10">
            <v>0.2</v>
          </cell>
          <cell r="O10">
            <v>9.9999999999909051E-2</v>
          </cell>
          <cell r="P10">
            <v>0</v>
          </cell>
          <cell r="Q10">
            <v>3.5527136788005009E-15</v>
          </cell>
          <cell r="R10">
            <v>5</v>
          </cell>
          <cell r="S10">
            <v>0</v>
          </cell>
          <cell r="T10">
            <v>0</v>
          </cell>
          <cell r="U10">
            <v>0</v>
          </cell>
          <cell r="V10">
            <v>-2.8908590285271261E-28</v>
          </cell>
          <cell r="W10">
            <v>1.449314614905316E-24</v>
          </cell>
          <cell r="X10">
            <v>-2.681199227547383E-21</v>
          </cell>
          <cell r="Y10">
            <v>2.1455088288790807E-18</v>
          </cell>
          <cell r="Z10">
            <v>0.99999999999999944</v>
          </cell>
          <cell r="AA10">
            <v>3.797116544932212E-14</v>
          </cell>
          <cell r="AB10">
            <v>2</v>
          </cell>
          <cell r="AC10">
            <v>0.1</v>
          </cell>
          <cell r="AD10">
            <v>2</v>
          </cell>
          <cell r="AE10">
            <v>1000000</v>
          </cell>
          <cell r="AF10">
            <v>10</v>
          </cell>
          <cell r="AG10">
            <v>0.1</v>
          </cell>
          <cell r="AH10">
            <v>2</v>
          </cell>
          <cell r="AI10">
            <v>1000000</v>
          </cell>
          <cell r="AJ10">
            <v>100</v>
          </cell>
          <cell r="AK10">
            <v>0.1</v>
          </cell>
          <cell r="AL10">
            <v>2</v>
          </cell>
          <cell r="AM10">
            <v>1000000</v>
          </cell>
          <cell r="AN10">
            <v>500</v>
          </cell>
          <cell r="AO10">
            <v>0.1</v>
          </cell>
          <cell r="AP10">
            <v>2</v>
          </cell>
          <cell r="AQ10">
            <v>1000000</v>
          </cell>
          <cell r="AR10">
            <v>1000</v>
          </cell>
          <cell r="AS10">
            <v>0.1</v>
          </cell>
          <cell r="AT10">
            <v>2</v>
          </cell>
          <cell r="AU10">
            <v>1000000</v>
          </cell>
          <cell r="AV10">
            <v>1500</v>
          </cell>
          <cell r="AW10">
            <v>0.2</v>
          </cell>
          <cell r="AX10">
            <v>2</v>
          </cell>
          <cell r="AY10">
            <v>1000000</v>
          </cell>
          <cell r="AZ10">
            <v>2000</v>
          </cell>
          <cell r="BA10">
            <v>0.2</v>
          </cell>
          <cell r="BB10">
            <v>2</v>
          </cell>
          <cell r="BC10">
            <v>1000000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9.9999999999909051E-2</v>
          </cell>
          <cell r="CG10">
            <v>0</v>
          </cell>
          <cell r="CH10">
            <v>0</v>
          </cell>
          <cell r="CI10">
            <v>0</v>
          </cell>
        </row>
        <row r="11">
          <cell r="A11">
            <v>6</v>
          </cell>
          <cell r="B11" t="str">
            <v>E.MS.LQ-004</v>
          </cell>
          <cell r="C11" t="str">
            <v>Balança Analítica</v>
          </cell>
          <cell r="D11" t="str">
            <v>Elus</v>
          </cell>
          <cell r="E11" t="str">
            <v>RBC - CAL 0439</v>
          </cell>
          <cell r="F11" t="str">
            <v>E0012/26</v>
          </cell>
          <cell r="G11">
            <v>46031</v>
          </cell>
          <cell r="H11">
            <v>46417</v>
          </cell>
          <cell r="I11" t="str">
            <v>g</v>
          </cell>
          <cell r="J11">
            <v>0.2</v>
          </cell>
          <cell r="K11">
            <v>200</v>
          </cell>
          <cell r="L11">
            <v>1E-4</v>
          </cell>
          <cell r="M11">
            <v>1.0000000000331966E-4</v>
          </cell>
          <cell r="N11">
            <v>6.9999999999999999E-4</v>
          </cell>
          <cell r="O11">
            <v>9.9999999999988987E-5</v>
          </cell>
          <cell r="P11">
            <v>1.4285714286188522E-4</v>
          </cell>
          <cell r="Q11">
            <v>3.1373603714968112E-9</v>
          </cell>
          <cell r="R11">
            <v>5</v>
          </cell>
          <cell r="S11">
            <v>0</v>
          </cell>
          <cell r="T11">
            <v>0</v>
          </cell>
          <cell r="U11">
            <v>0</v>
          </cell>
          <cell r="V11">
            <v>-1.3753099726219241E-13</v>
          </cell>
          <cell r="W11">
            <v>4.2669812831905786E-11</v>
          </cell>
          <cell r="X11">
            <v>-3.2004747853589508E-9</v>
          </cell>
          <cell r="Y11">
            <v>3.122138520800993E-8</v>
          </cell>
          <cell r="Z11">
            <v>0.99999996582486339</v>
          </cell>
          <cell r="AA11">
            <v>7.1363804353755111E-9</v>
          </cell>
          <cell r="AB11">
            <v>0.2</v>
          </cell>
          <cell r="AC11">
            <v>2.0000000000000001E-4</v>
          </cell>
          <cell r="AD11">
            <v>2</v>
          </cell>
          <cell r="AE11">
            <v>1000000</v>
          </cell>
          <cell r="AF11">
            <v>0.5</v>
          </cell>
          <cell r="AG11">
            <v>2.0000000000000001E-4</v>
          </cell>
          <cell r="AH11">
            <v>2</v>
          </cell>
          <cell r="AI11">
            <v>1000000</v>
          </cell>
          <cell r="AJ11">
            <v>1</v>
          </cell>
          <cell r="AK11">
            <v>2.0000000000000001E-4</v>
          </cell>
          <cell r="AL11">
            <v>2</v>
          </cell>
          <cell r="AM11">
            <v>1000000</v>
          </cell>
          <cell r="AN11">
            <v>10</v>
          </cell>
          <cell r="AO11">
            <v>2.0000000000000001E-4</v>
          </cell>
          <cell r="AP11">
            <v>2</v>
          </cell>
          <cell r="AQ11">
            <v>1000000</v>
          </cell>
          <cell r="AR11">
            <v>50</v>
          </cell>
          <cell r="AS11">
            <v>2.9999999999999997E-4</v>
          </cell>
          <cell r="AT11">
            <v>2</v>
          </cell>
          <cell r="AU11">
            <v>1000000</v>
          </cell>
          <cell r="AV11">
            <v>100</v>
          </cell>
          <cell r="AW11">
            <v>4.0000000000000002E-4</v>
          </cell>
          <cell r="AX11">
            <v>2</v>
          </cell>
          <cell r="AY11">
            <v>1000000</v>
          </cell>
          <cell r="AZ11">
            <v>200</v>
          </cell>
          <cell r="BA11">
            <v>6.9999999999999999E-4</v>
          </cell>
          <cell r="BB11">
            <v>2</v>
          </cell>
          <cell r="BC11">
            <v>1000000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1.0000000000331966E-4</v>
          </cell>
          <cell r="BU11">
            <v>0</v>
          </cell>
          <cell r="BV11">
            <v>1.0000000000331966E-4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9.9999999999988987E-5</v>
          </cell>
          <cell r="CB11">
            <v>9.9999999999988987E-5</v>
          </cell>
          <cell r="CC11">
            <v>9.9999999999766942E-5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</row>
        <row r="12">
          <cell r="A12">
            <v>7</v>
          </cell>
          <cell r="B12" t="str">
            <v>E.MS.PMR-001</v>
          </cell>
          <cell r="C12" t="str">
            <v xml:space="preserve">Balança Analítica </v>
          </cell>
          <cell r="D12" t="str">
            <v xml:space="preserve">Elus </v>
          </cell>
          <cell r="E12" t="str">
            <v>RBC - CAL 0439</v>
          </cell>
          <cell r="F12" t="str">
            <v>E0018/26</v>
          </cell>
          <cell r="G12">
            <v>46031</v>
          </cell>
          <cell r="H12">
            <v>46417</v>
          </cell>
          <cell r="I12" t="str">
            <v>g</v>
          </cell>
          <cell r="J12">
            <v>1E-3</v>
          </cell>
          <cell r="K12">
            <v>100</v>
          </cell>
          <cell r="L12">
            <v>1.0000000000000001E-5</v>
          </cell>
          <cell r="M12">
            <v>1.0000000000331966E-4</v>
          </cell>
          <cell r="N12">
            <v>4.0000000000000002E-4</v>
          </cell>
          <cell r="O12">
            <v>5.0000000000238742E-4</v>
          </cell>
          <cell r="P12">
            <v>7.3999999999330157E-4</v>
          </cell>
          <cell r="Q12">
            <v>6.3200900668900936E-6</v>
          </cell>
          <cell r="R12">
            <v>8</v>
          </cell>
          <cell r="S12">
            <v>-7.3930558340861964E-15</v>
          </cell>
          <cell r="T12">
            <v>1.3808070691209158E-12</v>
          </cell>
          <cell r="U12">
            <v>-8.0311926920757997E-11</v>
          </cell>
          <cell r="V12">
            <v>1.7448544254946536E-9</v>
          </cell>
          <cell r="W12">
            <v>-1.2867425078348879E-8</v>
          </cell>
          <cell r="X12">
            <v>0</v>
          </cell>
          <cell r="Y12">
            <v>0</v>
          </cell>
          <cell r="Z12">
            <v>1.0000005612557945</v>
          </cell>
          <cell r="AA12">
            <v>-4.1782269599721644E-6</v>
          </cell>
          <cell r="AB12">
            <v>1E-3</v>
          </cell>
          <cell r="AC12">
            <v>2.0000000000000002E-5</v>
          </cell>
          <cell r="AD12">
            <v>2</v>
          </cell>
          <cell r="AE12">
            <v>1000000</v>
          </cell>
          <cell r="AF12">
            <v>5.0000000000000001E-3</v>
          </cell>
          <cell r="AG12">
            <v>2.0000000000000002E-5</v>
          </cell>
          <cell r="AH12">
            <v>2</v>
          </cell>
          <cell r="AI12">
            <v>1000000</v>
          </cell>
          <cell r="AJ12">
            <v>0.1</v>
          </cell>
          <cell r="AK12">
            <v>2.0000000000000002E-5</v>
          </cell>
          <cell r="AL12">
            <v>2.0099999999999998</v>
          </cell>
          <cell r="AM12">
            <v>181</v>
          </cell>
          <cell r="AN12">
            <v>0.5</v>
          </cell>
          <cell r="AO12">
            <v>2.0000000000000002E-5</v>
          </cell>
          <cell r="AP12">
            <v>2.0099999999999998</v>
          </cell>
          <cell r="AQ12">
            <v>182</v>
          </cell>
          <cell r="AR12">
            <v>1</v>
          </cell>
          <cell r="AS12">
            <v>4.0000000000000003E-5</v>
          </cell>
          <cell r="AT12">
            <v>2</v>
          </cell>
          <cell r="AU12">
            <v>1000000</v>
          </cell>
          <cell r="AV12">
            <v>10</v>
          </cell>
          <cell r="AW12">
            <v>8.0000000000000007E-5</v>
          </cell>
          <cell r="AX12">
            <v>2</v>
          </cell>
          <cell r="AY12">
            <v>1000000</v>
          </cell>
          <cell r="AZ12">
            <v>15</v>
          </cell>
          <cell r="BA12">
            <v>8.0000000000000007E-5</v>
          </cell>
          <cell r="BB12">
            <v>2</v>
          </cell>
          <cell r="BC12">
            <v>1000000</v>
          </cell>
          <cell r="BD12">
            <v>20</v>
          </cell>
          <cell r="BE12">
            <v>9.0000000000000006E-5</v>
          </cell>
          <cell r="BF12">
            <v>2</v>
          </cell>
          <cell r="BG12">
            <v>1000000</v>
          </cell>
          <cell r="BH12">
            <v>50</v>
          </cell>
          <cell r="BI12">
            <v>1.6000000000000001E-4</v>
          </cell>
          <cell r="BJ12">
            <v>2</v>
          </cell>
          <cell r="BK12">
            <v>1000000</v>
          </cell>
          <cell r="BL12">
            <v>100</v>
          </cell>
          <cell r="BM12">
            <v>4.0000000000000002E-4</v>
          </cell>
          <cell r="BN12">
            <v>2</v>
          </cell>
          <cell r="BO12">
            <v>1000000</v>
          </cell>
          <cell r="BP12">
            <v>0</v>
          </cell>
          <cell r="BQ12">
            <v>0</v>
          </cell>
          <cell r="BR12">
            <v>9.9999999999961231E-6</v>
          </cell>
          <cell r="BS12">
            <v>9.9999999999544897E-6</v>
          </cell>
          <cell r="BT12">
            <v>0</v>
          </cell>
          <cell r="BU12">
            <v>1.9999999999242846E-5</v>
          </cell>
          <cell r="BV12">
            <v>1.9999999999242846E-5</v>
          </cell>
          <cell r="BW12">
            <v>2.9999999998864268E-5</v>
          </cell>
          <cell r="BX12">
            <v>3.9999999998485691E-5</v>
          </cell>
          <cell r="BY12">
            <v>-1.0000000000331966E-4</v>
          </cell>
          <cell r="BZ12">
            <v>0</v>
          </cell>
          <cell r="CA12">
            <v>0</v>
          </cell>
          <cell r="CB12">
            <v>-2.0000000000006124E-5</v>
          </cell>
          <cell r="CC12">
            <v>-1.9999999999964491E-5</v>
          </cell>
          <cell r="CD12">
            <v>1.0000000000065512E-5</v>
          </cell>
          <cell r="CE12">
            <v>1.000000000139778E-5</v>
          </cell>
          <cell r="CF12">
            <v>7.0000000000902673E-5</v>
          </cell>
          <cell r="CG12">
            <v>9.9999999996214228E-6</v>
          </cell>
          <cell r="CH12">
            <v>6.0000000004833964E-5</v>
          </cell>
          <cell r="CI12">
            <v>5.0000000000238742E-4</v>
          </cell>
        </row>
        <row r="13">
          <cell r="A13">
            <v>8</v>
          </cell>
          <cell r="B13" t="str">
            <v>E.MS.PMR-003</v>
          </cell>
          <cell r="C13" t="str">
            <v>Balança eletrônica</v>
          </cell>
          <cell r="D13" t="str">
            <v xml:space="preserve">Elus </v>
          </cell>
          <cell r="E13" t="str">
            <v>RBC - CAL 0439</v>
          </cell>
          <cell r="F13" t="str">
            <v>E0020/26</v>
          </cell>
          <cell r="G13">
            <v>46031</v>
          </cell>
          <cell r="H13">
            <v>46417</v>
          </cell>
          <cell r="I13" t="str">
            <v>kg</v>
          </cell>
          <cell r="J13">
            <v>1</v>
          </cell>
          <cell r="K13">
            <v>60</v>
          </cell>
          <cell r="L13">
            <v>1E-3</v>
          </cell>
          <cell r="M13">
            <v>2.0000000000024443E-3</v>
          </cell>
          <cell r="N13">
            <v>3.0000000000000001E-3</v>
          </cell>
          <cell r="O13">
            <v>1.9999999999988916E-3</v>
          </cell>
          <cell r="P13">
            <v>5.0000000000061107E-3</v>
          </cell>
          <cell r="Q13">
            <v>1.6372153820354285E-4</v>
          </cell>
          <cell r="R13">
            <v>5</v>
          </cell>
          <cell r="S13">
            <v>0</v>
          </cell>
          <cell r="T13">
            <v>0</v>
          </cell>
          <cell r="U13">
            <v>0</v>
          </cell>
          <cell r="V13">
            <v>-3.9706870565736047E-11</v>
          </cell>
          <cell r="W13">
            <v>3.2691647659282339E-9</v>
          </cell>
          <cell r="X13">
            <v>-1.566910709068572E-8</v>
          </cell>
          <cell r="Y13">
            <v>-2.1325971783988338E-6</v>
          </cell>
          <cell r="Z13">
            <v>1.0000265852051524</v>
          </cell>
          <cell r="AA13">
            <v>-3.1110532056293112E-5</v>
          </cell>
          <cell r="AB13">
            <v>1</v>
          </cell>
          <cell r="AC13">
            <v>2E-3</v>
          </cell>
          <cell r="AD13">
            <v>2</v>
          </cell>
          <cell r="AE13">
            <v>1000000</v>
          </cell>
          <cell r="AF13">
            <v>10</v>
          </cell>
          <cell r="AG13">
            <v>2E-3</v>
          </cell>
          <cell r="AH13">
            <v>2</v>
          </cell>
          <cell r="AI13">
            <v>1000000</v>
          </cell>
          <cell r="AJ13">
            <v>20</v>
          </cell>
          <cell r="AK13">
            <v>2E-3</v>
          </cell>
          <cell r="AL13">
            <v>2</v>
          </cell>
          <cell r="AM13">
            <v>1000000</v>
          </cell>
          <cell r="AN13">
            <v>30</v>
          </cell>
          <cell r="AO13">
            <v>2E-3</v>
          </cell>
          <cell r="AP13">
            <v>2</v>
          </cell>
          <cell r="AQ13">
            <v>1000000</v>
          </cell>
          <cell r="AR13">
            <v>40</v>
          </cell>
          <cell r="AS13">
            <v>3.0000000000000001E-3</v>
          </cell>
          <cell r="AT13">
            <v>2</v>
          </cell>
          <cell r="AU13">
            <v>1000000</v>
          </cell>
          <cell r="AV13">
            <v>50</v>
          </cell>
          <cell r="AW13">
            <v>3.0000000000000001E-3</v>
          </cell>
          <cell r="AX13">
            <v>2</v>
          </cell>
          <cell r="AY13">
            <v>1000000</v>
          </cell>
          <cell r="AZ13">
            <v>60</v>
          </cell>
          <cell r="BA13">
            <v>3.0000000000000001E-3</v>
          </cell>
          <cell r="BB13">
            <v>2</v>
          </cell>
          <cell r="BC13">
            <v>1000000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-9.9999999999766942E-4</v>
          </cell>
          <cell r="BU13">
            <v>-2.0000000000024443E-3</v>
          </cell>
          <cell r="BV13">
            <v>-2.0000000000024443E-3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-9.9999999999944578E-4</v>
          </cell>
          <cell r="CB13">
            <v>-1.0000000000012221E-3</v>
          </cell>
          <cell r="CC13">
            <v>-1.9999999999988916E-3</v>
          </cell>
          <cell r="CD13">
            <v>-1.0000000000047748E-3</v>
          </cell>
          <cell r="CE13">
            <v>-9.9999999999766942E-4</v>
          </cell>
          <cell r="CF13">
            <v>-9.9999999999766942E-4</v>
          </cell>
          <cell r="CG13">
            <v>0</v>
          </cell>
          <cell r="CH13">
            <v>0</v>
          </cell>
          <cell r="CI13">
            <v>0</v>
          </cell>
        </row>
        <row r="14">
          <cell r="A14">
            <v>9</v>
          </cell>
          <cell r="B14" t="str">
            <v>E.MS.LQ-006</v>
          </cell>
          <cell r="C14" t="str">
            <v>Balança Analítica</v>
          </cell>
          <cell r="D14" t="str">
            <v xml:space="preserve">Elus </v>
          </cell>
          <cell r="E14" t="str">
            <v>RBC - CAL 0439</v>
          </cell>
          <cell r="F14" t="str">
            <v>E0014/26</v>
          </cell>
          <cell r="G14">
            <v>46031</v>
          </cell>
          <cell r="H14">
            <v>46417</v>
          </cell>
          <cell r="I14" t="str">
            <v>g</v>
          </cell>
          <cell r="J14">
            <v>1E-3</v>
          </cell>
          <cell r="K14">
            <v>220</v>
          </cell>
          <cell r="L14">
            <v>1.0000000000000001E-5</v>
          </cell>
          <cell r="M14">
            <v>2.0000000000663931E-4</v>
          </cell>
          <cell r="N14">
            <v>8.0000000000000004E-4</v>
          </cell>
          <cell r="O14">
            <v>1.0000000000331966E-4</v>
          </cell>
          <cell r="P14">
            <v>1.0000000000331966E-4</v>
          </cell>
          <cell r="Q14">
            <v>6.1803135942284371E-9</v>
          </cell>
          <cell r="R14">
            <v>5</v>
          </cell>
          <cell r="S14">
            <v>0</v>
          </cell>
          <cell r="T14">
            <v>0</v>
          </cell>
          <cell r="U14">
            <v>0</v>
          </cell>
          <cell r="V14">
            <v>9.2046017820784507E-15</v>
          </cell>
          <cell r="W14">
            <v>-3.7590928263780877E-12</v>
          </cell>
          <cell r="X14">
            <v>2.4576369888003372E-10</v>
          </cell>
          <cell r="Y14">
            <v>3.5662296261772284E-8</v>
          </cell>
          <cell r="Z14">
            <v>0.99999781470238691</v>
          </cell>
          <cell r="AA14">
            <v>6.5532818904496387E-9</v>
          </cell>
          <cell r="AB14">
            <v>1E-3</v>
          </cell>
          <cell r="AC14">
            <v>2.0000000000000002E-5</v>
          </cell>
          <cell r="AD14">
            <v>2.02</v>
          </cell>
          <cell r="AE14">
            <v>142</v>
          </cell>
          <cell r="AF14">
            <v>5.0000000000000001E-3</v>
          </cell>
          <cell r="AG14">
            <v>2.0000000000000002E-5</v>
          </cell>
          <cell r="AH14">
            <v>2</v>
          </cell>
          <cell r="AI14">
            <v>1000000</v>
          </cell>
          <cell r="AJ14">
            <v>5</v>
          </cell>
          <cell r="AK14">
            <v>3.0000000000000001E-5</v>
          </cell>
          <cell r="AL14">
            <v>2</v>
          </cell>
          <cell r="AM14">
            <v>1000000</v>
          </cell>
          <cell r="AN14">
            <v>50</v>
          </cell>
          <cell r="AO14">
            <v>1.4999999999999999E-4</v>
          </cell>
          <cell r="AP14">
            <v>2</v>
          </cell>
          <cell r="AQ14">
            <v>1000000</v>
          </cell>
          <cell r="AR14">
            <v>100</v>
          </cell>
          <cell r="AS14">
            <v>4.0000000000000002E-4</v>
          </cell>
          <cell r="AT14">
            <v>2</v>
          </cell>
          <cell r="AU14">
            <v>1000000</v>
          </cell>
          <cell r="AV14">
            <v>150</v>
          </cell>
          <cell r="AW14">
            <v>5.0000000000000001E-4</v>
          </cell>
          <cell r="AX14">
            <v>2</v>
          </cell>
          <cell r="AY14">
            <v>1000000</v>
          </cell>
          <cell r="AZ14">
            <v>220</v>
          </cell>
          <cell r="BA14">
            <v>8.0000000000000004E-4</v>
          </cell>
          <cell r="BB14">
            <v>2</v>
          </cell>
          <cell r="BC14">
            <v>1000000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>
            <v>0</v>
          </cell>
          <cell r="BQ14">
            <v>0</v>
          </cell>
          <cell r="BR14">
            <v>9.9999999996214228E-6</v>
          </cell>
          <cell r="BS14">
            <v>1.0000000003174137E-5</v>
          </cell>
          <cell r="BT14">
            <v>-1.0000000000331966E-4</v>
          </cell>
          <cell r="BU14">
            <v>-1.0000000000331966E-4</v>
          </cell>
          <cell r="BV14">
            <v>2.0000000000663931E-4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-9.9999999996214228E-6</v>
          </cell>
          <cell r="CC14">
            <v>0</v>
          </cell>
          <cell r="CD14">
            <v>1.0000000000331966E-4</v>
          </cell>
          <cell r="CE14">
            <v>1.0000000000331966E-4</v>
          </cell>
          <cell r="CF14">
            <v>1.0000000000331966E-4</v>
          </cell>
          <cell r="CG14">
            <v>0</v>
          </cell>
          <cell r="CH14">
            <v>0</v>
          </cell>
          <cell r="CI14">
            <v>0</v>
          </cell>
        </row>
        <row r="15">
          <cell r="A15">
            <v>10</v>
          </cell>
          <cell r="B15" t="str">
            <v>E.MS.LQ-005</v>
          </cell>
          <cell r="C15" t="str">
            <v>Balança Analítica</v>
          </cell>
          <cell r="D15" t="str">
            <v xml:space="preserve">Elus </v>
          </cell>
          <cell r="E15" t="str">
            <v>RBC - CAL 0439</v>
          </cell>
          <cell r="F15" t="str">
            <v>E0013/26</v>
          </cell>
          <cell r="G15">
            <v>46031</v>
          </cell>
          <cell r="H15">
            <v>46417</v>
          </cell>
          <cell r="I15" t="str">
            <v>g</v>
          </cell>
          <cell r="J15">
            <v>1E-3</v>
          </cell>
          <cell r="K15">
            <v>220</v>
          </cell>
          <cell r="L15">
            <v>1.0000000000000001E-5</v>
          </cell>
          <cell r="M15">
            <v>1.0000000000331966E-4</v>
          </cell>
          <cell r="N15">
            <v>8.0000000000000004E-4</v>
          </cell>
          <cell r="O15">
            <v>2.0000000000663931E-4</v>
          </cell>
          <cell r="P15">
            <v>0</v>
          </cell>
          <cell r="Q15">
            <v>7.067691130346887E-6</v>
          </cell>
          <cell r="R15">
            <v>5</v>
          </cell>
          <cell r="S15">
            <v>0</v>
          </cell>
          <cell r="T15">
            <v>0</v>
          </cell>
          <cell r="U15">
            <v>0</v>
          </cell>
          <cell r="V15">
            <v>-5.212734296335124E-15</v>
          </cell>
          <cell r="W15">
            <v>2.5973353895409455E-12</v>
          </cell>
          <cell r="X15">
            <v>-4.8674512694499971E-10</v>
          </cell>
          <cell r="Y15">
            <v>4.033339705586922E-8</v>
          </cell>
          <cell r="Z15">
            <v>0.99999880798902774</v>
          </cell>
          <cell r="AA15">
            <v>-4.9940003418139523E-6</v>
          </cell>
          <cell r="AB15">
            <v>1E-3</v>
          </cell>
          <cell r="AC15">
            <v>2.0000000000000002E-5</v>
          </cell>
          <cell r="AD15">
            <v>2.02</v>
          </cell>
          <cell r="AE15">
            <v>142</v>
          </cell>
          <cell r="AF15">
            <v>5.0000000000000001E-3</v>
          </cell>
          <cell r="AG15">
            <v>2.0000000000000002E-5</v>
          </cell>
          <cell r="AH15">
            <v>2.02</v>
          </cell>
          <cell r="AI15">
            <v>141</v>
          </cell>
          <cell r="AJ15">
            <v>5</v>
          </cell>
          <cell r="AK15">
            <v>3.0000000000000001E-5</v>
          </cell>
          <cell r="AL15">
            <v>2</v>
          </cell>
          <cell r="AM15">
            <v>880</v>
          </cell>
          <cell r="AN15">
            <v>50</v>
          </cell>
          <cell r="AO15">
            <v>1.4999999999999999E-4</v>
          </cell>
          <cell r="AP15">
            <v>2</v>
          </cell>
          <cell r="AQ15">
            <v>1000000</v>
          </cell>
          <cell r="AR15">
            <v>100</v>
          </cell>
          <cell r="AS15">
            <v>4.0000000000000002E-4</v>
          </cell>
          <cell r="AT15">
            <v>2</v>
          </cell>
          <cell r="AU15">
            <v>1000000</v>
          </cell>
          <cell r="AV15">
            <v>150</v>
          </cell>
          <cell r="AW15">
            <v>5.0000000000000001E-4</v>
          </cell>
          <cell r="AX15">
            <v>2</v>
          </cell>
          <cell r="AY15">
            <v>1000000</v>
          </cell>
          <cell r="AZ15">
            <v>220</v>
          </cell>
          <cell r="BA15">
            <v>8.0000000000000004E-4</v>
          </cell>
          <cell r="BB15">
            <v>2</v>
          </cell>
          <cell r="BC15">
            <v>1000000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>
            <v>0</v>
          </cell>
          <cell r="BQ15">
            <v>9.9999999999995925E-6</v>
          </cell>
          <cell r="BR15">
            <v>9.9999999996214228E-6</v>
          </cell>
          <cell r="BS15">
            <v>1.0000000003174137E-5</v>
          </cell>
          <cell r="BT15">
            <v>0</v>
          </cell>
          <cell r="BU15">
            <v>0</v>
          </cell>
          <cell r="BV15">
            <v>1.0000000000331966E-4</v>
          </cell>
          <cell r="BW15">
            <v>0</v>
          </cell>
          <cell r="BX15">
            <v>0</v>
          </cell>
          <cell r="BY15">
            <v>0</v>
          </cell>
          <cell r="BZ15">
            <v>1.0000000000000026E-5</v>
          </cell>
          <cell r="CA15">
            <v>0</v>
          </cell>
          <cell r="CB15">
            <v>-9.9999999996214228E-6</v>
          </cell>
          <cell r="CC15">
            <v>9.9999999960687092E-6</v>
          </cell>
          <cell r="CD15">
            <v>0</v>
          </cell>
          <cell r="CE15">
            <v>-1.0000000000331966E-4</v>
          </cell>
          <cell r="CF15">
            <v>-2.0000000000663931E-4</v>
          </cell>
          <cell r="CG15">
            <v>0</v>
          </cell>
          <cell r="CH15">
            <v>0</v>
          </cell>
          <cell r="CI15">
            <v>0</v>
          </cell>
        </row>
        <row r="16">
          <cell r="A16">
            <v>11</v>
          </cell>
          <cell r="B16" t="str">
            <v>E.MS.LQ-007</v>
          </cell>
          <cell r="C16" t="str">
            <v>Balança Digital</v>
          </cell>
          <cell r="D16" t="str">
            <v xml:space="preserve">Elus </v>
          </cell>
          <cell r="E16" t="str">
            <v>RBC - CAL 0439</v>
          </cell>
          <cell r="F16" t="str">
            <v>E0015/26</v>
          </cell>
          <cell r="G16">
            <v>46031</v>
          </cell>
          <cell r="H16">
            <v>46417</v>
          </cell>
          <cell r="I16" t="str">
            <v>g</v>
          </cell>
          <cell r="J16">
            <v>0.5</v>
          </cell>
          <cell r="K16">
            <v>6000</v>
          </cell>
          <cell r="L16">
            <v>0.01</v>
          </cell>
          <cell r="M16">
            <v>1.0000000000218279E-2</v>
          </cell>
          <cell r="N16">
            <v>0.05</v>
          </cell>
          <cell r="O16">
            <v>9.9999999999997868E-3</v>
          </cell>
          <cell r="P16">
            <v>3.9999999999963624E-3</v>
          </cell>
          <cell r="Q16">
            <v>6.6026300443766672E-3</v>
          </cell>
          <cell r="R16">
            <v>5</v>
          </cell>
          <cell r="S16">
            <v>0</v>
          </cell>
          <cell r="T16">
            <v>0</v>
          </cell>
          <cell r="U16">
            <v>0</v>
          </cell>
          <cell r="V16">
            <v>-1.5008736051078918E-18</v>
          </cell>
          <cell r="W16">
            <v>1.9878244117221645E-14</v>
          </cell>
          <cell r="X16">
            <v>-8.8153370138416508E-11</v>
          </cell>
          <cell r="Y16">
            <v>1.5064393921489811E-7</v>
          </cell>
          <cell r="Z16">
            <v>0.99992347691789241</v>
          </cell>
          <cell r="AA16">
            <v>-4.3300173080658144E-3</v>
          </cell>
          <cell r="AB16">
            <v>0.5</v>
          </cell>
          <cell r="AC16">
            <v>0.02</v>
          </cell>
          <cell r="AD16">
            <v>2</v>
          </cell>
          <cell r="AE16">
            <v>1000000</v>
          </cell>
          <cell r="AF16">
            <v>10</v>
          </cell>
          <cell r="AG16">
            <v>0.02</v>
          </cell>
          <cell r="AH16">
            <v>2</v>
          </cell>
          <cell r="AI16">
            <v>1000000</v>
          </cell>
          <cell r="AJ16">
            <v>100</v>
          </cell>
          <cell r="AK16">
            <v>0.02</v>
          </cell>
          <cell r="AL16">
            <v>2</v>
          </cell>
          <cell r="AM16">
            <v>1000000</v>
          </cell>
          <cell r="AN16">
            <v>1000</v>
          </cell>
          <cell r="AO16">
            <v>0.02</v>
          </cell>
          <cell r="AP16">
            <v>2</v>
          </cell>
          <cell r="AQ16">
            <v>1000000</v>
          </cell>
          <cell r="AR16">
            <v>2000</v>
          </cell>
          <cell r="AS16">
            <v>0.03</v>
          </cell>
          <cell r="AT16">
            <v>2</v>
          </cell>
          <cell r="AU16">
            <v>1000000</v>
          </cell>
          <cell r="AV16">
            <v>4000</v>
          </cell>
          <cell r="AW16">
            <v>0.04</v>
          </cell>
          <cell r="AX16">
            <v>2</v>
          </cell>
          <cell r="AY16">
            <v>1000000</v>
          </cell>
          <cell r="AZ16">
            <v>6000</v>
          </cell>
          <cell r="BA16">
            <v>0.05</v>
          </cell>
          <cell r="BB16">
            <v>2</v>
          </cell>
          <cell r="BC16">
            <v>1000000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>
            <v>0</v>
          </cell>
          <cell r="BQ16">
            <v>9.9999999999997868E-3</v>
          </cell>
          <cell r="BR16">
            <v>1.0000000000005116E-2</v>
          </cell>
          <cell r="BS16">
            <v>0</v>
          </cell>
          <cell r="BT16">
            <v>-9.9999999999909051E-3</v>
          </cell>
          <cell r="BU16">
            <v>-1.0000000000218279E-2</v>
          </cell>
          <cell r="BV16">
            <v>-1.0000000000218279E-2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-9.9999999999997868E-3</v>
          </cell>
          <cell r="CB16">
            <v>0</v>
          </cell>
          <cell r="CC16">
            <v>0</v>
          </cell>
          <cell r="CD16">
            <v>9.9999999999909051E-3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</row>
        <row r="17">
          <cell r="A17">
            <v>12</v>
          </cell>
          <cell r="B17" t="str">
            <v>X.MS.LM-001</v>
          </cell>
          <cell r="C17" t="str">
            <v>Balança Analítica</v>
          </cell>
          <cell r="D17" t="str">
            <v xml:space="preserve">Elus </v>
          </cell>
          <cell r="E17" t="str">
            <v>RBC - CAL 0439</v>
          </cell>
          <cell r="F17" t="str">
            <v>E0233/24</v>
          </cell>
          <cell r="G17">
            <v>45471</v>
          </cell>
          <cell r="H17">
            <v>45838</v>
          </cell>
          <cell r="I17" t="str">
            <v>g</v>
          </cell>
          <cell r="J17">
            <v>1E-3</v>
          </cell>
          <cell r="K17">
            <v>20</v>
          </cell>
          <cell r="L17">
            <v>9.9999999999999995E-7</v>
          </cell>
          <cell r="M17">
            <v>2.3999999999801958E-5</v>
          </cell>
          <cell r="N17">
            <v>7.3999999999999996E-5</v>
          </cell>
          <cell r="O17">
            <v>1.9999999999242846E-5</v>
          </cell>
          <cell r="P17">
            <v>4.2000000000541604E-4</v>
          </cell>
          <cell r="Q17">
            <v>1.7427025734753864E-7</v>
          </cell>
          <cell r="R17">
            <v>7</v>
          </cell>
          <cell r="S17">
            <v>0</v>
          </cell>
          <cell r="T17">
            <v>-1.3902387276167041E-8</v>
          </cell>
          <cell r="U17">
            <v>5.4258377978662005E-7</v>
          </cell>
          <cell r="V17">
            <v>-6.8908456576051509E-6</v>
          </cell>
          <cell r="W17">
            <v>3.5807745157331792E-5</v>
          </cell>
          <cell r="X17">
            <v>-7.9793346809568097E-5</v>
          </cell>
          <cell r="Y17">
            <v>7.5215045022309669E-5</v>
          </cell>
          <cell r="Z17">
            <v>0.99997199071055853</v>
          </cell>
          <cell r="AA17">
            <v>-8.5763600110588811E-7</v>
          </cell>
          <cell r="AB17">
            <v>1E-3</v>
          </cell>
          <cell r="AC17">
            <v>3.9999999999999998E-6</v>
          </cell>
          <cell r="AD17">
            <v>2</v>
          </cell>
          <cell r="AE17">
            <v>1000000</v>
          </cell>
          <cell r="AF17">
            <v>0.01</v>
          </cell>
          <cell r="AG17">
            <v>7.9999999999999996E-6</v>
          </cell>
          <cell r="AH17">
            <v>2</v>
          </cell>
          <cell r="AI17">
            <v>1000000</v>
          </cell>
          <cell r="AJ17">
            <v>0.1</v>
          </cell>
          <cell r="AK17">
            <v>7.9999999999999996E-6</v>
          </cell>
          <cell r="AL17">
            <v>2</v>
          </cell>
          <cell r="AM17">
            <v>1000000</v>
          </cell>
          <cell r="AN17">
            <v>0.5</v>
          </cell>
          <cell r="AO17">
            <v>3.0000000000000001E-5</v>
          </cell>
          <cell r="AP17">
            <v>2</v>
          </cell>
          <cell r="AQ17">
            <v>1000000</v>
          </cell>
          <cell r="AR17">
            <v>1</v>
          </cell>
          <cell r="AS17">
            <v>1.1E-5</v>
          </cell>
          <cell r="AT17">
            <v>2</v>
          </cell>
          <cell r="AU17">
            <v>1000000</v>
          </cell>
          <cell r="AV17">
            <v>2</v>
          </cell>
          <cell r="AW17">
            <v>1.4E-5</v>
          </cell>
          <cell r="AX17">
            <v>2</v>
          </cell>
          <cell r="AY17">
            <v>1000000</v>
          </cell>
          <cell r="AZ17">
            <v>5</v>
          </cell>
          <cell r="BA17">
            <v>2.1999999999999999E-5</v>
          </cell>
          <cell r="BB17">
            <v>2</v>
          </cell>
          <cell r="BC17">
            <v>1000000</v>
          </cell>
          <cell r="BD17">
            <v>10</v>
          </cell>
          <cell r="BE17">
            <v>3.6999999999999998E-5</v>
          </cell>
          <cell r="BF17">
            <v>2</v>
          </cell>
          <cell r="BG17">
            <v>1000000</v>
          </cell>
          <cell r="BH17">
            <v>20</v>
          </cell>
          <cell r="BI17">
            <v>7.3999999999999996E-5</v>
          </cell>
          <cell r="BJ17">
            <v>2</v>
          </cell>
          <cell r="BK17">
            <v>1000000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>
            <v>9.9999999999991589E-7</v>
          </cell>
          <cell r="BQ17">
            <v>9.9999999999926537E-7</v>
          </cell>
          <cell r="BR17">
            <v>2.9999999999891225E-6</v>
          </cell>
          <cell r="BS17">
            <v>4.0000000000040004E-6</v>
          </cell>
          <cell r="BT17">
            <v>3.9999999998929781E-6</v>
          </cell>
          <cell r="BU17">
            <v>8.9999999999257341E-6</v>
          </cell>
          <cell r="BV17">
            <v>-3.0000000004193339E-6</v>
          </cell>
          <cell r="BW17">
            <v>0</v>
          </cell>
          <cell r="BX17">
            <v>-2.3999999999801958E-5</v>
          </cell>
          <cell r="BY17">
            <v>0</v>
          </cell>
          <cell r="BZ17">
            <v>2.0000000000000486E-6</v>
          </cell>
          <cell r="CA17">
            <v>2.0000000000002655E-6</v>
          </cell>
          <cell r="CB17">
            <v>0</v>
          </cell>
          <cell r="CC17">
            <v>-1.0000000000287557E-6</v>
          </cell>
          <cell r="CD17">
            <v>-3.9999999998929781E-6</v>
          </cell>
          <cell r="CE17">
            <v>-4.9999999998107114E-6</v>
          </cell>
          <cell r="CF17">
            <v>1.000000000139778E-6</v>
          </cell>
          <cell r="CG17">
            <v>0</v>
          </cell>
          <cell r="CH17">
            <v>1.9999999999242846E-5</v>
          </cell>
          <cell r="CI17">
            <v>0</v>
          </cell>
        </row>
        <row r="18">
          <cell r="A18">
            <v>13</v>
          </cell>
          <cell r="B18" t="str">
            <v>E.MS.LM-001</v>
          </cell>
          <cell r="C18" t="str">
            <v>Balança Analítica</v>
          </cell>
          <cell r="D18" t="str">
            <v xml:space="preserve">Elus </v>
          </cell>
          <cell r="E18" t="str">
            <v>RBC - CAL 0439</v>
          </cell>
          <cell r="F18" t="str">
            <v>E0233/24</v>
          </cell>
          <cell r="G18">
            <v>45471</v>
          </cell>
          <cell r="H18">
            <v>45838</v>
          </cell>
          <cell r="I18" t="str">
            <v>g</v>
          </cell>
          <cell r="J18">
            <v>5.0000000000000001E-3</v>
          </cell>
          <cell r="K18">
            <v>1</v>
          </cell>
          <cell r="L18">
            <v>9.9999999999999995E-7</v>
          </cell>
          <cell r="M18">
            <v>5.000000000032756E-6</v>
          </cell>
          <cell r="N18">
            <v>1.1E-5</v>
          </cell>
          <cell r="O18">
            <v>5.000000000032756E-6</v>
          </cell>
          <cell r="P18">
            <v>0</v>
          </cell>
          <cell r="Q18">
            <v>4.8691375920418829E-8</v>
          </cell>
          <cell r="R18">
            <v>5</v>
          </cell>
          <cell r="S18">
            <v>0</v>
          </cell>
          <cell r="T18">
            <v>0</v>
          </cell>
          <cell r="U18">
            <v>0</v>
          </cell>
          <cell r="V18">
            <v>-1.7845521092903979E-2</v>
          </cell>
          <cell r="W18">
            <v>3.2601190869599263E-2</v>
          </cell>
          <cell r="X18">
            <v>-1.81141162050708E-2</v>
          </cell>
          <cell r="Y18">
            <v>3.57154021436087E-3</v>
          </cell>
          <cell r="Z18">
            <v>0.99978292068864727</v>
          </cell>
          <cell r="AA18">
            <v>-9.8327751226314278E-7</v>
          </cell>
          <cell r="AB18">
            <v>5.0000000000000001E-3</v>
          </cell>
          <cell r="AC18">
            <v>3.0000000000000001E-6</v>
          </cell>
          <cell r="AD18">
            <v>2</v>
          </cell>
          <cell r="AE18">
            <v>1000000</v>
          </cell>
          <cell r="AF18">
            <v>0.02</v>
          </cell>
          <cell r="AG18">
            <v>5.0000000000000004E-6</v>
          </cell>
          <cell r="AH18">
            <v>2</v>
          </cell>
          <cell r="AI18">
            <v>1000000</v>
          </cell>
          <cell r="AJ18">
            <v>0.05</v>
          </cell>
          <cell r="AK18">
            <v>5.0000000000000004E-6</v>
          </cell>
          <cell r="AL18">
            <v>2</v>
          </cell>
          <cell r="AM18">
            <v>1000000</v>
          </cell>
          <cell r="AN18">
            <v>0.1</v>
          </cell>
          <cell r="AO18">
            <v>6.0000000000000002E-6</v>
          </cell>
          <cell r="AP18">
            <v>2</v>
          </cell>
          <cell r="AQ18">
            <v>1000000</v>
          </cell>
          <cell r="AR18">
            <v>0.2</v>
          </cell>
          <cell r="AS18">
            <v>7.9999999999999996E-6</v>
          </cell>
          <cell r="AT18">
            <v>2</v>
          </cell>
          <cell r="AU18">
            <v>1000000</v>
          </cell>
          <cell r="AV18">
            <v>0.5</v>
          </cell>
          <cell r="AW18">
            <v>1.1E-5</v>
          </cell>
          <cell r="AX18">
            <v>2</v>
          </cell>
          <cell r="AY18">
            <v>1000000</v>
          </cell>
          <cell r="AZ18">
            <v>1</v>
          </cell>
          <cell r="BA18">
            <v>1.1E-5</v>
          </cell>
          <cell r="BB18">
            <v>2</v>
          </cell>
          <cell r="BC18">
            <v>1000000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  <cell r="BP18">
            <v>2.0000000000002655E-6</v>
          </cell>
          <cell r="BQ18">
            <v>4.0000000000005309E-6</v>
          </cell>
          <cell r="BR18">
            <v>4.9999999999980616E-6</v>
          </cell>
          <cell r="BS18">
            <v>1.9999999999881224E-6</v>
          </cell>
          <cell r="BT18">
            <v>0</v>
          </cell>
          <cell r="BU18">
            <v>1.0000000000287557E-6</v>
          </cell>
          <cell r="BV18">
            <v>5.000000000032756E-6</v>
          </cell>
          <cell r="BW18">
            <v>0</v>
          </cell>
          <cell r="BX18">
            <v>0</v>
          </cell>
          <cell r="BY18">
            <v>0</v>
          </cell>
          <cell r="BZ18">
            <v>-2.0000000000002655E-6</v>
          </cell>
          <cell r="CA18">
            <v>-4.0000000000005309E-6</v>
          </cell>
          <cell r="CB18">
            <v>-4.9999999999980616E-6</v>
          </cell>
          <cell r="CC18">
            <v>-1.9999999999881224E-6</v>
          </cell>
          <cell r="CD18">
            <v>0</v>
          </cell>
          <cell r="CE18">
            <v>-1.0000000000287557E-6</v>
          </cell>
          <cell r="CF18">
            <v>-5.000000000032756E-6</v>
          </cell>
          <cell r="CG18">
            <v>0</v>
          </cell>
          <cell r="CH18">
            <v>0</v>
          </cell>
          <cell r="CI18">
            <v>0</v>
          </cell>
        </row>
        <row r="19">
          <cell r="A19">
            <v>14</v>
          </cell>
          <cell r="B19" t="str">
            <v>E.MS.LQ-001</v>
          </cell>
          <cell r="C19" t="str">
            <v>Balança Analítica</v>
          </cell>
          <cell r="D19" t="str">
            <v xml:space="preserve">Elus </v>
          </cell>
          <cell r="E19" t="str">
            <v>RBC - CAL 0439</v>
          </cell>
          <cell r="F19" t="str">
            <v>E0498/25</v>
          </cell>
          <cell r="G19">
            <v>45873</v>
          </cell>
          <cell r="H19">
            <v>46264</v>
          </cell>
          <cell r="I19" t="str">
            <v>g</v>
          </cell>
          <cell r="J19">
            <v>100</v>
          </cell>
          <cell r="K19">
            <v>10000</v>
          </cell>
          <cell r="L19">
            <v>0.1</v>
          </cell>
          <cell r="M19">
            <v>0.1000000000003638</v>
          </cell>
          <cell r="N19">
            <v>0.3</v>
          </cell>
          <cell r="O19">
            <v>0</v>
          </cell>
          <cell r="P19">
            <v>3.3333333333303017E-3</v>
          </cell>
          <cell r="Q19">
            <v>2.5322681510147049E-3</v>
          </cell>
          <cell r="R19">
            <v>5</v>
          </cell>
          <cell r="S19">
            <v>0</v>
          </cell>
          <cell r="T19">
            <v>0</v>
          </cell>
          <cell r="U19">
            <v>0</v>
          </cell>
          <cell r="V19">
            <v>1.0393305689147921E-19</v>
          </cell>
          <cell r="W19">
            <v>-2.2832890181026651E-15</v>
          </cell>
          <cell r="X19">
            <v>1.5919498419661782E-11</v>
          </cell>
          <cell r="Y19">
            <v>-3.6143265162539399E-8</v>
          </cell>
          <cell r="Z19">
            <v>1.0000237187205856</v>
          </cell>
          <cell r="AA19">
            <v>-2.7634804119944789E-3</v>
          </cell>
          <cell r="AB19">
            <v>100</v>
          </cell>
          <cell r="AC19">
            <v>0.2</v>
          </cell>
          <cell r="AD19">
            <v>2</v>
          </cell>
          <cell r="AE19">
            <v>1000000</v>
          </cell>
          <cell r="AF19">
            <v>500</v>
          </cell>
          <cell r="AG19">
            <v>0.2</v>
          </cell>
          <cell r="AH19">
            <v>2</v>
          </cell>
          <cell r="AI19">
            <v>1000000</v>
          </cell>
          <cell r="AJ19">
            <v>1000</v>
          </cell>
          <cell r="AK19">
            <v>0.2</v>
          </cell>
          <cell r="AL19">
            <v>2</v>
          </cell>
          <cell r="AM19">
            <v>1000000</v>
          </cell>
          <cell r="AN19">
            <v>2500</v>
          </cell>
          <cell r="AO19">
            <v>0.2</v>
          </cell>
          <cell r="AP19">
            <v>2</v>
          </cell>
          <cell r="AQ19">
            <v>1000000</v>
          </cell>
          <cell r="AR19">
            <v>5000</v>
          </cell>
          <cell r="AS19">
            <v>0.2</v>
          </cell>
          <cell r="AT19">
            <v>2.02</v>
          </cell>
          <cell r="AU19">
            <v>120</v>
          </cell>
          <cell r="AV19">
            <v>7500</v>
          </cell>
          <cell r="AW19">
            <v>0.2</v>
          </cell>
          <cell r="AX19">
            <v>2.02</v>
          </cell>
          <cell r="AY19">
            <v>153</v>
          </cell>
          <cell r="AZ19">
            <v>10000</v>
          </cell>
          <cell r="BA19">
            <v>0.3</v>
          </cell>
          <cell r="BB19">
            <v>2</v>
          </cell>
          <cell r="BC19">
            <v>1000000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-0.1000000000003638</v>
          </cell>
          <cell r="BU19">
            <v>-0.1000000000003638</v>
          </cell>
          <cell r="BV19">
            <v>-0.1000000000003638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</row>
        <row r="20">
          <cell r="A20">
            <v>15</v>
          </cell>
          <cell r="B20" t="str">
            <v>M.MS.LM-005</v>
          </cell>
          <cell r="C20" t="str">
            <v>Balança Eletrônica</v>
          </cell>
          <cell r="D20" t="str">
            <v>Metrolab</v>
          </cell>
          <cell r="E20" t="str">
            <v>RBC - CAL 0215</v>
          </cell>
          <cell r="F20" t="str">
            <v>M0063/25</v>
          </cell>
          <cell r="G20">
            <v>45887</v>
          </cell>
          <cell r="H20">
            <v>46264</v>
          </cell>
          <cell r="I20" t="str">
            <v>g</v>
          </cell>
          <cell r="J20">
            <v>0.2</v>
          </cell>
          <cell r="K20">
            <v>500</v>
          </cell>
          <cell r="L20">
            <v>1E-3</v>
          </cell>
          <cell r="M20">
            <v>9.9999999997635314E-4</v>
          </cell>
          <cell r="N20">
            <v>3.0000000000000001E-3</v>
          </cell>
          <cell r="O20">
            <v>1.9999999999527063E-3</v>
          </cell>
          <cell r="P20">
            <v>5.0000000000238742E-4</v>
          </cell>
          <cell r="Q20">
            <v>4.3675761203232355E-6</v>
          </cell>
          <cell r="R20">
            <v>5</v>
          </cell>
          <cell r="S20">
            <v>0</v>
          </cell>
          <cell r="T20">
            <v>0</v>
          </cell>
          <cell r="U20">
            <v>0</v>
          </cell>
          <cell r="V20">
            <v>1.8234193130665115E-15</v>
          </cell>
          <cell r="W20">
            <v>-1.7878289013572689E-12</v>
          </cell>
          <cell r="X20">
            <v>5.267097679273311E-10</v>
          </cell>
          <cell r="Y20">
            <v>-5.1321351189067656E-8</v>
          </cell>
          <cell r="Z20">
            <v>1.0000015041251415</v>
          </cell>
          <cell r="AA20">
            <v>-3.0184463320065413E-6</v>
          </cell>
          <cell r="AB20">
            <v>0.2</v>
          </cell>
          <cell r="AC20">
            <v>2E-3</v>
          </cell>
          <cell r="AD20">
            <v>2</v>
          </cell>
          <cell r="AE20">
            <v>1000000</v>
          </cell>
          <cell r="AF20">
            <v>5</v>
          </cell>
          <cell r="AG20">
            <v>2E-3</v>
          </cell>
          <cell r="AH20">
            <v>2</v>
          </cell>
          <cell r="AI20">
            <v>1000000</v>
          </cell>
          <cell r="AJ20">
            <v>50</v>
          </cell>
          <cell r="AK20">
            <v>2E-3</v>
          </cell>
          <cell r="AL20">
            <v>2</v>
          </cell>
          <cell r="AM20">
            <v>1000000</v>
          </cell>
          <cell r="AN20">
            <v>100</v>
          </cell>
          <cell r="AO20">
            <v>2E-3</v>
          </cell>
          <cell r="AP20">
            <v>2</v>
          </cell>
          <cell r="AQ20">
            <v>1000000</v>
          </cell>
          <cell r="AR20">
            <v>300</v>
          </cell>
          <cell r="AS20">
            <v>2E-3</v>
          </cell>
          <cell r="AT20">
            <v>2</v>
          </cell>
          <cell r="AU20">
            <v>1000000</v>
          </cell>
          <cell r="AV20">
            <v>400</v>
          </cell>
          <cell r="AW20">
            <v>3.0000000000000001E-3</v>
          </cell>
          <cell r="AX20">
            <v>2</v>
          </cell>
          <cell r="AY20">
            <v>1000000</v>
          </cell>
          <cell r="AZ20">
            <v>500</v>
          </cell>
          <cell r="BA20">
            <v>3.0000000000000001E-3</v>
          </cell>
          <cell r="BB20">
            <v>2</v>
          </cell>
          <cell r="BC20">
            <v>1000000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9.9999999997635314E-4</v>
          </cell>
          <cell r="BV20">
            <v>9.9999999997635314E-4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-9.9999999997635314E-4</v>
          </cell>
          <cell r="CF20">
            <v>-1.9999999999527063E-3</v>
          </cell>
          <cell r="CG20">
            <v>0</v>
          </cell>
          <cell r="CH20">
            <v>0</v>
          </cell>
          <cell r="CI20">
            <v>0</v>
          </cell>
        </row>
        <row r="21">
          <cell r="A21">
            <v>16</v>
          </cell>
          <cell r="B21" t="str">
            <v>M.MS.LM-006</v>
          </cell>
          <cell r="C21" t="str">
            <v>Balança Eletrônica</v>
          </cell>
          <cell r="D21" t="str">
            <v>Metrolab</v>
          </cell>
          <cell r="E21" t="str">
            <v>RBC - CAL 0215</v>
          </cell>
          <cell r="F21" t="str">
            <v>M0064/25</v>
          </cell>
          <cell r="G21">
            <v>45887</v>
          </cell>
          <cell r="H21">
            <v>46264</v>
          </cell>
          <cell r="I21" t="str">
            <v>g</v>
          </cell>
          <cell r="J21">
            <v>1</v>
          </cell>
          <cell r="K21">
            <v>2000</v>
          </cell>
          <cell r="L21">
            <v>0.01</v>
          </cell>
          <cell r="M21">
            <v>2.9999999999972715E-2</v>
          </cell>
          <cell r="N21">
            <v>0.04</v>
          </cell>
          <cell r="O21">
            <v>4.9999999999954525E-2</v>
          </cell>
          <cell r="P21">
            <v>4.9999999999954525E-3</v>
          </cell>
          <cell r="Q21">
            <v>9.5842302412663116E-5</v>
          </cell>
          <cell r="R21">
            <v>5</v>
          </cell>
          <cell r="S21">
            <v>0</v>
          </cell>
          <cell r="T21">
            <v>0</v>
          </cell>
          <cell r="U21">
            <v>0</v>
          </cell>
          <cell r="V21">
            <v>4.6697931588906474E-17</v>
          </cell>
          <cell r="W21">
            <v>-2.2021610792121316E-13</v>
          </cell>
          <cell r="X21">
            <v>3.4223244945612163E-10</v>
          </cell>
          <cell r="Y21">
            <v>-1.9569339302521538E-7</v>
          </cell>
          <cell r="Z21">
            <v>1.0000170582331884</v>
          </cell>
          <cell r="AA21">
            <v>9.9205111556049941E-3</v>
          </cell>
          <cell r="AB21">
            <v>1</v>
          </cell>
          <cell r="AC21">
            <v>0.02</v>
          </cell>
          <cell r="AD21">
            <v>2</v>
          </cell>
          <cell r="AE21">
            <v>1000000</v>
          </cell>
          <cell r="AF21">
            <v>10</v>
          </cell>
          <cell r="AG21">
            <v>0.02</v>
          </cell>
          <cell r="AH21">
            <v>2</v>
          </cell>
          <cell r="AI21">
            <v>1000000</v>
          </cell>
          <cell r="AJ21">
            <v>100</v>
          </cell>
          <cell r="AK21">
            <v>0.02</v>
          </cell>
          <cell r="AL21">
            <v>2</v>
          </cell>
          <cell r="AM21">
            <v>1000000</v>
          </cell>
          <cell r="AN21">
            <v>500</v>
          </cell>
          <cell r="AO21">
            <v>0.02</v>
          </cell>
          <cell r="AP21">
            <v>2</v>
          </cell>
          <cell r="AQ21">
            <v>1000000</v>
          </cell>
          <cell r="AR21">
            <v>1000</v>
          </cell>
          <cell r="AS21">
            <v>0.03</v>
          </cell>
          <cell r="AT21">
            <v>2</v>
          </cell>
          <cell r="AU21">
            <v>1000000</v>
          </cell>
          <cell r="AV21">
            <v>1500</v>
          </cell>
          <cell r="AW21">
            <v>0.03</v>
          </cell>
          <cell r="AX21">
            <v>2</v>
          </cell>
          <cell r="AY21">
            <v>1000000</v>
          </cell>
          <cell r="AZ21">
            <v>2000</v>
          </cell>
          <cell r="BA21">
            <v>0.04</v>
          </cell>
          <cell r="BB21">
            <v>2</v>
          </cell>
          <cell r="BC21">
            <v>1000000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>
            <v>-1.0000000000000009E-2</v>
          </cell>
          <cell r="BQ21">
            <v>-9.9999999999997868E-3</v>
          </cell>
          <cell r="BR21">
            <v>-1.0000000000005116E-2</v>
          </cell>
          <cell r="BS21">
            <v>0</v>
          </cell>
          <cell r="BT21">
            <v>0</v>
          </cell>
          <cell r="BU21">
            <v>9.9999999999909051E-3</v>
          </cell>
          <cell r="BV21">
            <v>2.9999999999972715E-2</v>
          </cell>
          <cell r="BW21">
            <v>0</v>
          </cell>
          <cell r="BX21">
            <v>0</v>
          </cell>
          <cell r="BY21">
            <v>0</v>
          </cell>
          <cell r="BZ21">
            <v>1.0000000000000009E-2</v>
          </cell>
          <cell r="CA21">
            <v>9.9999999999997868E-3</v>
          </cell>
          <cell r="CB21">
            <v>1.0000000000005116E-2</v>
          </cell>
          <cell r="CC21">
            <v>-9.9999999999909051E-3</v>
          </cell>
          <cell r="CD21">
            <v>-9.9999999999909051E-3</v>
          </cell>
          <cell r="CE21">
            <v>-1.999999999998181E-2</v>
          </cell>
          <cell r="CF21">
            <v>-4.9999999999954525E-2</v>
          </cell>
          <cell r="CG21">
            <v>0</v>
          </cell>
          <cell r="CH21">
            <v>0</v>
          </cell>
          <cell r="CI21">
            <v>0</v>
          </cell>
        </row>
        <row r="22">
          <cell r="A22">
            <v>17</v>
          </cell>
          <cell r="B22" t="str">
            <v>M.MS.LM-010</v>
          </cell>
          <cell r="C22" t="str">
            <v>Balança Eletrônica</v>
          </cell>
          <cell r="D22" t="str">
            <v>Metrolab</v>
          </cell>
          <cell r="E22" t="str">
            <v>RBC - CAL 0215</v>
          </cell>
          <cell r="F22" t="str">
            <v>M0019/25</v>
          </cell>
          <cell r="G22">
            <v>45750</v>
          </cell>
          <cell r="H22">
            <v>46142</v>
          </cell>
          <cell r="I22" t="str">
            <v>g</v>
          </cell>
          <cell r="J22">
            <v>5</v>
          </cell>
          <cell r="K22">
            <v>20000</v>
          </cell>
          <cell r="L22">
            <v>0.1</v>
          </cell>
          <cell r="M22">
            <v>0.2999999999992724</v>
          </cell>
          <cell r="N22">
            <v>0.3</v>
          </cell>
          <cell r="O22">
            <v>0.2999999999992724</v>
          </cell>
          <cell r="P22">
            <v>1.4285714285766256E-3</v>
          </cell>
          <cell r="Q22">
            <v>1.1951421719459177E-2</v>
          </cell>
          <cell r="R22">
            <v>3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6.6667161767437331E-14</v>
          </cell>
          <cell r="Y22">
            <v>-5.7133016302399202E-10</v>
          </cell>
          <cell r="Z22">
            <v>0.99999976040643024</v>
          </cell>
          <cell r="AA22">
            <v>1.431764997089191E-3</v>
          </cell>
          <cell r="AB22">
            <v>5</v>
          </cell>
          <cell r="AC22">
            <v>0.2</v>
          </cell>
          <cell r="AD22">
            <v>2</v>
          </cell>
          <cell r="AE22">
            <v>1000000</v>
          </cell>
          <cell r="AF22">
            <v>5000</v>
          </cell>
          <cell r="AG22">
            <v>0.2</v>
          </cell>
          <cell r="AH22">
            <v>2</v>
          </cell>
          <cell r="AI22">
            <v>1000000</v>
          </cell>
          <cell r="AJ22">
            <v>10000</v>
          </cell>
          <cell r="AK22">
            <v>0.2</v>
          </cell>
          <cell r="AL22">
            <v>2</v>
          </cell>
          <cell r="AM22">
            <v>1000000</v>
          </cell>
          <cell r="AN22">
            <v>15000</v>
          </cell>
          <cell r="AO22">
            <v>0.2</v>
          </cell>
          <cell r="AP22">
            <v>2</v>
          </cell>
          <cell r="AQ22">
            <v>1000000</v>
          </cell>
          <cell r="AR22">
            <v>20000</v>
          </cell>
          <cell r="AS22">
            <v>0.3</v>
          </cell>
          <cell r="AT22">
            <v>2</v>
          </cell>
          <cell r="AU22">
            <v>1000000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>
            <v>0</v>
          </cell>
          <cell r="BQ22">
            <v>0</v>
          </cell>
          <cell r="BR22">
            <v>0</v>
          </cell>
          <cell r="BS22">
            <v>-0.1000000000003638</v>
          </cell>
          <cell r="BT22">
            <v>-0.2999999999992724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0.1000000000003638</v>
          </cell>
          <cell r="CD22">
            <v>0.2999999999992724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</row>
        <row r="23">
          <cell r="A23">
            <v>18</v>
          </cell>
          <cell r="B23" t="str">
            <v>M.MS.LM-014</v>
          </cell>
          <cell r="C23" t="str">
            <v>Balança Analítica</v>
          </cell>
          <cell r="D23" t="str">
            <v>Metrolab</v>
          </cell>
          <cell r="E23" t="str">
            <v>RBC - CAL 0215</v>
          </cell>
          <cell r="F23" t="str">
            <v>M0066/25</v>
          </cell>
          <cell r="G23">
            <v>45887</v>
          </cell>
          <cell r="H23">
            <v>46264</v>
          </cell>
          <cell r="I23" t="str">
            <v>g</v>
          </cell>
          <cell r="J23">
            <v>1E-3</v>
          </cell>
          <cell r="K23">
            <v>220</v>
          </cell>
          <cell r="L23">
            <v>1.0000000000000001E-5</v>
          </cell>
          <cell r="M23">
            <v>7.9999999999813554E-4</v>
          </cell>
          <cell r="N23">
            <v>6.9999999999999999E-4</v>
          </cell>
          <cell r="O23">
            <v>4.0000000001327862E-4</v>
          </cell>
          <cell r="P23">
            <v>9.9999999991138929E-5</v>
          </cell>
          <cell r="Q23">
            <v>7.1236368177629572E-6</v>
          </cell>
          <cell r="R23">
            <v>5</v>
          </cell>
          <cell r="S23">
            <v>0</v>
          </cell>
          <cell r="T23">
            <v>0</v>
          </cell>
          <cell r="U23">
            <v>0</v>
          </cell>
          <cell r="V23">
            <v>-1.2669366368724902E-13</v>
          </cell>
          <cell r="W23">
            <v>6.3587209678476281E-11</v>
          </cell>
          <cell r="X23">
            <v>-1.0937872269495578E-8</v>
          </cell>
          <cell r="Y23">
            <v>7.7846591125403296E-7</v>
          </cell>
          <cell r="Z23">
            <v>0.99998136375868762</v>
          </cell>
          <cell r="AA23">
            <v>2.5053007670854111E-5</v>
          </cell>
          <cell r="AB23">
            <v>1E-3</v>
          </cell>
          <cell r="AC23">
            <v>2.0000000000000002E-5</v>
          </cell>
          <cell r="AD23">
            <v>2</v>
          </cell>
          <cell r="AE23">
            <v>1000000</v>
          </cell>
          <cell r="AF23">
            <v>5.0000000000000001E-3</v>
          </cell>
          <cell r="AG23">
            <v>2.0000000000000002E-5</v>
          </cell>
          <cell r="AH23">
            <v>2</v>
          </cell>
          <cell r="AI23">
            <v>1000000</v>
          </cell>
          <cell r="AJ23">
            <v>5</v>
          </cell>
          <cell r="AK23">
            <v>3.0000000000000001E-5</v>
          </cell>
          <cell r="AL23">
            <v>2</v>
          </cell>
          <cell r="AM23">
            <v>1000000</v>
          </cell>
          <cell r="AN23">
            <v>50</v>
          </cell>
          <cell r="AO23">
            <v>1.4999999999999999E-4</v>
          </cell>
          <cell r="AP23">
            <v>2</v>
          </cell>
          <cell r="AQ23">
            <v>1000000</v>
          </cell>
          <cell r="AR23">
            <v>100</v>
          </cell>
          <cell r="AS23">
            <v>4.0000000000000002E-4</v>
          </cell>
          <cell r="AT23">
            <v>2</v>
          </cell>
          <cell r="AU23">
            <v>1000000</v>
          </cell>
          <cell r="AV23">
            <v>150</v>
          </cell>
          <cell r="AW23">
            <v>5.0000000000000001E-4</v>
          </cell>
          <cell r="AX23">
            <v>2</v>
          </cell>
          <cell r="AY23">
            <v>1000000</v>
          </cell>
          <cell r="AZ23">
            <v>220</v>
          </cell>
          <cell r="BA23">
            <v>6.9999999999999999E-4</v>
          </cell>
          <cell r="BB23">
            <v>2</v>
          </cell>
          <cell r="BC23">
            <v>1000000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>
            <v>-2.0000000000000052E-5</v>
          </cell>
          <cell r="BQ23">
            <v>-3.0000000000000512E-5</v>
          </cell>
          <cell r="BR23">
            <v>4.9999999999883471E-5</v>
          </cell>
          <cell r="BS23">
            <v>-3.0000000002416982E-5</v>
          </cell>
          <cell r="BT23">
            <v>-1.0000000000331966E-4</v>
          </cell>
          <cell r="BU23">
            <v>-4.0000000001327862E-4</v>
          </cell>
          <cell r="BV23">
            <v>-7.9999999999813554E-4</v>
          </cell>
          <cell r="BW23">
            <v>0</v>
          </cell>
          <cell r="BX23">
            <v>0</v>
          </cell>
          <cell r="BY23">
            <v>0</v>
          </cell>
          <cell r="BZ23">
            <v>2.0000000000000052E-5</v>
          </cell>
          <cell r="CA23">
            <v>1.000000000000046E-5</v>
          </cell>
          <cell r="CB23">
            <v>2.0000000000131024E-5</v>
          </cell>
          <cell r="CC23">
            <v>1.200000000025625E-4</v>
          </cell>
          <cell r="CD23">
            <v>0</v>
          </cell>
          <cell r="CE23">
            <v>4.0000000001327862E-4</v>
          </cell>
          <cell r="CF23">
            <v>2.0000000000663931E-4</v>
          </cell>
          <cell r="CG23">
            <v>0</v>
          </cell>
          <cell r="CH23">
            <v>0</v>
          </cell>
          <cell r="CI23">
            <v>0</v>
          </cell>
        </row>
        <row r="24">
          <cell r="A24">
            <v>19</v>
          </cell>
          <cell r="B24" t="str">
            <v>E.MS.LQ-009</v>
          </cell>
          <cell r="C24" t="str">
            <v>Balança Analítica</v>
          </cell>
          <cell r="D24" t="str">
            <v xml:space="preserve">Elus </v>
          </cell>
          <cell r="E24" t="str">
            <v>RBC - CAL 0439</v>
          </cell>
          <cell r="F24" t="str">
            <v>E0848/25</v>
          </cell>
          <cell r="G24">
            <v>45868</v>
          </cell>
          <cell r="H24">
            <v>46233</v>
          </cell>
          <cell r="I24" t="str">
            <v>g</v>
          </cell>
          <cell r="J24">
            <v>1E-3</v>
          </cell>
          <cell r="K24">
            <v>220</v>
          </cell>
          <cell r="L24">
            <v>1.0000000000000001E-5</v>
          </cell>
          <cell r="M24">
            <v>2.0000000000663931E-4</v>
          </cell>
          <cell r="N24">
            <v>8.0000000000000004E-4</v>
          </cell>
          <cell r="O24">
            <v>2.0000000000663931E-4</v>
          </cell>
          <cell r="P24">
            <v>2.0000000000663931E-4</v>
          </cell>
          <cell r="Q24">
            <v>2.830433860290249E-5</v>
          </cell>
          <cell r="R24">
            <v>5</v>
          </cell>
          <cell r="S24">
            <v>0</v>
          </cell>
          <cell r="T24">
            <v>0</v>
          </cell>
          <cell r="U24">
            <v>0</v>
          </cell>
          <cell r="V24">
            <v>-1.1559172615534684E-14</v>
          </cell>
          <cell r="W24">
            <v>8.3974391316719149E-12</v>
          </cell>
          <cell r="X24">
            <v>-2.250138112949817E-9</v>
          </cell>
          <cell r="Y24">
            <v>2.4424173114031842E-7</v>
          </cell>
          <cell r="Z24">
            <v>0.99999283557315244</v>
          </cell>
          <cell r="AA24">
            <v>1.1926576278659118E-8</v>
          </cell>
          <cell r="AB24">
            <v>1E-3</v>
          </cell>
          <cell r="AC24">
            <v>2.0000000000000002E-5</v>
          </cell>
          <cell r="AD24">
            <v>2</v>
          </cell>
          <cell r="AE24">
            <v>1000000</v>
          </cell>
          <cell r="AF24">
            <v>5.0000000000000001E-3</v>
          </cell>
          <cell r="AG24">
            <v>2.0000000000000002E-5</v>
          </cell>
          <cell r="AH24">
            <v>2</v>
          </cell>
          <cell r="AI24">
            <v>1000000</v>
          </cell>
          <cell r="AJ24">
            <v>5</v>
          </cell>
          <cell r="AK24">
            <v>3.0000000000000001E-5</v>
          </cell>
          <cell r="AL24">
            <v>2</v>
          </cell>
          <cell r="AM24">
            <v>1000000</v>
          </cell>
          <cell r="AN24">
            <v>50</v>
          </cell>
          <cell r="AO24">
            <v>1.4999999999999999E-4</v>
          </cell>
          <cell r="AP24">
            <v>2</v>
          </cell>
          <cell r="AQ24">
            <v>1000000</v>
          </cell>
          <cell r="AR24">
            <v>100</v>
          </cell>
          <cell r="AS24">
            <v>4.0000000000000002E-4</v>
          </cell>
          <cell r="AT24">
            <v>2</v>
          </cell>
          <cell r="AU24">
            <v>1000000</v>
          </cell>
          <cell r="AV24">
            <v>150</v>
          </cell>
          <cell r="AW24">
            <v>6.9999999999999999E-4</v>
          </cell>
          <cell r="AX24">
            <v>2</v>
          </cell>
          <cell r="AY24">
            <v>1000000</v>
          </cell>
          <cell r="AZ24">
            <v>220</v>
          </cell>
          <cell r="BA24">
            <v>8.0000000000000004E-4</v>
          </cell>
          <cell r="BB24">
            <v>2</v>
          </cell>
          <cell r="BC24">
            <v>1000000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>
            <v>2.0000000000000052E-5</v>
          </cell>
          <cell r="BQ24">
            <v>-2.0000000000000052E-5</v>
          </cell>
          <cell r="BR24">
            <v>2.9999999999752447E-5</v>
          </cell>
          <cell r="BS24">
            <v>-1.9999999999242846E-5</v>
          </cell>
          <cell r="BT24">
            <v>-2.0000000000663931E-4</v>
          </cell>
          <cell r="BU24">
            <v>-2.0000000000663931E-4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-2.0000000000000052E-5</v>
          </cell>
          <cell r="CA24">
            <v>2.0000000000000052E-5</v>
          </cell>
          <cell r="CB24">
            <v>-2.9999999999752447E-5</v>
          </cell>
          <cell r="CC24">
            <v>1.9999999999242846E-5</v>
          </cell>
          <cell r="CD24">
            <v>2.0000000000663931E-4</v>
          </cell>
          <cell r="CE24">
            <v>2.0000000000663931E-4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</row>
        <row r="25">
          <cell r="A25">
            <v>20</v>
          </cell>
          <cell r="B25" t="str">
            <v>-</v>
          </cell>
          <cell r="C25" t="str">
            <v>-</v>
          </cell>
          <cell r="D25" t="str">
            <v>-</v>
          </cell>
          <cell r="E25" t="str">
            <v>-</v>
          </cell>
          <cell r="F25" t="str">
            <v>-</v>
          </cell>
          <cell r="G25" t="str">
            <v>-</v>
          </cell>
          <cell r="H25" t="str">
            <v>-</v>
          </cell>
          <cell r="I25" t="str">
            <v>-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-</v>
          </cell>
          <cell r="O25" t="str">
            <v>-</v>
          </cell>
          <cell r="P25">
            <v>0</v>
          </cell>
          <cell r="Q25" t="str">
            <v>-</v>
          </cell>
          <cell r="R25" t="str">
            <v>-</v>
          </cell>
          <cell r="S25" t="str">
            <v>-</v>
          </cell>
          <cell r="T25" t="str">
            <v>-</v>
          </cell>
          <cell r="U25" t="str">
            <v>-</v>
          </cell>
          <cell r="V25" t="str">
            <v>-</v>
          </cell>
          <cell r="W25" t="str">
            <v>-</v>
          </cell>
          <cell r="X25" t="str">
            <v>-</v>
          </cell>
          <cell r="Y25" t="str">
            <v>-</v>
          </cell>
          <cell r="Z25" t="str">
            <v>-</v>
          </cell>
          <cell r="AA25" t="str">
            <v>-</v>
          </cell>
          <cell r="AB25" t="str">
            <v>-</v>
          </cell>
          <cell r="AC25" t="str">
            <v>-</v>
          </cell>
          <cell r="AD25" t="str">
            <v>-</v>
          </cell>
          <cell r="AE25" t="str">
            <v>-</v>
          </cell>
          <cell r="AF25" t="str">
            <v>-</v>
          </cell>
          <cell r="AG25" t="str">
            <v>-</v>
          </cell>
          <cell r="AH25" t="str">
            <v>-</v>
          </cell>
          <cell r="AI25" t="str">
            <v>-</v>
          </cell>
          <cell r="AJ25" t="str">
            <v>-</v>
          </cell>
          <cell r="AK25" t="str">
            <v>-</v>
          </cell>
          <cell r="AL25" t="str">
            <v>-</v>
          </cell>
          <cell r="AM25" t="str">
            <v>-</v>
          </cell>
          <cell r="AN25" t="str">
            <v>-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4.xml"/><Relationship Id="rId21" Type="http://schemas.openxmlformats.org/officeDocument/2006/relationships/ctrlProp" Target="../ctrlProps/ctrlProp29.xml"/><Relationship Id="rId42" Type="http://schemas.openxmlformats.org/officeDocument/2006/relationships/ctrlProp" Target="../ctrlProps/ctrlProp50.xml"/><Relationship Id="rId47" Type="http://schemas.openxmlformats.org/officeDocument/2006/relationships/ctrlProp" Target="../ctrlProps/ctrlProp55.xml"/><Relationship Id="rId63" Type="http://schemas.openxmlformats.org/officeDocument/2006/relationships/ctrlProp" Target="../ctrlProps/ctrlProp71.xml"/><Relationship Id="rId68" Type="http://schemas.openxmlformats.org/officeDocument/2006/relationships/ctrlProp" Target="../ctrlProps/ctrlProp76.xml"/><Relationship Id="rId84" Type="http://schemas.openxmlformats.org/officeDocument/2006/relationships/ctrlProp" Target="../ctrlProps/ctrlProp92.xml"/><Relationship Id="rId16" Type="http://schemas.openxmlformats.org/officeDocument/2006/relationships/ctrlProp" Target="../ctrlProps/ctrlProp24.xml"/><Relationship Id="rId11" Type="http://schemas.openxmlformats.org/officeDocument/2006/relationships/ctrlProp" Target="../ctrlProps/ctrlProp19.xml"/><Relationship Id="rId32" Type="http://schemas.openxmlformats.org/officeDocument/2006/relationships/ctrlProp" Target="../ctrlProps/ctrlProp40.xml"/><Relationship Id="rId37" Type="http://schemas.openxmlformats.org/officeDocument/2006/relationships/ctrlProp" Target="../ctrlProps/ctrlProp45.xml"/><Relationship Id="rId53" Type="http://schemas.openxmlformats.org/officeDocument/2006/relationships/ctrlProp" Target="../ctrlProps/ctrlProp61.xml"/><Relationship Id="rId58" Type="http://schemas.openxmlformats.org/officeDocument/2006/relationships/ctrlProp" Target="../ctrlProps/ctrlProp66.xml"/><Relationship Id="rId74" Type="http://schemas.openxmlformats.org/officeDocument/2006/relationships/ctrlProp" Target="../ctrlProps/ctrlProp82.xml"/><Relationship Id="rId79" Type="http://schemas.openxmlformats.org/officeDocument/2006/relationships/ctrlProp" Target="../ctrlProps/ctrlProp87.xml"/><Relationship Id="rId5" Type="http://schemas.openxmlformats.org/officeDocument/2006/relationships/ctrlProp" Target="../ctrlProps/ctrlProp13.xml"/><Relationship Id="rId19" Type="http://schemas.openxmlformats.org/officeDocument/2006/relationships/ctrlProp" Target="../ctrlProps/ctrlProp2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Relationship Id="rId27" Type="http://schemas.openxmlformats.org/officeDocument/2006/relationships/ctrlProp" Target="../ctrlProps/ctrlProp35.xml"/><Relationship Id="rId30" Type="http://schemas.openxmlformats.org/officeDocument/2006/relationships/ctrlProp" Target="../ctrlProps/ctrlProp38.xml"/><Relationship Id="rId35" Type="http://schemas.openxmlformats.org/officeDocument/2006/relationships/ctrlProp" Target="../ctrlProps/ctrlProp43.xml"/><Relationship Id="rId43" Type="http://schemas.openxmlformats.org/officeDocument/2006/relationships/ctrlProp" Target="../ctrlProps/ctrlProp51.xml"/><Relationship Id="rId48" Type="http://schemas.openxmlformats.org/officeDocument/2006/relationships/ctrlProp" Target="../ctrlProps/ctrlProp56.xml"/><Relationship Id="rId56" Type="http://schemas.openxmlformats.org/officeDocument/2006/relationships/ctrlProp" Target="../ctrlProps/ctrlProp64.xml"/><Relationship Id="rId64" Type="http://schemas.openxmlformats.org/officeDocument/2006/relationships/ctrlProp" Target="../ctrlProps/ctrlProp72.xml"/><Relationship Id="rId69" Type="http://schemas.openxmlformats.org/officeDocument/2006/relationships/ctrlProp" Target="../ctrlProps/ctrlProp77.xml"/><Relationship Id="rId77" Type="http://schemas.openxmlformats.org/officeDocument/2006/relationships/ctrlProp" Target="../ctrlProps/ctrlProp85.xml"/><Relationship Id="rId8" Type="http://schemas.openxmlformats.org/officeDocument/2006/relationships/ctrlProp" Target="../ctrlProps/ctrlProp16.xml"/><Relationship Id="rId51" Type="http://schemas.openxmlformats.org/officeDocument/2006/relationships/ctrlProp" Target="../ctrlProps/ctrlProp59.xml"/><Relationship Id="rId72" Type="http://schemas.openxmlformats.org/officeDocument/2006/relationships/ctrlProp" Target="../ctrlProps/ctrlProp80.xml"/><Relationship Id="rId80" Type="http://schemas.openxmlformats.org/officeDocument/2006/relationships/ctrlProp" Target="../ctrlProps/ctrlProp88.xml"/><Relationship Id="rId85" Type="http://schemas.openxmlformats.org/officeDocument/2006/relationships/ctrlProp" Target="../ctrlProps/ctrlProp93.xml"/><Relationship Id="rId3" Type="http://schemas.openxmlformats.org/officeDocument/2006/relationships/ctrlProp" Target="../ctrlProps/ctrlProp11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5" Type="http://schemas.openxmlformats.org/officeDocument/2006/relationships/ctrlProp" Target="../ctrlProps/ctrlProp33.xml"/><Relationship Id="rId33" Type="http://schemas.openxmlformats.org/officeDocument/2006/relationships/ctrlProp" Target="../ctrlProps/ctrlProp41.xml"/><Relationship Id="rId38" Type="http://schemas.openxmlformats.org/officeDocument/2006/relationships/ctrlProp" Target="../ctrlProps/ctrlProp46.xml"/><Relationship Id="rId46" Type="http://schemas.openxmlformats.org/officeDocument/2006/relationships/ctrlProp" Target="../ctrlProps/ctrlProp54.xml"/><Relationship Id="rId59" Type="http://schemas.openxmlformats.org/officeDocument/2006/relationships/ctrlProp" Target="../ctrlProps/ctrlProp67.xml"/><Relationship Id="rId67" Type="http://schemas.openxmlformats.org/officeDocument/2006/relationships/ctrlProp" Target="../ctrlProps/ctrlProp75.xml"/><Relationship Id="rId20" Type="http://schemas.openxmlformats.org/officeDocument/2006/relationships/ctrlProp" Target="../ctrlProps/ctrlProp28.xml"/><Relationship Id="rId41" Type="http://schemas.openxmlformats.org/officeDocument/2006/relationships/ctrlProp" Target="../ctrlProps/ctrlProp49.xml"/><Relationship Id="rId54" Type="http://schemas.openxmlformats.org/officeDocument/2006/relationships/ctrlProp" Target="../ctrlProps/ctrlProp62.xml"/><Relationship Id="rId62" Type="http://schemas.openxmlformats.org/officeDocument/2006/relationships/ctrlProp" Target="../ctrlProps/ctrlProp70.xml"/><Relationship Id="rId70" Type="http://schemas.openxmlformats.org/officeDocument/2006/relationships/ctrlProp" Target="../ctrlProps/ctrlProp78.xml"/><Relationship Id="rId75" Type="http://schemas.openxmlformats.org/officeDocument/2006/relationships/ctrlProp" Target="../ctrlProps/ctrlProp83.xml"/><Relationship Id="rId83" Type="http://schemas.openxmlformats.org/officeDocument/2006/relationships/ctrlProp" Target="../ctrlProps/ctrlProp9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5" Type="http://schemas.openxmlformats.org/officeDocument/2006/relationships/ctrlProp" Target="../ctrlProps/ctrlProp23.xml"/><Relationship Id="rId23" Type="http://schemas.openxmlformats.org/officeDocument/2006/relationships/ctrlProp" Target="../ctrlProps/ctrlProp31.xml"/><Relationship Id="rId28" Type="http://schemas.openxmlformats.org/officeDocument/2006/relationships/ctrlProp" Target="../ctrlProps/ctrlProp36.xml"/><Relationship Id="rId36" Type="http://schemas.openxmlformats.org/officeDocument/2006/relationships/ctrlProp" Target="../ctrlProps/ctrlProp44.xml"/><Relationship Id="rId49" Type="http://schemas.openxmlformats.org/officeDocument/2006/relationships/ctrlProp" Target="../ctrlProps/ctrlProp57.xml"/><Relationship Id="rId57" Type="http://schemas.openxmlformats.org/officeDocument/2006/relationships/ctrlProp" Target="../ctrlProps/ctrlProp65.xml"/><Relationship Id="rId10" Type="http://schemas.openxmlformats.org/officeDocument/2006/relationships/ctrlProp" Target="../ctrlProps/ctrlProp18.xml"/><Relationship Id="rId31" Type="http://schemas.openxmlformats.org/officeDocument/2006/relationships/ctrlProp" Target="../ctrlProps/ctrlProp39.xml"/><Relationship Id="rId44" Type="http://schemas.openxmlformats.org/officeDocument/2006/relationships/ctrlProp" Target="../ctrlProps/ctrlProp52.xml"/><Relationship Id="rId52" Type="http://schemas.openxmlformats.org/officeDocument/2006/relationships/ctrlProp" Target="../ctrlProps/ctrlProp60.xml"/><Relationship Id="rId60" Type="http://schemas.openxmlformats.org/officeDocument/2006/relationships/ctrlProp" Target="../ctrlProps/ctrlProp68.xml"/><Relationship Id="rId65" Type="http://schemas.openxmlformats.org/officeDocument/2006/relationships/ctrlProp" Target="../ctrlProps/ctrlProp73.xml"/><Relationship Id="rId73" Type="http://schemas.openxmlformats.org/officeDocument/2006/relationships/ctrlProp" Target="../ctrlProps/ctrlProp81.xml"/><Relationship Id="rId78" Type="http://schemas.openxmlformats.org/officeDocument/2006/relationships/ctrlProp" Target="../ctrlProps/ctrlProp86.xml"/><Relationship Id="rId81" Type="http://schemas.openxmlformats.org/officeDocument/2006/relationships/ctrlProp" Target="../ctrlProps/ctrlProp89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9" Type="http://schemas.openxmlformats.org/officeDocument/2006/relationships/ctrlProp" Target="../ctrlProps/ctrlProp47.xml"/><Relationship Id="rId34" Type="http://schemas.openxmlformats.org/officeDocument/2006/relationships/ctrlProp" Target="../ctrlProps/ctrlProp42.xml"/><Relationship Id="rId50" Type="http://schemas.openxmlformats.org/officeDocument/2006/relationships/ctrlProp" Target="../ctrlProps/ctrlProp58.xml"/><Relationship Id="rId55" Type="http://schemas.openxmlformats.org/officeDocument/2006/relationships/ctrlProp" Target="../ctrlProps/ctrlProp63.xml"/><Relationship Id="rId76" Type="http://schemas.openxmlformats.org/officeDocument/2006/relationships/ctrlProp" Target="../ctrlProps/ctrlProp84.xml"/><Relationship Id="rId7" Type="http://schemas.openxmlformats.org/officeDocument/2006/relationships/ctrlProp" Target="../ctrlProps/ctrlProp15.xml"/><Relationship Id="rId71" Type="http://schemas.openxmlformats.org/officeDocument/2006/relationships/ctrlProp" Target="../ctrlProps/ctrlProp79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37.xml"/><Relationship Id="rId24" Type="http://schemas.openxmlformats.org/officeDocument/2006/relationships/ctrlProp" Target="../ctrlProps/ctrlProp32.xml"/><Relationship Id="rId40" Type="http://schemas.openxmlformats.org/officeDocument/2006/relationships/ctrlProp" Target="../ctrlProps/ctrlProp48.xml"/><Relationship Id="rId45" Type="http://schemas.openxmlformats.org/officeDocument/2006/relationships/ctrlProp" Target="../ctrlProps/ctrlProp53.xml"/><Relationship Id="rId66" Type="http://schemas.openxmlformats.org/officeDocument/2006/relationships/ctrlProp" Target="../ctrlProps/ctrlProp74.xml"/><Relationship Id="rId61" Type="http://schemas.openxmlformats.org/officeDocument/2006/relationships/ctrlProp" Target="../ctrlProps/ctrlProp69.xml"/><Relationship Id="rId82" Type="http://schemas.openxmlformats.org/officeDocument/2006/relationships/ctrlProp" Target="../ctrlProps/ctrlProp90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7.xml"/><Relationship Id="rId21" Type="http://schemas.openxmlformats.org/officeDocument/2006/relationships/ctrlProp" Target="../ctrlProps/ctrlProp112.xml"/><Relationship Id="rId42" Type="http://schemas.openxmlformats.org/officeDocument/2006/relationships/ctrlProp" Target="../ctrlProps/ctrlProp133.xml"/><Relationship Id="rId47" Type="http://schemas.openxmlformats.org/officeDocument/2006/relationships/ctrlProp" Target="../ctrlProps/ctrlProp138.xml"/><Relationship Id="rId63" Type="http://schemas.openxmlformats.org/officeDocument/2006/relationships/ctrlProp" Target="../ctrlProps/ctrlProp154.xml"/><Relationship Id="rId68" Type="http://schemas.openxmlformats.org/officeDocument/2006/relationships/ctrlProp" Target="../ctrlProps/ctrlProp159.xml"/><Relationship Id="rId84" Type="http://schemas.openxmlformats.org/officeDocument/2006/relationships/ctrlProp" Target="../ctrlProps/ctrlProp175.xml"/><Relationship Id="rId16" Type="http://schemas.openxmlformats.org/officeDocument/2006/relationships/ctrlProp" Target="../ctrlProps/ctrlProp107.xml"/><Relationship Id="rId11" Type="http://schemas.openxmlformats.org/officeDocument/2006/relationships/ctrlProp" Target="../ctrlProps/ctrlProp102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53" Type="http://schemas.openxmlformats.org/officeDocument/2006/relationships/ctrlProp" Target="../ctrlProps/ctrlProp144.xml"/><Relationship Id="rId58" Type="http://schemas.openxmlformats.org/officeDocument/2006/relationships/ctrlProp" Target="../ctrlProps/ctrlProp149.xml"/><Relationship Id="rId74" Type="http://schemas.openxmlformats.org/officeDocument/2006/relationships/ctrlProp" Target="../ctrlProps/ctrlProp165.xml"/><Relationship Id="rId79" Type="http://schemas.openxmlformats.org/officeDocument/2006/relationships/ctrlProp" Target="../ctrlProps/ctrlProp170.xml"/><Relationship Id="rId5" Type="http://schemas.openxmlformats.org/officeDocument/2006/relationships/ctrlProp" Target="../ctrlProps/ctrlProp96.xml"/><Relationship Id="rId19" Type="http://schemas.openxmlformats.org/officeDocument/2006/relationships/ctrlProp" Target="../ctrlProps/ctrlProp11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Relationship Id="rId43" Type="http://schemas.openxmlformats.org/officeDocument/2006/relationships/ctrlProp" Target="../ctrlProps/ctrlProp134.xml"/><Relationship Id="rId48" Type="http://schemas.openxmlformats.org/officeDocument/2006/relationships/ctrlProp" Target="../ctrlProps/ctrlProp139.xml"/><Relationship Id="rId56" Type="http://schemas.openxmlformats.org/officeDocument/2006/relationships/ctrlProp" Target="../ctrlProps/ctrlProp147.xml"/><Relationship Id="rId64" Type="http://schemas.openxmlformats.org/officeDocument/2006/relationships/ctrlProp" Target="../ctrlProps/ctrlProp155.xml"/><Relationship Id="rId69" Type="http://schemas.openxmlformats.org/officeDocument/2006/relationships/ctrlProp" Target="../ctrlProps/ctrlProp160.xml"/><Relationship Id="rId77" Type="http://schemas.openxmlformats.org/officeDocument/2006/relationships/ctrlProp" Target="../ctrlProps/ctrlProp168.xml"/><Relationship Id="rId8" Type="http://schemas.openxmlformats.org/officeDocument/2006/relationships/ctrlProp" Target="../ctrlProps/ctrlProp99.xml"/><Relationship Id="rId51" Type="http://schemas.openxmlformats.org/officeDocument/2006/relationships/ctrlProp" Target="../ctrlProps/ctrlProp142.xml"/><Relationship Id="rId72" Type="http://schemas.openxmlformats.org/officeDocument/2006/relationships/ctrlProp" Target="../ctrlProps/ctrlProp163.xml"/><Relationship Id="rId80" Type="http://schemas.openxmlformats.org/officeDocument/2006/relationships/ctrlProp" Target="../ctrlProps/ctrlProp171.xml"/><Relationship Id="rId85" Type="http://schemas.openxmlformats.org/officeDocument/2006/relationships/ctrlProp" Target="../ctrlProps/ctrlProp176.xml"/><Relationship Id="rId3" Type="http://schemas.openxmlformats.org/officeDocument/2006/relationships/ctrlProp" Target="../ctrlProps/ctrlProp94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46" Type="http://schemas.openxmlformats.org/officeDocument/2006/relationships/ctrlProp" Target="../ctrlProps/ctrlProp137.xml"/><Relationship Id="rId59" Type="http://schemas.openxmlformats.org/officeDocument/2006/relationships/ctrlProp" Target="../ctrlProps/ctrlProp150.xml"/><Relationship Id="rId67" Type="http://schemas.openxmlformats.org/officeDocument/2006/relationships/ctrlProp" Target="../ctrlProps/ctrlProp158.xml"/><Relationship Id="rId20" Type="http://schemas.openxmlformats.org/officeDocument/2006/relationships/ctrlProp" Target="../ctrlProps/ctrlProp111.xml"/><Relationship Id="rId41" Type="http://schemas.openxmlformats.org/officeDocument/2006/relationships/ctrlProp" Target="../ctrlProps/ctrlProp132.xml"/><Relationship Id="rId54" Type="http://schemas.openxmlformats.org/officeDocument/2006/relationships/ctrlProp" Target="../ctrlProps/ctrlProp145.xml"/><Relationship Id="rId62" Type="http://schemas.openxmlformats.org/officeDocument/2006/relationships/ctrlProp" Target="../ctrlProps/ctrlProp153.xml"/><Relationship Id="rId70" Type="http://schemas.openxmlformats.org/officeDocument/2006/relationships/ctrlProp" Target="../ctrlProps/ctrlProp161.xml"/><Relationship Id="rId75" Type="http://schemas.openxmlformats.org/officeDocument/2006/relationships/ctrlProp" Target="../ctrlProps/ctrlProp166.xml"/><Relationship Id="rId83" Type="http://schemas.openxmlformats.org/officeDocument/2006/relationships/ctrlProp" Target="../ctrlProps/ctrlProp17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7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49" Type="http://schemas.openxmlformats.org/officeDocument/2006/relationships/ctrlProp" Target="../ctrlProps/ctrlProp140.xml"/><Relationship Id="rId57" Type="http://schemas.openxmlformats.org/officeDocument/2006/relationships/ctrlProp" Target="../ctrlProps/ctrlProp148.xml"/><Relationship Id="rId10" Type="http://schemas.openxmlformats.org/officeDocument/2006/relationships/ctrlProp" Target="../ctrlProps/ctrlProp101.xml"/><Relationship Id="rId31" Type="http://schemas.openxmlformats.org/officeDocument/2006/relationships/ctrlProp" Target="../ctrlProps/ctrlProp122.xml"/><Relationship Id="rId44" Type="http://schemas.openxmlformats.org/officeDocument/2006/relationships/ctrlProp" Target="../ctrlProps/ctrlProp135.xml"/><Relationship Id="rId52" Type="http://schemas.openxmlformats.org/officeDocument/2006/relationships/ctrlProp" Target="../ctrlProps/ctrlProp143.xml"/><Relationship Id="rId60" Type="http://schemas.openxmlformats.org/officeDocument/2006/relationships/ctrlProp" Target="../ctrlProps/ctrlProp151.xml"/><Relationship Id="rId65" Type="http://schemas.openxmlformats.org/officeDocument/2006/relationships/ctrlProp" Target="../ctrlProps/ctrlProp156.xml"/><Relationship Id="rId73" Type="http://schemas.openxmlformats.org/officeDocument/2006/relationships/ctrlProp" Target="../ctrlProps/ctrlProp164.xml"/><Relationship Id="rId78" Type="http://schemas.openxmlformats.org/officeDocument/2006/relationships/ctrlProp" Target="../ctrlProps/ctrlProp169.xml"/><Relationship Id="rId81" Type="http://schemas.openxmlformats.org/officeDocument/2006/relationships/ctrlProp" Target="../ctrlProps/ctrlProp17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9" Type="http://schemas.openxmlformats.org/officeDocument/2006/relationships/ctrlProp" Target="../ctrlProps/ctrlProp130.xml"/><Relationship Id="rId34" Type="http://schemas.openxmlformats.org/officeDocument/2006/relationships/ctrlProp" Target="../ctrlProps/ctrlProp125.xml"/><Relationship Id="rId50" Type="http://schemas.openxmlformats.org/officeDocument/2006/relationships/ctrlProp" Target="../ctrlProps/ctrlProp141.xml"/><Relationship Id="rId55" Type="http://schemas.openxmlformats.org/officeDocument/2006/relationships/ctrlProp" Target="../ctrlProps/ctrlProp146.xml"/><Relationship Id="rId76" Type="http://schemas.openxmlformats.org/officeDocument/2006/relationships/ctrlProp" Target="../ctrlProps/ctrlProp167.xml"/><Relationship Id="rId7" Type="http://schemas.openxmlformats.org/officeDocument/2006/relationships/ctrlProp" Target="../ctrlProps/ctrlProp98.xml"/><Relationship Id="rId71" Type="http://schemas.openxmlformats.org/officeDocument/2006/relationships/ctrlProp" Target="../ctrlProps/ctrlProp162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20.xml"/><Relationship Id="rId24" Type="http://schemas.openxmlformats.org/officeDocument/2006/relationships/ctrlProp" Target="../ctrlProps/ctrlProp115.xml"/><Relationship Id="rId40" Type="http://schemas.openxmlformats.org/officeDocument/2006/relationships/ctrlProp" Target="../ctrlProps/ctrlProp131.xml"/><Relationship Id="rId45" Type="http://schemas.openxmlformats.org/officeDocument/2006/relationships/ctrlProp" Target="../ctrlProps/ctrlProp136.xml"/><Relationship Id="rId66" Type="http://schemas.openxmlformats.org/officeDocument/2006/relationships/ctrlProp" Target="../ctrlProps/ctrlProp157.xml"/><Relationship Id="rId61" Type="http://schemas.openxmlformats.org/officeDocument/2006/relationships/ctrlProp" Target="../ctrlProps/ctrlProp152.xml"/><Relationship Id="rId82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0.xml"/><Relationship Id="rId21" Type="http://schemas.openxmlformats.org/officeDocument/2006/relationships/ctrlProp" Target="../ctrlProps/ctrlProp195.xml"/><Relationship Id="rId42" Type="http://schemas.openxmlformats.org/officeDocument/2006/relationships/ctrlProp" Target="../ctrlProps/ctrlProp216.xml"/><Relationship Id="rId47" Type="http://schemas.openxmlformats.org/officeDocument/2006/relationships/ctrlProp" Target="../ctrlProps/ctrlProp221.xml"/><Relationship Id="rId63" Type="http://schemas.openxmlformats.org/officeDocument/2006/relationships/ctrlProp" Target="../ctrlProps/ctrlProp237.xml"/><Relationship Id="rId68" Type="http://schemas.openxmlformats.org/officeDocument/2006/relationships/ctrlProp" Target="../ctrlProps/ctrlProp242.xml"/><Relationship Id="rId84" Type="http://schemas.openxmlformats.org/officeDocument/2006/relationships/ctrlProp" Target="../ctrlProps/ctrlProp258.xml"/><Relationship Id="rId16" Type="http://schemas.openxmlformats.org/officeDocument/2006/relationships/ctrlProp" Target="../ctrlProps/ctrlProp190.xml"/><Relationship Id="rId11" Type="http://schemas.openxmlformats.org/officeDocument/2006/relationships/ctrlProp" Target="../ctrlProps/ctrlProp185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53" Type="http://schemas.openxmlformats.org/officeDocument/2006/relationships/ctrlProp" Target="../ctrlProps/ctrlProp227.xml"/><Relationship Id="rId58" Type="http://schemas.openxmlformats.org/officeDocument/2006/relationships/ctrlProp" Target="../ctrlProps/ctrlProp232.xml"/><Relationship Id="rId74" Type="http://schemas.openxmlformats.org/officeDocument/2006/relationships/ctrlProp" Target="../ctrlProps/ctrlProp248.xml"/><Relationship Id="rId79" Type="http://schemas.openxmlformats.org/officeDocument/2006/relationships/ctrlProp" Target="../ctrlProps/ctrlProp253.xml"/><Relationship Id="rId5" Type="http://schemas.openxmlformats.org/officeDocument/2006/relationships/ctrlProp" Target="../ctrlProps/ctrlProp179.xml"/><Relationship Id="rId19" Type="http://schemas.openxmlformats.org/officeDocument/2006/relationships/ctrlProp" Target="../ctrlProps/ctrlProp19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Relationship Id="rId48" Type="http://schemas.openxmlformats.org/officeDocument/2006/relationships/ctrlProp" Target="../ctrlProps/ctrlProp222.xml"/><Relationship Id="rId56" Type="http://schemas.openxmlformats.org/officeDocument/2006/relationships/ctrlProp" Target="../ctrlProps/ctrlProp230.xml"/><Relationship Id="rId64" Type="http://schemas.openxmlformats.org/officeDocument/2006/relationships/ctrlProp" Target="../ctrlProps/ctrlProp238.xml"/><Relationship Id="rId69" Type="http://schemas.openxmlformats.org/officeDocument/2006/relationships/ctrlProp" Target="../ctrlProps/ctrlProp243.xml"/><Relationship Id="rId77" Type="http://schemas.openxmlformats.org/officeDocument/2006/relationships/ctrlProp" Target="../ctrlProps/ctrlProp251.xml"/><Relationship Id="rId8" Type="http://schemas.openxmlformats.org/officeDocument/2006/relationships/ctrlProp" Target="../ctrlProps/ctrlProp182.xml"/><Relationship Id="rId51" Type="http://schemas.openxmlformats.org/officeDocument/2006/relationships/ctrlProp" Target="../ctrlProps/ctrlProp225.xml"/><Relationship Id="rId72" Type="http://schemas.openxmlformats.org/officeDocument/2006/relationships/ctrlProp" Target="../ctrlProps/ctrlProp246.xml"/><Relationship Id="rId80" Type="http://schemas.openxmlformats.org/officeDocument/2006/relationships/ctrlProp" Target="../ctrlProps/ctrlProp254.xml"/><Relationship Id="rId85" Type="http://schemas.openxmlformats.org/officeDocument/2006/relationships/ctrlProp" Target="../ctrlProps/ctrlProp259.xml"/><Relationship Id="rId3" Type="http://schemas.openxmlformats.org/officeDocument/2006/relationships/ctrlProp" Target="../ctrlProps/ctrlProp177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46" Type="http://schemas.openxmlformats.org/officeDocument/2006/relationships/ctrlProp" Target="../ctrlProps/ctrlProp220.xml"/><Relationship Id="rId59" Type="http://schemas.openxmlformats.org/officeDocument/2006/relationships/ctrlProp" Target="../ctrlProps/ctrlProp233.xml"/><Relationship Id="rId67" Type="http://schemas.openxmlformats.org/officeDocument/2006/relationships/ctrlProp" Target="../ctrlProps/ctrlProp241.xml"/><Relationship Id="rId20" Type="http://schemas.openxmlformats.org/officeDocument/2006/relationships/ctrlProp" Target="../ctrlProps/ctrlProp194.xml"/><Relationship Id="rId41" Type="http://schemas.openxmlformats.org/officeDocument/2006/relationships/ctrlProp" Target="../ctrlProps/ctrlProp215.xml"/><Relationship Id="rId54" Type="http://schemas.openxmlformats.org/officeDocument/2006/relationships/ctrlProp" Target="../ctrlProps/ctrlProp228.xml"/><Relationship Id="rId62" Type="http://schemas.openxmlformats.org/officeDocument/2006/relationships/ctrlProp" Target="../ctrlProps/ctrlProp236.xml"/><Relationship Id="rId70" Type="http://schemas.openxmlformats.org/officeDocument/2006/relationships/ctrlProp" Target="../ctrlProps/ctrlProp244.xml"/><Relationship Id="rId75" Type="http://schemas.openxmlformats.org/officeDocument/2006/relationships/ctrlProp" Target="../ctrlProps/ctrlProp249.xml"/><Relationship Id="rId83" Type="http://schemas.openxmlformats.org/officeDocument/2006/relationships/ctrlProp" Target="../ctrlProps/ctrlProp257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80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49" Type="http://schemas.openxmlformats.org/officeDocument/2006/relationships/ctrlProp" Target="../ctrlProps/ctrlProp223.xml"/><Relationship Id="rId57" Type="http://schemas.openxmlformats.org/officeDocument/2006/relationships/ctrlProp" Target="../ctrlProps/ctrlProp231.xml"/><Relationship Id="rId10" Type="http://schemas.openxmlformats.org/officeDocument/2006/relationships/ctrlProp" Target="../ctrlProps/ctrlProp184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52" Type="http://schemas.openxmlformats.org/officeDocument/2006/relationships/ctrlProp" Target="../ctrlProps/ctrlProp226.xml"/><Relationship Id="rId60" Type="http://schemas.openxmlformats.org/officeDocument/2006/relationships/ctrlProp" Target="../ctrlProps/ctrlProp234.xml"/><Relationship Id="rId65" Type="http://schemas.openxmlformats.org/officeDocument/2006/relationships/ctrlProp" Target="../ctrlProps/ctrlProp239.xml"/><Relationship Id="rId73" Type="http://schemas.openxmlformats.org/officeDocument/2006/relationships/ctrlProp" Target="../ctrlProps/ctrlProp247.xml"/><Relationship Id="rId78" Type="http://schemas.openxmlformats.org/officeDocument/2006/relationships/ctrlProp" Target="../ctrlProps/ctrlProp252.xml"/><Relationship Id="rId81" Type="http://schemas.openxmlformats.org/officeDocument/2006/relationships/ctrlProp" Target="../ctrlProps/ctrlProp255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39" Type="http://schemas.openxmlformats.org/officeDocument/2006/relationships/ctrlProp" Target="../ctrlProps/ctrlProp213.xml"/><Relationship Id="rId34" Type="http://schemas.openxmlformats.org/officeDocument/2006/relationships/ctrlProp" Target="../ctrlProps/ctrlProp208.xml"/><Relationship Id="rId50" Type="http://schemas.openxmlformats.org/officeDocument/2006/relationships/ctrlProp" Target="../ctrlProps/ctrlProp224.xml"/><Relationship Id="rId55" Type="http://schemas.openxmlformats.org/officeDocument/2006/relationships/ctrlProp" Target="../ctrlProps/ctrlProp229.xml"/><Relationship Id="rId76" Type="http://schemas.openxmlformats.org/officeDocument/2006/relationships/ctrlProp" Target="../ctrlProps/ctrlProp250.xml"/><Relationship Id="rId7" Type="http://schemas.openxmlformats.org/officeDocument/2006/relationships/ctrlProp" Target="../ctrlProps/ctrlProp181.xml"/><Relationship Id="rId71" Type="http://schemas.openxmlformats.org/officeDocument/2006/relationships/ctrlProp" Target="../ctrlProps/ctrlProp245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03.xml"/><Relationship Id="rId24" Type="http://schemas.openxmlformats.org/officeDocument/2006/relationships/ctrlProp" Target="../ctrlProps/ctrlProp198.xml"/><Relationship Id="rId40" Type="http://schemas.openxmlformats.org/officeDocument/2006/relationships/ctrlProp" Target="../ctrlProps/ctrlProp214.xml"/><Relationship Id="rId45" Type="http://schemas.openxmlformats.org/officeDocument/2006/relationships/ctrlProp" Target="../ctrlProps/ctrlProp219.xml"/><Relationship Id="rId66" Type="http://schemas.openxmlformats.org/officeDocument/2006/relationships/ctrlProp" Target="../ctrlProps/ctrlProp240.xml"/><Relationship Id="rId61" Type="http://schemas.openxmlformats.org/officeDocument/2006/relationships/ctrlProp" Target="../ctrlProps/ctrlProp235.xml"/><Relationship Id="rId82" Type="http://schemas.openxmlformats.org/officeDocument/2006/relationships/ctrlProp" Target="../ctrlProps/ctrlProp256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3.xml"/><Relationship Id="rId21" Type="http://schemas.openxmlformats.org/officeDocument/2006/relationships/ctrlProp" Target="../ctrlProps/ctrlProp278.xml"/><Relationship Id="rId42" Type="http://schemas.openxmlformats.org/officeDocument/2006/relationships/ctrlProp" Target="../ctrlProps/ctrlProp299.xml"/><Relationship Id="rId47" Type="http://schemas.openxmlformats.org/officeDocument/2006/relationships/ctrlProp" Target="../ctrlProps/ctrlProp304.xml"/><Relationship Id="rId63" Type="http://schemas.openxmlformats.org/officeDocument/2006/relationships/ctrlProp" Target="../ctrlProps/ctrlProp320.xml"/><Relationship Id="rId68" Type="http://schemas.openxmlformats.org/officeDocument/2006/relationships/ctrlProp" Target="../ctrlProps/ctrlProp325.xml"/><Relationship Id="rId84" Type="http://schemas.openxmlformats.org/officeDocument/2006/relationships/ctrlProp" Target="../ctrlProps/ctrlProp341.xml"/><Relationship Id="rId16" Type="http://schemas.openxmlformats.org/officeDocument/2006/relationships/ctrlProp" Target="../ctrlProps/ctrlProp273.xml"/><Relationship Id="rId11" Type="http://schemas.openxmlformats.org/officeDocument/2006/relationships/ctrlProp" Target="../ctrlProps/ctrlProp268.xml"/><Relationship Id="rId32" Type="http://schemas.openxmlformats.org/officeDocument/2006/relationships/ctrlProp" Target="../ctrlProps/ctrlProp289.xml"/><Relationship Id="rId37" Type="http://schemas.openxmlformats.org/officeDocument/2006/relationships/ctrlProp" Target="../ctrlProps/ctrlProp294.xml"/><Relationship Id="rId53" Type="http://schemas.openxmlformats.org/officeDocument/2006/relationships/ctrlProp" Target="../ctrlProps/ctrlProp310.xml"/><Relationship Id="rId58" Type="http://schemas.openxmlformats.org/officeDocument/2006/relationships/ctrlProp" Target="../ctrlProps/ctrlProp315.xml"/><Relationship Id="rId74" Type="http://schemas.openxmlformats.org/officeDocument/2006/relationships/ctrlProp" Target="../ctrlProps/ctrlProp331.xml"/><Relationship Id="rId79" Type="http://schemas.openxmlformats.org/officeDocument/2006/relationships/ctrlProp" Target="../ctrlProps/ctrlProp336.xml"/><Relationship Id="rId5" Type="http://schemas.openxmlformats.org/officeDocument/2006/relationships/ctrlProp" Target="../ctrlProps/ctrlProp262.xml"/><Relationship Id="rId19" Type="http://schemas.openxmlformats.org/officeDocument/2006/relationships/ctrlProp" Target="../ctrlProps/ctrlProp276.xml"/><Relationship Id="rId14" Type="http://schemas.openxmlformats.org/officeDocument/2006/relationships/ctrlProp" Target="../ctrlProps/ctrlProp271.xml"/><Relationship Id="rId22" Type="http://schemas.openxmlformats.org/officeDocument/2006/relationships/ctrlProp" Target="../ctrlProps/ctrlProp279.xml"/><Relationship Id="rId27" Type="http://schemas.openxmlformats.org/officeDocument/2006/relationships/ctrlProp" Target="../ctrlProps/ctrlProp284.xml"/><Relationship Id="rId30" Type="http://schemas.openxmlformats.org/officeDocument/2006/relationships/ctrlProp" Target="../ctrlProps/ctrlProp287.xml"/><Relationship Id="rId35" Type="http://schemas.openxmlformats.org/officeDocument/2006/relationships/ctrlProp" Target="../ctrlProps/ctrlProp292.xml"/><Relationship Id="rId43" Type="http://schemas.openxmlformats.org/officeDocument/2006/relationships/ctrlProp" Target="../ctrlProps/ctrlProp300.xml"/><Relationship Id="rId48" Type="http://schemas.openxmlformats.org/officeDocument/2006/relationships/ctrlProp" Target="../ctrlProps/ctrlProp305.xml"/><Relationship Id="rId56" Type="http://schemas.openxmlformats.org/officeDocument/2006/relationships/ctrlProp" Target="../ctrlProps/ctrlProp313.xml"/><Relationship Id="rId64" Type="http://schemas.openxmlformats.org/officeDocument/2006/relationships/ctrlProp" Target="../ctrlProps/ctrlProp321.xml"/><Relationship Id="rId69" Type="http://schemas.openxmlformats.org/officeDocument/2006/relationships/ctrlProp" Target="../ctrlProps/ctrlProp326.xml"/><Relationship Id="rId77" Type="http://schemas.openxmlformats.org/officeDocument/2006/relationships/ctrlProp" Target="../ctrlProps/ctrlProp334.xml"/><Relationship Id="rId8" Type="http://schemas.openxmlformats.org/officeDocument/2006/relationships/ctrlProp" Target="../ctrlProps/ctrlProp265.xml"/><Relationship Id="rId51" Type="http://schemas.openxmlformats.org/officeDocument/2006/relationships/ctrlProp" Target="../ctrlProps/ctrlProp308.xml"/><Relationship Id="rId72" Type="http://schemas.openxmlformats.org/officeDocument/2006/relationships/ctrlProp" Target="../ctrlProps/ctrlProp329.xml"/><Relationship Id="rId80" Type="http://schemas.openxmlformats.org/officeDocument/2006/relationships/ctrlProp" Target="../ctrlProps/ctrlProp337.xml"/><Relationship Id="rId85" Type="http://schemas.openxmlformats.org/officeDocument/2006/relationships/ctrlProp" Target="../ctrlProps/ctrlProp342.xml"/><Relationship Id="rId3" Type="http://schemas.openxmlformats.org/officeDocument/2006/relationships/ctrlProp" Target="../ctrlProps/ctrlProp260.xml"/><Relationship Id="rId12" Type="http://schemas.openxmlformats.org/officeDocument/2006/relationships/ctrlProp" Target="../ctrlProps/ctrlProp269.xml"/><Relationship Id="rId17" Type="http://schemas.openxmlformats.org/officeDocument/2006/relationships/ctrlProp" Target="../ctrlProps/ctrlProp274.xml"/><Relationship Id="rId25" Type="http://schemas.openxmlformats.org/officeDocument/2006/relationships/ctrlProp" Target="../ctrlProps/ctrlProp282.xml"/><Relationship Id="rId33" Type="http://schemas.openxmlformats.org/officeDocument/2006/relationships/ctrlProp" Target="../ctrlProps/ctrlProp290.xml"/><Relationship Id="rId38" Type="http://schemas.openxmlformats.org/officeDocument/2006/relationships/ctrlProp" Target="../ctrlProps/ctrlProp295.xml"/><Relationship Id="rId46" Type="http://schemas.openxmlformats.org/officeDocument/2006/relationships/ctrlProp" Target="../ctrlProps/ctrlProp303.xml"/><Relationship Id="rId59" Type="http://schemas.openxmlformats.org/officeDocument/2006/relationships/ctrlProp" Target="../ctrlProps/ctrlProp316.xml"/><Relationship Id="rId67" Type="http://schemas.openxmlformats.org/officeDocument/2006/relationships/ctrlProp" Target="../ctrlProps/ctrlProp324.xml"/><Relationship Id="rId20" Type="http://schemas.openxmlformats.org/officeDocument/2006/relationships/ctrlProp" Target="../ctrlProps/ctrlProp277.xml"/><Relationship Id="rId41" Type="http://schemas.openxmlformats.org/officeDocument/2006/relationships/ctrlProp" Target="../ctrlProps/ctrlProp298.xml"/><Relationship Id="rId54" Type="http://schemas.openxmlformats.org/officeDocument/2006/relationships/ctrlProp" Target="../ctrlProps/ctrlProp311.xml"/><Relationship Id="rId62" Type="http://schemas.openxmlformats.org/officeDocument/2006/relationships/ctrlProp" Target="../ctrlProps/ctrlProp319.xml"/><Relationship Id="rId70" Type="http://schemas.openxmlformats.org/officeDocument/2006/relationships/ctrlProp" Target="../ctrlProps/ctrlProp327.xml"/><Relationship Id="rId75" Type="http://schemas.openxmlformats.org/officeDocument/2006/relationships/ctrlProp" Target="../ctrlProps/ctrlProp332.xml"/><Relationship Id="rId83" Type="http://schemas.openxmlformats.org/officeDocument/2006/relationships/ctrlProp" Target="../ctrlProps/ctrlProp340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63.xml"/><Relationship Id="rId15" Type="http://schemas.openxmlformats.org/officeDocument/2006/relationships/ctrlProp" Target="../ctrlProps/ctrlProp272.xml"/><Relationship Id="rId23" Type="http://schemas.openxmlformats.org/officeDocument/2006/relationships/ctrlProp" Target="../ctrlProps/ctrlProp280.xml"/><Relationship Id="rId28" Type="http://schemas.openxmlformats.org/officeDocument/2006/relationships/ctrlProp" Target="../ctrlProps/ctrlProp285.xml"/><Relationship Id="rId36" Type="http://schemas.openxmlformats.org/officeDocument/2006/relationships/ctrlProp" Target="../ctrlProps/ctrlProp293.xml"/><Relationship Id="rId49" Type="http://schemas.openxmlformats.org/officeDocument/2006/relationships/ctrlProp" Target="../ctrlProps/ctrlProp306.xml"/><Relationship Id="rId57" Type="http://schemas.openxmlformats.org/officeDocument/2006/relationships/ctrlProp" Target="../ctrlProps/ctrlProp314.xml"/><Relationship Id="rId10" Type="http://schemas.openxmlformats.org/officeDocument/2006/relationships/ctrlProp" Target="../ctrlProps/ctrlProp267.xml"/><Relationship Id="rId31" Type="http://schemas.openxmlformats.org/officeDocument/2006/relationships/ctrlProp" Target="../ctrlProps/ctrlProp288.xml"/><Relationship Id="rId44" Type="http://schemas.openxmlformats.org/officeDocument/2006/relationships/ctrlProp" Target="../ctrlProps/ctrlProp301.xml"/><Relationship Id="rId52" Type="http://schemas.openxmlformats.org/officeDocument/2006/relationships/ctrlProp" Target="../ctrlProps/ctrlProp309.xml"/><Relationship Id="rId60" Type="http://schemas.openxmlformats.org/officeDocument/2006/relationships/ctrlProp" Target="../ctrlProps/ctrlProp317.xml"/><Relationship Id="rId65" Type="http://schemas.openxmlformats.org/officeDocument/2006/relationships/ctrlProp" Target="../ctrlProps/ctrlProp322.xml"/><Relationship Id="rId73" Type="http://schemas.openxmlformats.org/officeDocument/2006/relationships/ctrlProp" Target="../ctrlProps/ctrlProp330.xml"/><Relationship Id="rId78" Type="http://schemas.openxmlformats.org/officeDocument/2006/relationships/ctrlProp" Target="../ctrlProps/ctrlProp335.xml"/><Relationship Id="rId81" Type="http://schemas.openxmlformats.org/officeDocument/2006/relationships/ctrlProp" Target="../ctrlProps/ctrlProp338.xml"/><Relationship Id="rId4" Type="http://schemas.openxmlformats.org/officeDocument/2006/relationships/ctrlProp" Target="../ctrlProps/ctrlProp261.xml"/><Relationship Id="rId9" Type="http://schemas.openxmlformats.org/officeDocument/2006/relationships/ctrlProp" Target="../ctrlProps/ctrlProp266.xml"/><Relationship Id="rId13" Type="http://schemas.openxmlformats.org/officeDocument/2006/relationships/ctrlProp" Target="../ctrlProps/ctrlProp270.xml"/><Relationship Id="rId18" Type="http://schemas.openxmlformats.org/officeDocument/2006/relationships/ctrlProp" Target="../ctrlProps/ctrlProp275.xml"/><Relationship Id="rId39" Type="http://schemas.openxmlformats.org/officeDocument/2006/relationships/ctrlProp" Target="../ctrlProps/ctrlProp296.xml"/><Relationship Id="rId34" Type="http://schemas.openxmlformats.org/officeDocument/2006/relationships/ctrlProp" Target="../ctrlProps/ctrlProp291.xml"/><Relationship Id="rId50" Type="http://schemas.openxmlformats.org/officeDocument/2006/relationships/ctrlProp" Target="../ctrlProps/ctrlProp307.xml"/><Relationship Id="rId55" Type="http://schemas.openxmlformats.org/officeDocument/2006/relationships/ctrlProp" Target="../ctrlProps/ctrlProp312.xml"/><Relationship Id="rId76" Type="http://schemas.openxmlformats.org/officeDocument/2006/relationships/ctrlProp" Target="../ctrlProps/ctrlProp333.xml"/><Relationship Id="rId7" Type="http://schemas.openxmlformats.org/officeDocument/2006/relationships/ctrlProp" Target="../ctrlProps/ctrlProp264.xml"/><Relationship Id="rId71" Type="http://schemas.openxmlformats.org/officeDocument/2006/relationships/ctrlProp" Target="../ctrlProps/ctrlProp328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286.xml"/><Relationship Id="rId24" Type="http://schemas.openxmlformats.org/officeDocument/2006/relationships/ctrlProp" Target="../ctrlProps/ctrlProp281.xml"/><Relationship Id="rId40" Type="http://schemas.openxmlformats.org/officeDocument/2006/relationships/ctrlProp" Target="../ctrlProps/ctrlProp297.xml"/><Relationship Id="rId45" Type="http://schemas.openxmlformats.org/officeDocument/2006/relationships/ctrlProp" Target="../ctrlProps/ctrlProp302.xml"/><Relationship Id="rId66" Type="http://schemas.openxmlformats.org/officeDocument/2006/relationships/ctrlProp" Target="../ctrlProps/ctrlProp323.xml"/><Relationship Id="rId61" Type="http://schemas.openxmlformats.org/officeDocument/2006/relationships/ctrlProp" Target="../ctrlProps/ctrlProp318.xml"/><Relationship Id="rId82" Type="http://schemas.openxmlformats.org/officeDocument/2006/relationships/ctrlProp" Target="../ctrlProps/ctrlProp339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6.xml"/><Relationship Id="rId21" Type="http://schemas.openxmlformats.org/officeDocument/2006/relationships/ctrlProp" Target="../ctrlProps/ctrlProp361.xml"/><Relationship Id="rId42" Type="http://schemas.openxmlformats.org/officeDocument/2006/relationships/ctrlProp" Target="../ctrlProps/ctrlProp382.xml"/><Relationship Id="rId47" Type="http://schemas.openxmlformats.org/officeDocument/2006/relationships/ctrlProp" Target="../ctrlProps/ctrlProp387.xml"/><Relationship Id="rId63" Type="http://schemas.openxmlformats.org/officeDocument/2006/relationships/ctrlProp" Target="../ctrlProps/ctrlProp403.xml"/><Relationship Id="rId68" Type="http://schemas.openxmlformats.org/officeDocument/2006/relationships/ctrlProp" Target="../ctrlProps/ctrlProp408.xml"/><Relationship Id="rId84" Type="http://schemas.openxmlformats.org/officeDocument/2006/relationships/ctrlProp" Target="../ctrlProps/ctrlProp424.xml"/><Relationship Id="rId16" Type="http://schemas.openxmlformats.org/officeDocument/2006/relationships/ctrlProp" Target="../ctrlProps/ctrlProp356.xml"/><Relationship Id="rId11" Type="http://schemas.openxmlformats.org/officeDocument/2006/relationships/ctrlProp" Target="../ctrlProps/ctrlProp351.xml"/><Relationship Id="rId32" Type="http://schemas.openxmlformats.org/officeDocument/2006/relationships/ctrlProp" Target="../ctrlProps/ctrlProp372.xml"/><Relationship Id="rId37" Type="http://schemas.openxmlformats.org/officeDocument/2006/relationships/ctrlProp" Target="../ctrlProps/ctrlProp377.xml"/><Relationship Id="rId53" Type="http://schemas.openxmlformats.org/officeDocument/2006/relationships/ctrlProp" Target="../ctrlProps/ctrlProp393.xml"/><Relationship Id="rId58" Type="http://schemas.openxmlformats.org/officeDocument/2006/relationships/ctrlProp" Target="../ctrlProps/ctrlProp398.xml"/><Relationship Id="rId74" Type="http://schemas.openxmlformats.org/officeDocument/2006/relationships/ctrlProp" Target="../ctrlProps/ctrlProp414.xml"/><Relationship Id="rId79" Type="http://schemas.openxmlformats.org/officeDocument/2006/relationships/ctrlProp" Target="../ctrlProps/ctrlProp419.xml"/><Relationship Id="rId5" Type="http://schemas.openxmlformats.org/officeDocument/2006/relationships/ctrlProp" Target="../ctrlProps/ctrlProp345.xml"/><Relationship Id="rId19" Type="http://schemas.openxmlformats.org/officeDocument/2006/relationships/ctrlProp" Target="../ctrlProps/ctrlProp359.xml"/><Relationship Id="rId14" Type="http://schemas.openxmlformats.org/officeDocument/2006/relationships/ctrlProp" Target="../ctrlProps/ctrlProp354.xml"/><Relationship Id="rId22" Type="http://schemas.openxmlformats.org/officeDocument/2006/relationships/ctrlProp" Target="../ctrlProps/ctrlProp362.xml"/><Relationship Id="rId27" Type="http://schemas.openxmlformats.org/officeDocument/2006/relationships/ctrlProp" Target="../ctrlProps/ctrlProp367.xml"/><Relationship Id="rId30" Type="http://schemas.openxmlformats.org/officeDocument/2006/relationships/ctrlProp" Target="../ctrlProps/ctrlProp370.xml"/><Relationship Id="rId35" Type="http://schemas.openxmlformats.org/officeDocument/2006/relationships/ctrlProp" Target="../ctrlProps/ctrlProp375.xml"/><Relationship Id="rId43" Type="http://schemas.openxmlformats.org/officeDocument/2006/relationships/ctrlProp" Target="../ctrlProps/ctrlProp383.xml"/><Relationship Id="rId48" Type="http://schemas.openxmlformats.org/officeDocument/2006/relationships/ctrlProp" Target="../ctrlProps/ctrlProp388.xml"/><Relationship Id="rId56" Type="http://schemas.openxmlformats.org/officeDocument/2006/relationships/ctrlProp" Target="../ctrlProps/ctrlProp396.xml"/><Relationship Id="rId64" Type="http://schemas.openxmlformats.org/officeDocument/2006/relationships/ctrlProp" Target="../ctrlProps/ctrlProp404.xml"/><Relationship Id="rId69" Type="http://schemas.openxmlformats.org/officeDocument/2006/relationships/ctrlProp" Target="../ctrlProps/ctrlProp409.xml"/><Relationship Id="rId77" Type="http://schemas.openxmlformats.org/officeDocument/2006/relationships/ctrlProp" Target="../ctrlProps/ctrlProp417.xml"/><Relationship Id="rId8" Type="http://schemas.openxmlformats.org/officeDocument/2006/relationships/ctrlProp" Target="../ctrlProps/ctrlProp348.xml"/><Relationship Id="rId51" Type="http://schemas.openxmlformats.org/officeDocument/2006/relationships/ctrlProp" Target="../ctrlProps/ctrlProp391.xml"/><Relationship Id="rId72" Type="http://schemas.openxmlformats.org/officeDocument/2006/relationships/ctrlProp" Target="../ctrlProps/ctrlProp412.xml"/><Relationship Id="rId80" Type="http://schemas.openxmlformats.org/officeDocument/2006/relationships/ctrlProp" Target="../ctrlProps/ctrlProp420.xml"/><Relationship Id="rId85" Type="http://schemas.openxmlformats.org/officeDocument/2006/relationships/ctrlProp" Target="../ctrlProps/ctrlProp425.xml"/><Relationship Id="rId3" Type="http://schemas.openxmlformats.org/officeDocument/2006/relationships/ctrlProp" Target="../ctrlProps/ctrlProp343.xml"/><Relationship Id="rId12" Type="http://schemas.openxmlformats.org/officeDocument/2006/relationships/ctrlProp" Target="../ctrlProps/ctrlProp352.xml"/><Relationship Id="rId17" Type="http://schemas.openxmlformats.org/officeDocument/2006/relationships/ctrlProp" Target="../ctrlProps/ctrlProp357.xml"/><Relationship Id="rId25" Type="http://schemas.openxmlformats.org/officeDocument/2006/relationships/ctrlProp" Target="../ctrlProps/ctrlProp365.xml"/><Relationship Id="rId33" Type="http://schemas.openxmlformats.org/officeDocument/2006/relationships/ctrlProp" Target="../ctrlProps/ctrlProp373.xml"/><Relationship Id="rId38" Type="http://schemas.openxmlformats.org/officeDocument/2006/relationships/ctrlProp" Target="../ctrlProps/ctrlProp378.xml"/><Relationship Id="rId46" Type="http://schemas.openxmlformats.org/officeDocument/2006/relationships/ctrlProp" Target="../ctrlProps/ctrlProp386.xml"/><Relationship Id="rId59" Type="http://schemas.openxmlformats.org/officeDocument/2006/relationships/ctrlProp" Target="../ctrlProps/ctrlProp399.xml"/><Relationship Id="rId67" Type="http://schemas.openxmlformats.org/officeDocument/2006/relationships/ctrlProp" Target="../ctrlProps/ctrlProp407.xml"/><Relationship Id="rId20" Type="http://schemas.openxmlformats.org/officeDocument/2006/relationships/ctrlProp" Target="../ctrlProps/ctrlProp360.xml"/><Relationship Id="rId41" Type="http://schemas.openxmlformats.org/officeDocument/2006/relationships/ctrlProp" Target="../ctrlProps/ctrlProp381.xml"/><Relationship Id="rId54" Type="http://schemas.openxmlformats.org/officeDocument/2006/relationships/ctrlProp" Target="../ctrlProps/ctrlProp394.xml"/><Relationship Id="rId62" Type="http://schemas.openxmlformats.org/officeDocument/2006/relationships/ctrlProp" Target="../ctrlProps/ctrlProp402.xml"/><Relationship Id="rId70" Type="http://schemas.openxmlformats.org/officeDocument/2006/relationships/ctrlProp" Target="../ctrlProps/ctrlProp410.xml"/><Relationship Id="rId75" Type="http://schemas.openxmlformats.org/officeDocument/2006/relationships/ctrlProp" Target="../ctrlProps/ctrlProp415.xml"/><Relationship Id="rId83" Type="http://schemas.openxmlformats.org/officeDocument/2006/relationships/ctrlProp" Target="../ctrlProps/ctrlProp423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6.xml"/><Relationship Id="rId15" Type="http://schemas.openxmlformats.org/officeDocument/2006/relationships/ctrlProp" Target="../ctrlProps/ctrlProp355.xml"/><Relationship Id="rId23" Type="http://schemas.openxmlformats.org/officeDocument/2006/relationships/ctrlProp" Target="../ctrlProps/ctrlProp363.xml"/><Relationship Id="rId28" Type="http://schemas.openxmlformats.org/officeDocument/2006/relationships/ctrlProp" Target="../ctrlProps/ctrlProp368.xml"/><Relationship Id="rId36" Type="http://schemas.openxmlformats.org/officeDocument/2006/relationships/ctrlProp" Target="../ctrlProps/ctrlProp376.xml"/><Relationship Id="rId49" Type="http://schemas.openxmlformats.org/officeDocument/2006/relationships/ctrlProp" Target="../ctrlProps/ctrlProp389.xml"/><Relationship Id="rId57" Type="http://schemas.openxmlformats.org/officeDocument/2006/relationships/ctrlProp" Target="../ctrlProps/ctrlProp397.xml"/><Relationship Id="rId10" Type="http://schemas.openxmlformats.org/officeDocument/2006/relationships/ctrlProp" Target="../ctrlProps/ctrlProp350.xml"/><Relationship Id="rId31" Type="http://schemas.openxmlformats.org/officeDocument/2006/relationships/ctrlProp" Target="../ctrlProps/ctrlProp371.xml"/><Relationship Id="rId44" Type="http://schemas.openxmlformats.org/officeDocument/2006/relationships/ctrlProp" Target="../ctrlProps/ctrlProp384.xml"/><Relationship Id="rId52" Type="http://schemas.openxmlformats.org/officeDocument/2006/relationships/ctrlProp" Target="../ctrlProps/ctrlProp392.xml"/><Relationship Id="rId60" Type="http://schemas.openxmlformats.org/officeDocument/2006/relationships/ctrlProp" Target="../ctrlProps/ctrlProp400.xml"/><Relationship Id="rId65" Type="http://schemas.openxmlformats.org/officeDocument/2006/relationships/ctrlProp" Target="../ctrlProps/ctrlProp405.xml"/><Relationship Id="rId73" Type="http://schemas.openxmlformats.org/officeDocument/2006/relationships/ctrlProp" Target="../ctrlProps/ctrlProp413.xml"/><Relationship Id="rId78" Type="http://schemas.openxmlformats.org/officeDocument/2006/relationships/ctrlProp" Target="../ctrlProps/ctrlProp418.xml"/><Relationship Id="rId81" Type="http://schemas.openxmlformats.org/officeDocument/2006/relationships/ctrlProp" Target="../ctrlProps/ctrlProp421.xml"/><Relationship Id="rId4" Type="http://schemas.openxmlformats.org/officeDocument/2006/relationships/ctrlProp" Target="../ctrlProps/ctrlProp344.xml"/><Relationship Id="rId9" Type="http://schemas.openxmlformats.org/officeDocument/2006/relationships/ctrlProp" Target="../ctrlProps/ctrlProp349.xml"/><Relationship Id="rId13" Type="http://schemas.openxmlformats.org/officeDocument/2006/relationships/ctrlProp" Target="../ctrlProps/ctrlProp353.xml"/><Relationship Id="rId18" Type="http://schemas.openxmlformats.org/officeDocument/2006/relationships/ctrlProp" Target="../ctrlProps/ctrlProp358.xml"/><Relationship Id="rId39" Type="http://schemas.openxmlformats.org/officeDocument/2006/relationships/ctrlProp" Target="../ctrlProps/ctrlProp379.xml"/><Relationship Id="rId34" Type="http://schemas.openxmlformats.org/officeDocument/2006/relationships/ctrlProp" Target="../ctrlProps/ctrlProp374.xml"/><Relationship Id="rId50" Type="http://schemas.openxmlformats.org/officeDocument/2006/relationships/ctrlProp" Target="../ctrlProps/ctrlProp390.xml"/><Relationship Id="rId55" Type="http://schemas.openxmlformats.org/officeDocument/2006/relationships/ctrlProp" Target="../ctrlProps/ctrlProp395.xml"/><Relationship Id="rId76" Type="http://schemas.openxmlformats.org/officeDocument/2006/relationships/ctrlProp" Target="../ctrlProps/ctrlProp416.xml"/><Relationship Id="rId7" Type="http://schemas.openxmlformats.org/officeDocument/2006/relationships/ctrlProp" Target="../ctrlProps/ctrlProp347.xml"/><Relationship Id="rId71" Type="http://schemas.openxmlformats.org/officeDocument/2006/relationships/ctrlProp" Target="../ctrlProps/ctrlProp411.xml"/><Relationship Id="rId2" Type="http://schemas.openxmlformats.org/officeDocument/2006/relationships/vmlDrawing" Target="../drawings/vmlDrawing7.vml"/><Relationship Id="rId29" Type="http://schemas.openxmlformats.org/officeDocument/2006/relationships/ctrlProp" Target="../ctrlProps/ctrlProp369.xml"/><Relationship Id="rId24" Type="http://schemas.openxmlformats.org/officeDocument/2006/relationships/ctrlProp" Target="../ctrlProps/ctrlProp364.xml"/><Relationship Id="rId40" Type="http://schemas.openxmlformats.org/officeDocument/2006/relationships/ctrlProp" Target="../ctrlProps/ctrlProp380.xml"/><Relationship Id="rId45" Type="http://schemas.openxmlformats.org/officeDocument/2006/relationships/ctrlProp" Target="../ctrlProps/ctrlProp385.xml"/><Relationship Id="rId66" Type="http://schemas.openxmlformats.org/officeDocument/2006/relationships/ctrlProp" Target="../ctrlProps/ctrlProp406.xml"/><Relationship Id="rId61" Type="http://schemas.openxmlformats.org/officeDocument/2006/relationships/ctrlProp" Target="../ctrlProps/ctrlProp401.xml"/><Relationship Id="rId82" Type="http://schemas.openxmlformats.org/officeDocument/2006/relationships/ctrlProp" Target="../ctrlProps/ctrlProp422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9.xml"/><Relationship Id="rId21" Type="http://schemas.openxmlformats.org/officeDocument/2006/relationships/ctrlProp" Target="../ctrlProps/ctrlProp444.xml"/><Relationship Id="rId42" Type="http://schemas.openxmlformats.org/officeDocument/2006/relationships/ctrlProp" Target="../ctrlProps/ctrlProp465.xml"/><Relationship Id="rId47" Type="http://schemas.openxmlformats.org/officeDocument/2006/relationships/ctrlProp" Target="../ctrlProps/ctrlProp470.xml"/><Relationship Id="rId63" Type="http://schemas.openxmlformats.org/officeDocument/2006/relationships/ctrlProp" Target="../ctrlProps/ctrlProp486.xml"/><Relationship Id="rId68" Type="http://schemas.openxmlformats.org/officeDocument/2006/relationships/ctrlProp" Target="../ctrlProps/ctrlProp491.xml"/><Relationship Id="rId84" Type="http://schemas.openxmlformats.org/officeDocument/2006/relationships/ctrlProp" Target="../ctrlProps/ctrlProp507.xml"/><Relationship Id="rId16" Type="http://schemas.openxmlformats.org/officeDocument/2006/relationships/ctrlProp" Target="../ctrlProps/ctrlProp439.xml"/><Relationship Id="rId11" Type="http://schemas.openxmlformats.org/officeDocument/2006/relationships/ctrlProp" Target="../ctrlProps/ctrlProp434.xml"/><Relationship Id="rId32" Type="http://schemas.openxmlformats.org/officeDocument/2006/relationships/ctrlProp" Target="../ctrlProps/ctrlProp455.xml"/><Relationship Id="rId37" Type="http://schemas.openxmlformats.org/officeDocument/2006/relationships/ctrlProp" Target="../ctrlProps/ctrlProp460.xml"/><Relationship Id="rId53" Type="http://schemas.openxmlformats.org/officeDocument/2006/relationships/ctrlProp" Target="../ctrlProps/ctrlProp476.xml"/><Relationship Id="rId58" Type="http://schemas.openxmlformats.org/officeDocument/2006/relationships/ctrlProp" Target="../ctrlProps/ctrlProp481.xml"/><Relationship Id="rId74" Type="http://schemas.openxmlformats.org/officeDocument/2006/relationships/ctrlProp" Target="../ctrlProps/ctrlProp497.xml"/><Relationship Id="rId79" Type="http://schemas.openxmlformats.org/officeDocument/2006/relationships/ctrlProp" Target="../ctrlProps/ctrlProp502.xml"/><Relationship Id="rId5" Type="http://schemas.openxmlformats.org/officeDocument/2006/relationships/ctrlProp" Target="../ctrlProps/ctrlProp428.xml"/><Relationship Id="rId19" Type="http://schemas.openxmlformats.org/officeDocument/2006/relationships/ctrlProp" Target="../ctrlProps/ctrlProp442.xml"/><Relationship Id="rId14" Type="http://schemas.openxmlformats.org/officeDocument/2006/relationships/ctrlProp" Target="../ctrlProps/ctrlProp437.xml"/><Relationship Id="rId22" Type="http://schemas.openxmlformats.org/officeDocument/2006/relationships/ctrlProp" Target="../ctrlProps/ctrlProp445.xml"/><Relationship Id="rId27" Type="http://schemas.openxmlformats.org/officeDocument/2006/relationships/ctrlProp" Target="../ctrlProps/ctrlProp450.xml"/><Relationship Id="rId30" Type="http://schemas.openxmlformats.org/officeDocument/2006/relationships/ctrlProp" Target="../ctrlProps/ctrlProp453.xml"/><Relationship Id="rId35" Type="http://schemas.openxmlformats.org/officeDocument/2006/relationships/ctrlProp" Target="../ctrlProps/ctrlProp458.xml"/><Relationship Id="rId43" Type="http://schemas.openxmlformats.org/officeDocument/2006/relationships/ctrlProp" Target="../ctrlProps/ctrlProp466.xml"/><Relationship Id="rId48" Type="http://schemas.openxmlformats.org/officeDocument/2006/relationships/ctrlProp" Target="../ctrlProps/ctrlProp471.xml"/><Relationship Id="rId56" Type="http://schemas.openxmlformats.org/officeDocument/2006/relationships/ctrlProp" Target="../ctrlProps/ctrlProp479.xml"/><Relationship Id="rId64" Type="http://schemas.openxmlformats.org/officeDocument/2006/relationships/ctrlProp" Target="../ctrlProps/ctrlProp487.xml"/><Relationship Id="rId69" Type="http://schemas.openxmlformats.org/officeDocument/2006/relationships/ctrlProp" Target="../ctrlProps/ctrlProp492.xml"/><Relationship Id="rId77" Type="http://schemas.openxmlformats.org/officeDocument/2006/relationships/ctrlProp" Target="../ctrlProps/ctrlProp500.xml"/><Relationship Id="rId8" Type="http://schemas.openxmlformats.org/officeDocument/2006/relationships/ctrlProp" Target="../ctrlProps/ctrlProp431.xml"/><Relationship Id="rId51" Type="http://schemas.openxmlformats.org/officeDocument/2006/relationships/ctrlProp" Target="../ctrlProps/ctrlProp474.xml"/><Relationship Id="rId72" Type="http://schemas.openxmlformats.org/officeDocument/2006/relationships/ctrlProp" Target="../ctrlProps/ctrlProp495.xml"/><Relationship Id="rId80" Type="http://schemas.openxmlformats.org/officeDocument/2006/relationships/ctrlProp" Target="../ctrlProps/ctrlProp503.xml"/><Relationship Id="rId85" Type="http://schemas.openxmlformats.org/officeDocument/2006/relationships/ctrlProp" Target="../ctrlProps/ctrlProp508.xml"/><Relationship Id="rId3" Type="http://schemas.openxmlformats.org/officeDocument/2006/relationships/ctrlProp" Target="../ctrlProps/ctrlProp426.xml"/><Relationship Id="rId12" Type="http://schemas.openxmlformats.org/officeDocument/2006/relationships/ctrlProp" Target="../ctrlProps/ctrlProp435.xml"/><Relationship Id="rId17" Type="http://schemas.openxmlformats.org/officeDocument/2006/relationships/ctrlProp" Target="../ctrlProps/ctrlProp440.xml"/><Relationship Id="rId25" Type="http://schemas.openxmlformats.org/officeDocument/2006/relationships/ctrlProp" Target="../ctrlProps/ctrlProp448.xml"/><Relationship Id="rId33" Type="http://schemas.openxmlformats.org/officeDocument/2006/relationships/ctrlProp" Target="../ctrlProps/ctrlProp456.xml"/><Relationship Id="rId38" Type="http://schemas.openxmlformats.org/officeDocument/2006/relationships/ctrlProp" Target="../ctrlProps/ctrlProp461.xml"/><Relationship Id="rId46" Type="http://schemas.openxmlformats.org/officeDocument/2006/relationships/ctrlProp" Target="../ctrlProps/ctrlProp469.xml"/><Relationship Id="rId59" Type="http://schemas.openxmlformats.org/officeDocument/2006/relationships/ctrlProp" Target="../ctrlProps/ctrlProp482.xml"/><Relationship Id="rId67" Type="http://schemas.openxmlformats.org/officeDocument/2006/relationships/ctrlProp" Target="../ctrlProps/ctrlProp490.xml"/><Relationship Id="rId20" Type="http://schemas.openxmlformats.org/officeDocument/2006/relationships/ctrlProp" Target="../ctrlProps/ctrlProp443.xml"/><Relationship Id="rId41" Type="http://schemas.openxmlformats.org/officeDocument/2006/relationships/ctrlProp" Target="../ctrlProps/ctrlProp464.xml"/><Relationship Id="rId54" Type="http://schemas.openxmlformats.org/officeDocument/2006/relationships/ctrlProp" Target="../ctrlProps/ctrlProp477.xml"/><Relationship Id="rId62" Type="http://schemas.openxmlformats.org/officeDocument/2006/relationships/ctrlProp" Target="../ctrlProps/ctrlProp485.xml"/><Relationship Id="rId70" Type="http://schemas.openxmlformats.org/officeDocument/2006/relationships/ctrlProp" Target="../ctrlProps/ctrlProp493.xml"/><Relationship Id="rId75" Type="http://schemas.openxmlformats.org/officeDocument/2006/relationships/ctrlProp" Target="../ctrlProps/ctrlProp498.xml"/><Relationship Id="rId83" Type="http://schemas.openxmlformats.org/officeDocument/2006/relationships/ctrlProp" Target="../ctrlProps/ctrlProp50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29.xml"/><Relationship Id="rId15" Type="http://schemas.openxmlformats.org/officeDocument/2006/relationships/ctrlProp" Target="../ctrlProps/ctrlProp438.xml"/><Relationship Id="rId23" Type="http://schemas.openxmlformats.org/officeDocument/2006/relationships/ctrlProp" Target="../ctrlProps/ctrlProp446.xml"/><Relationship Id="rId28" Type="http://schemas.openxmlformats.org/officeDocument/2006/relationships/ctrlProp" Target="../ctrlProps/ctrlProp451.xml"/><Relationship Id="rId36" Type="http://schemas.openxmlformats.org/officeDocument/2006/relationships/ctrlProp" Target="../ctrlProps/ctrlProp459.xml"/><Relationship Id="rId49" Type="http://schemas.openxmlformats.org/officeDocument/2006/relationships/ctrlProp" Target="../ctrlProps/ctrlProp472.xml"/><Relationship Id="rId57" Type="http://schemas.openxmlformats.org/officeDocument/2006/relationships/ctrlProp" Target="../ctrlProps/ctrlProp480.xml"/><Relationship Id="rId10" Type="http://schemas.openxmlformats.org/officeDocument/2006/relationships/ctrlProp" Target="../ctrlProps/ctrlProp433.xml"/><Relationship Id="rId31" Type="http://schemas.openxmlformats.org/officeDocument/2006/relationships/ctrlProp" Target="../ctrlProps/ctrlProp454.xml"/><Relationship Id="rId44" Type="http://schemas.openxmlformats.org/officeDocument/2006/relationships/ctrlProp" Target="../ctrlProps/ctrlProp467.xml"/><Relationship Id="rId52" Type="http://schemas.openxmlformats.org/officeDocument/2006/relationships/ctrlProp" Target="../ctrlProps/ctrlProp475.xml"/><Relationship Id="rId60" Type="http://schemas.openxmlformats.org/officeDocument/2006/relationships/ctrlProp" Target="../ctrlProps/ctrlProp483.xml"/><Relationship Id="rId65" Type="http://schemas.openxmlformats.org/officeDocument/2006/relationships/ctrlProp" Target="../ctrlProps/ctrlProp488.xml"/><Relationship Id="rId73" Type="http://schemas.openxmlformats.org/officeDocument/2006/relationships/ctrlProp" Target="../ctrlProps/ctrlProp496.xml"/><Relationship Id="rId78" Type="http://schemas.openxmlformats.org/officeDocument/2006/relationships/ctrlProp" Target="../ctrlProps/ctrlProp501.xml"/><Relationship Id="rId81" Type="http://schemas.openxmlformats.org/officeDocument/2006/relationships/ctrlProp" Target="../ctrlProps/ctrlProp504.xml"/><Relationship Id="rId4" Type="http://schemas.openxmlformats.org/officeDocument/2006/relationships/ctrlProp" Target="../ctrlProps/ctrlProp427.xml"/><Relationship Id="rId9" Type="http://schemas.openxmlformats.org/officeDocument/2006/relationships/ctrlProp" Target="../ctrlProps/ctrlProp432.xml"/><Relationship Id="rId13" Type="http://schemas.openxmlformats.org/officeDocument/2006/relationships/ctrlProp" Target="../ctrlProps/ctrlProp436.xml"/><Relationship Id="rId18" Type="http://schemas.openxmlformats.org/officeDocument/2006/relationships/ctrlProp" Target="../ctrlProps/ctrlProp441.xml"/><Relationship Id="rId39" Type="http://schemas.openxmlformats.org/officeDocument/2006/relationships/ctrlProp" Target="../ctrlProps/ctrlProp462.xml"/><Relationship Id="rId34" Type="http://schemas.openxmlformats.org/officeDocument/2006/relationships/ctrlProp" Target="../ctrlProps/ctrlProp457.xml"/><Relationship Id="rId50" Type="http://schemas.openxmlformats.org/officeDocument/2006/relationships/ctrlProp" Target="../ctrlProps/ctrlProp473.xml"/><Relationship Id="rId55" Type="http://schemas.openxmlformats.org/officeDocument/2006/relationships/ctrlProp" Target="../ctrlProps/ctrlProp478.xml"/><Relationship Id="rId76" Type="http://schemas.openxmlformats.org/officeDocument/2006/relationships/ctrlProp" Target="../ctrlProps/ctrlProp499.xml"/><Relationship Id="rId7" Type="http://schemas.openxmlformats.org/officeDocument/2006/relationships/ctrlProp" Target="../ctrlProps/ctrlProp430.xml"/><Relationship Id="rId71" Type="http://schemas.openxmlformats.org/officeDocument/2006/relationships/ctrlProp" Target="../ctrlProps/ctrlProp494.xml"/><Relationship Id="rId2" Type="http://schemas.openxmlformats.org/officeDocument/2006/relationships/vmlDrawing" Target="../drawings/vmlDrawing8.vml"/><Relationship Id="rId29" Type="http://schemas.openxmlformats.org/officeDocument/2006/relationships/ctrlProp" Target="../ctrlProps/ctrlProp452.xml"/><Relationship Id="rId24" Type="http://schemas.openxmlformats.org/officeDocument/2006/relationships/ctrlProp" Target="../ctrlProps/ctrlProp447.xml"/><Relationship Id="rId40" Type="http://schemas.openxmlformats.org/officeDocument/2006/relationships/ctrlProp" Target="../ctrlProps/ctrlProp463.xml"/><Relationship Id="rId45" Type="http://schemas.openxmlformats.org/officeDocument/2006/relationships/ctrlProp" Target="../ctrlProps/ctrlProp468.xml"/><Relationship Id="rId66" Type="http://schemas.openxmlformats.org/officeDocument/2006/relationships/ctrlProp" Target="../ctrlProps/ctrlProp489.xml"/><Relationship Id="rId61" Type="http://schemas.openxmlformats.org/officeDocument/2006/relationships/ctrlProp" Target="../ctrlProps/ctrlProp484.xml"/><Relationship Id="rId82" Type="http://schemas.openxmlformats.org/officeDocument/2006/relationships/ctrlProp" Target="../ctrlProps/ctrlProp505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32.xml"/><Relationship Id="rId21" Type="http://schemas.openxmlformats.org/officeDocument/2006/relationships/ctrlProp" Target="../ctrlProps/ctrlProp527.xml"/><Relationship Id="rId42" Type="http://schemas.openxmlformats.org/officeDocument/2006/relationships/ctrlProp" Target="../ctrlProps/ctrlProp548.xml"/><Relationship Id="rId47" Type="http://schemas.openxmlformats.org/officeDocument/2006/relationships/ctrlProp" Target="../ctrlProps/ctrlProp553.xml"/><Relationship Id="rId63" Type="http://schemas.openxmlformats.org/officeDocument/2006/relationships/ctrlProp" Target="../ctrlProps/ctrlProp569.xml"/><Relationship Id="rId68" Type="http://schemas.openxmlformats.org/officeDocument/2006/relationships/ctrlProp" Target="../ctrlProps/ctrlProp574.xml"/><Relationship Id="rId84" Type="http://schemas.openxmlformats.org/officeDocument/2006/relationships/ctrlProp" Target="../ctrlProps/ctrlProp590.xml"/><Relationship Id="rId16" Type="http://schemas.openxmlformats.org/officeDocument/2006/relationships/ctrlProp" Target="../ctrlProps/ctrlProp522.xml"/><Relationship Id="rId11" Type="http://schemas.openxmlformats.org/officeDocument/2006/relationships/ctrlProp" Target="../ctrlProps/ctrlProp517.xml"/><Relationship Id="rId32" Type="http://schemas.openxmlformats.org/officeDocument/2006/relationships/ctrlProp" Target="../ctrlProps/ctrlProp538.xml"/><Relationship Id="rId37" Type="http://schemas.openxmlformats.org/officeDocument/2006/relationships/ctrlProp" Target="../ctrlProps/ctrlProp543.xml"/><Relationship Id="rId53" Type="http://schemas.openxmlformats.org/officeDocument/2006/relationships/ctrlProp" Target="../ctrlProps/ctrlProp559.xml"/><Relationship Id="rId58" Type="http://schemas.openxmlformats.org/officeDocument/2006/relationships/ctrlProp" Target="../ctrlProps/ctrlProp564.xml"/><Relationship Id="rId74" Type="http://schemas.openxmlformats.org/officeDocument/2006/relationships/ctrlProp" Target="../ctrlProps/ctrlProp580.xml"/><Relationship Id="rId79" Type="http://schemas.openxmlformats.org/officeDocument/2006/relationships/ctrlProp" Target="../ctrlProps/ctrlProp585.xml"/><Relationship Id="rId5" Type="http://schemas.openxmlformats.org/officeDocument/2006/relationships/ctrlProp" Target="../ctrlProps/ctrlProp511.xml"/><Relationship Id="rId19" Type="http://schemas.openxmlformats.org/officeDocument/2006/relationships/ctrlProp" Target="../ctrlProps/ctrlProp525.xml"/><Relationship Id="rId14" Type="http://schemas.openxmlformats.org/officeDocument/2006/relationships/ctrlProp" Target="../ctrlProps/ctrlProp520.xml"/><Relationship Id="rId22" Type="http://schemas.openxmlformats.org/officeDocument/2006/relationships/ctrlProp" Target="../ctrlProps/ctrlProp528.xml"/><Relationship Id="rId27" Type="http://schemas.openxmlformats.org/officeDocument/2006/relationships/ctrlProp" Target="../ctrlProps/ctrlProp533.xml"/><Relationship Id="rId30" Type="http://schemas.openxmlformats.org/officeDocument/2006/relationships/ctrlProp" Target="../ctrlProps/ctrlProp536.xml"/><Relationship Id="rId35" Type="http://schemas.openxmlformats.org/officeDocument/2006/relationships/ctrlProp" Target="../ctrlProps/ctrlProp541.xml"/><Relationship Id="rId43" Type="http://schemas.openxmlformats.org/officeDocument/2006/relationships/ctrlProp" Target="../ctrlProps/ctrlProp549.xml"/><Relationship Id="rId48" Type="http://schemas.openxmlformats.org/officeDocument/2006/relationships/ctrlProp" Target="../ctrlProps/ctrlProp554.xml"/><Relationship Id="rId56" Type="http://schemas.openxmlformats.org/officeDocument/2006/relationships/ctrlProp" Target="../ctrlProps/ctrlProp562.xml"/><Relationship Id="rId64" Type="http://schemas.openxmlformats.org/officeDocument/2006/relationships/ctrlProp" Target="../ctrlProps/ctrlProp570.xml"/><Relationship Id="rId69" Type="http://schemas.openxmlformats.org/officeDocument/2006/relationships/ctrlProp" Target="../ctrlProps/ctrlProp575.xml"/><Relationship Id="rId77" Type="http://schemas.openxmlformats.org/officeDocument/2006/relationships/ctrlProp" Target="../ctrlProps/ctrlProp583.xml"/><Relationship Id="rId8" Type="http://schemas.openxmlformats.org/officeDocument/2006/relationships/ctrlProp" Target="../ctrlProps/ctrlProp514.xml"/><Relationship Id="rId51" Type="http://schemas.openxmlformats.org/officeDocument/2006/relationships/ctrlProp" Target="../ctrlProps/ctrlProp557.xml"/><Relationship Id="rId72" Type="http://schemas.openxmlformats.org/officeDocument/2006/relationships/ctrlProp" Target="../ctrlProps/ctrlProp578.xml"/><Relationship Id="rId80" Type="http://schemas.openxmlformats.org/officeDocument/2006/relationships/ctrlProp" Target="../ctrlProps/ctrlProp586.xml"/><Relationship Id="rId85" Type="http://schemas.openxmlformats.org/officeDocument/2006/relationships/ctrlProp" Target="../ctrlProps/ctrlProp591.xml"/><Relationship Id="rId3" Type="http://schemas.openxmlformats.org/officeDocument/2006/relationships/ctrlProp" Target="../ctrlProps/ctrlProp509.xml"/><Relationship Id="rId12" Type="http://schemas.openxmlformats.org/officeDocument/2006/relationships/ctrlProp" Target="../ctrlProps/ctrlProp518.xml"/><Relationship Id="rId17" Type="http://schemas.openxmlformats.org/officeDocument/2006/relationships/ctrlProp" Target="../ctrlProps/ctrlProp523.xml"/><Relationship Id="rId25" Type="http://schemas.openxmlformats.org/officeDocument/2006/relationships/ctrlProp" Target="../ctrlProps/ctrlProp531.xml"/><Relationship Id="rId33" Type="http://schemas.openxmlformats.org/officeDocument/2006/relationships/ctrlProp" Target="../ctrlProps/ctrlProp539.xml"/><Relationship Id="rId38" Type="http://schemas.openxmlformats.org/officeDocument/2006/relationships/ctrlProp" Target="../ctrlProps/ctrlProp544.xml"/><Relationship Id="rId46" Type="http://schemas.openxmlformats.org/officeDocument/2006/relationships/ctrlProp" Target="../ctrlProps/ctrlProp552.xml"/><Relationship Id="rId59" Type="http://schemas.openxmlformats.org/officeDocument/2006/relationships/ctrlProp" Target="../ctrlProps/ctrlProp565.xml"/><Relationship Id="rId67" Type="http://schemas.openxmlformats.org/officeDocument/2006/relationships/ctrlProp" Target="../ctrlProps/ctrlProp573.xml"/><Relationship Id="rId20" Type="http://schemas.openxmlformats.org/officeDocument/2006/relationships/ctrlProp" Target="../ctrlProps/ctrlProp526.xml"/><Relationship Id="rId41" Type="http://schemas.openxmlformats.org/officeDocument/2006/relationships/ctrlProp" Target="../ctrlProps/ctrlProp547.xml"/><Relationship Id="rId54" Type="http://schemas.openxmlformats.org/officeDocument/2006/relationships/ctrlProp" Target="../ctrlProps/ctrlProp560.xml"/><Relationship Id="rId62" Type="http://schemas.openxmlformats.org/officeDocument/2006/relationships/ctrlProp" Target="../ctrlProps/ctrlProp568.xml"/><Relationship Id="rId70" Type="http://schemas.openxmlformats.org/officeDocument/2006/relationships/ctrlProp" Target="../ctrlProps/ctrlProp576.xml"/><Relationship Id="rId75" Type="http://schemas.openxmlformats.org/officeDocument/2006/relationships/ctrlProp" Target="../ctrlProps/ctrlProp581.xml"/><Relationship Id="rId83" Type="http://schemas.openxmlformats.org/officeDocument/2006/relationships/ctrlProp" Target="../ctrlProps/ctrlProp589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512.xml"/><Relationship Id="rId15" Type="http://schemas.openxmlformats.org/officeDocument/2006/relationships/ctrlProp" Target="../ctrlProps/ctrlProp521.xml"/><Relationship Id="rId23" Type="http://schemas.openxmlformats.org/officeDocument/2006/relationships/ctrlProp" Target="../ctrlProps/ctrlProp529.xml"/><Relationship Id="rId28" Type="http://schemas.openxmlformats.org/officeDocument/2006/relationships/ctrlProp" Target="../ctrlProps/ctrlProp534.xml"/><Relationship Id="rId36" Type="http://schemas.openxmlformats.org/officeDocument/2006/relationships/ctrlProp" Target="../ctrlProps/ctrlProp542.xml"/><Relationship Id="rId49" Type="http://schemas.openxmlformats.org/officeDocument/2006/relationships/ctrlProp" Target="../ctrlProps/ctrlProp555.xml"/><Relationship Id="rId57" Type="http://schemas.openxmlformats.org/officeDocument/2006/relationships/ctrlProp" Target="../ctrlProps/ctrlProp563.xml"/><Relationship Id="rId10" Type="http://schemas.openxmlformats.org/officeDocument/2006/relationships/ctrlProp" Target="../ctrlProps/ctrlProp516.xml"/><Relationship Id="rId31" Type="http://schemas.openxmlformats.org/officeDocument/2006/relationships/ctrlProp" Target="../ctrlProps/ctrlProp537.xml"/><Relationship Id="rId44" Type="http://schemas.openxmlformats.org/officeDocument/2006/relationships/ctrlProp" Target="../ctrlProps/ctrlProp550.xml"/><Relationship Id="rId52" Type="http://schemas.openxmlformats.org/officeDocument/2006/relationships/ctrlProp" Target="../ctrlProps/ctrlProp558.xml"/><Relationship Id="rId60" Type="http://schemas.openxmlformats.org/officeDocument/2006/relationships/ctrlProp" Target="../ctrlProps/ctrlProp566.xml"/><Relationship Id="rId65" Type="http://schemas.openxmlformats.org/officeDocument/2006/relationships/ctrlProp" Target="../ctrlProps/ctrlProp571.xml"/><Relationship Id="rId73" Type="http://schemas.openxmlformats.org/officeDocument/2006/relationships/ctrlProp" Target="../ctrlProps/ctrlProp579.xml"/><Relationship Id="rId78" Type="http://schemas.openxmlformats.org/officeDocument/2006/relationships/ctrlProp" Target="../ctrlProps/ctrlProp584.xml"/><Relationship Id="rId81" Type="http://schemas.openxmlformats.org/officeDocument/2006/relationships/ctrlProp" Target="../ctrlProps/ctrlProp587.xml"/><Relationship Id="rId4" Type="http://schemas.openxmlformats.org/officeDocument/2006/relationships/ctrlProp" Target="../ctrlProps/ctrlProp510.xml"/><Relationship Id="rId9" Type="http://schemas.openxmlformats.org/officeDocument/2006/relationships/ctrlProp" Target="../ctrlProps/ctrlProp515.xml"/><Relationship Id="rId13" Type="http://schemas.openxmlformats.org/officeDocument/2006/relationships/ctrlProp" Target="../ctrlProps/ctrlProp519.xml"/><Relationship Id="rId18" Type="http://schemas.openxmlformats.org/officeDocument/2006/relationships/ctrlProp" Target="../ctrlProps/ctrlProp524.xml"/><Relationship Id="rId39" Type="http://schemas.openxmlformats.org/officeDocument/2006/relationships/ctrlProp" Target="../ctrlProps/ctrlProp545.xml"/><Relationship Id="rId34" Type="http://schemas.openxmlformats.org/officeDocument/2006/relationships/ctrlProp" Target="../ctrlProps/ctrlProp540.xml"/><Relationship Id="rId50" Type="http://schemas.openxmlformats.org/officeDocument/2006/relationships/ctrlProp" Target="../ctrlProps/ctrlProp556.xml"/><Relationship Id="rId55" Type="http://schemas.openxmlformats.org/officeDocument/2006/relationships/ctrlProp" Target="../ctrlProps/ctrlProp561.xml"/><Relationship Id="rId76" Type="http://schemas.openxmlformats.org/officeDocument/2006/relationships/ctrlProp" Target="../ctrlProps/ctrlProp582.xml"/><Relationship Id="rId7" Type="http://schemas.openxmlformats.org/officeDocument/2006/relationships/ctrlProp" Target="../ctrlProps/ctrlProp513.xml"/><Relationship Id="rId71" Type="http://schemas.openxmlformats.org/officeDocument/2006/relationships/ctrlProp" Target="../ctrlProps/ctrlProp577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535.xml"/><Relationship Id="rId24" Type="http://schemas.openxmlformats.org/officeDocument/2006/relationships/ctrlProp" Target="../ctrlProps/ctrlProp530.xml"/><Relationship Id="rId40" Type="http://schemas.openxmlformats.org/officeDocument/2006/relationships/ctrlProp" Target="../ctrlProps/ctrlProp546.xml"/><Relationship Id="rId45" Type="http://schemas.openxmlformats.org/officeDocument/2006/relationships/ctrlProp" Target="../ctrlProps/ctrlProp551.xml"/><Relationship Id="rId66" Type="http://schemas.openxmlformats.org/officeDocument/2006/relationships/ctrlProp" Target="../ctrlProps/ctrlProp572.xml"/><Relationship Id="rId61" Type="http://schemas.openxmlformats.org/officeDocument/2006/relationships/ctrlProp" Target="../ctrlProps/ctrlProp567.xml"/><Relationship Id="rId82" Type="http://schemas.openxmlformats.org/officeDocument/2006/relationships/ctrlProp" Target="../ctrlProps/ctrlProp588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15.xml"/><Relationship Id="rId21" Type="http://schemas.openxmlformats.org/officeDocument/2006/relationships/ctrlProp" Target="../ctrlProps/ctrlProp610.xml"/><Relationship Id="rId42" Type="http://schemas.openxmlformats.org/officeDocument/2006/relationships/ctrlProp" Target="../ctrlProps/ctrlProp631.xml"/><Relationship Id="rId47" Type="http://schemas.openxmlformats.org/officeDocument/2006/relationships/ctrlProp" Target="../ctrlProps/ctrlProp636.xml"/><Relationship Id="rId63" Type="http://schemas.openxmlformats.org/officeDocument/2006/relationships/ctrlProp" Target="../ctrlProps/ctrlProp652.xml"/><Relationship Id="rId68" Type="http://schemas.openxmlformats.org/officeDocument/2006/relationships/ctrlProp" Target="../ctrlProps/ctrlProp657.xml"/><Relationship Id="rId84" Type="http://schemas.openxmlformats.org/officeDocument/2006/relationships/ctrlProp" Target="../ctrlProps/ctrlProp673.xml"/><Relationship Id="rId16" Type="http://schemas.openxmlformats.org/officeDocument/2006/relationships/ctrlProp" Target="../ctrlProps/ctrlProp605.xml"/><Relationship Id="rId11" Type="http://schemas.openxmlformats.org/officeDocument/2006/relationships/ctrlProp" Target="../ctrlProps/ctrlProp600.xml"/><Relationship Id="rId32" Type="http://schemas.openxmlformats.org/officeDocument/2006/relationships/ctrlProp" Target="../ctrlProps/ctrlProp621.xml"/><Relationship Id="rId37" Type="http://schemas.openxmlformats.org/officeDocument/2006/relationships/ctrlProp" Target="../ctrlProps/ctrlProp626.xml"/><Relationship Id="rId53" Type="http://schemas.openxmlformats.org/officeDocument/2006/relationships/ctrlProp" Target="../ctrlProps/ctrlProp642.xml"/><Relationship Id="rId58" Type="http://schemas.openxmlformats.org/officeDocument/2006/relationships/ctrlProp" Target="../ctrlProps/ctrlProp647.xml"/><Relationship Id="rId74" Type="http://schemas.openxmlformats.org/officeDocument/2006/relationships/ctrlProp" Target="../ctrlProps/ctrlProp663.xml"/><Relationship Id="rId79" Type="http://schemas.openxmlformats.org/officeDocument/2006/relationships/ctrlProp" Target="../ctrlProps/ctrlProp668.xml"/><Relationship Id="rId5" Type="http://schemas.openxmlformats.org/officeDocument/2006/relationships/ctrlProp" Target="../ctrlProps/ctrlProp594.xml"/><Relationship Id="rId19" Type="http://schemas.openxmlformats.org/officeDocument/2006/relationships/ctrlProp" Target="../ctrlProps/ctrlProp608.xml"/><Relationship Id="rId14" Type="http://schemas.openxmlformats.org/officeDocument/2006/relationships/ctrlProp" Target="../ctrlProps/ctrlProp603.xml"/><Relationship Id="rId22" Type="http://schemas.openxmlformats.org/officeDocument/2006/relationships/ctrlProp" Target="../ctrlProps/ctrlProp611.xml"/><Relationship Id="rId27" Type="http://schemas.openxmlformats.org/officeDocument/2006/relationships/ctrlProp" Target="../ctrlProps/ctrlProp616.xml"/><Relationship Id="rId30" Type="http://schemas.openxmlformats.org/officeDocument/2006/relationships/ctrlProp" Target="../ctrlProps/ctrlProp619.xml"/><Relationship Id="rId35" Type="http://schemas.openxmlformats.org/officeDocument/2006/relationships/ctrlProp" Target="../ctrlProps/ctrlProp624.xml"/><Relationship Id="rId43" Type="http://schemas.openxmlformats.org/officeDocument/2006/relationships/ctrlProp" Target="../ctrlProps/ctrlProp632.xml"/><Relationship Id="rId48" Type="http://schemas.openxmlformats.org/officeDocument/2006/relationships/ctrlProp" Target="../ctrlProps/ctrlProp637.xml"/><Relationship Id="rId56" Type="http://schemas.openxmlformats.org/officeDocument/2006/relationships/ctrlProp" Target="../ctrlProps/ctrlProp645.xml"/><Relationship Id="rId64" Type="http://schemas.openxmlformats.org/officeDocument/2006/relationships/ctrlProp" Target="../ctrlProps/ctrlProp653.xml"/><Relationship Id="rId69" Type="http://schemas.openxmlformats.org/officeDocument/2006/relationships/ctrlProp" Target="../ctrlProps/ctrlProp658.xml"/><Relationship Id="rId77" Type="http://schemas.openxmlformats.org/officeDocument/2006/relationships/ctrlProp" Target="../ctrlProps/ctrlProp666.xml"/><Relationship Id="rId8" Type="http://schemas.openxmlformats.org/officeDocument/2006/relationships/ctrlProp" Target="../ctrlProps/ctrlProp597.xml"/><Relationship Id="rId51" Type="http://schemas.openxmlformats.org/officeDocument/2006/relationships/ctrlProp" Target="../ctrlProps/ctrlProp640.xml"/><Relationship Id="rId72" Type="http://schemas.openxmlformats.org/officeDocument/2006/relationships/ctrlProp" Target="../ctrlProps/ctrlProp661.xml"/><Relationship Id="rId80" Type="http://schemas.openxmlformats.org/officeDocument/2006/relationships/ctrlProp" Target="../ctrlProps/ctrlProp669.xml"/><Relationship Id="rId85" Type="http://schemas.openxmlformats.org/officeDocument/2006/relationships/ctrlProp" Target="../ctrlProps/ctrlProp674.xml"/><Relationship Id="rId3" Type="http://schemas.openxmlformats.org/officeDocument/2006/relationships/ctrlProp" Target="../ctrlProps/ctrlProp592.xml"/><Relationship Id="rId12" Type="http://schemas.openxmlformats.org/officeDocument/2006/relationships/ctrlProp" Target="../ctrlProps/ctrlProp601.xml"/><Relationship Id="rId17" Type="http://schemas.openxmlformats.org/officeDocument/2006/relationships/ctrlProp" Target="../ctrlProps/ctrlProp606.xml"/><Relationship Id="rId25" Type="http://schemas.openxmlformats.org/officeDocument/2006/relationships/ctrlProp" Target="../ctrlProps/ctrlProp614.xml"/><Relationship Id="rId33" Type="http://schemas.openxmlformats.org/officeDocument/2006/relationships/ctrlProp" Target="../ctrlProps/ctrlProp622.xml"/><Relationship Id="rId38" Type="http://schemas.openxmlformats.org/officeDocument/2006/relationships/ctrlProp" Target="../ctrlProps/ctrlProp627.xml"/><Relationship Id="rId46" Type="http://schemas.openxmlformats.org/officeDocument/2006/relationships/ctrlProp" Target="../ctrlProps/ctrlProp635.xml"/><Relationship Id="rId59" Type="http://schemas.openxmlformats.org/officeDocument/2006/relationships/ctrlProp" Target="../ctrlProps/ctrlProp648.xml"/><Relationship Id="rId67" Type="http://schemas.openxmlformats.org/officeDocument/2006/relationships/ctrlProp" Target="../ctrlProps/ctrlProp656.xml"/><Relationship Id="rId20" Type="http://schemas.openxmlformats.org/officeDocument/2006/relationships/ctrlProp" Target="../ctrlProps/ctrlProp609.xml"/><Relationship Id="rId41" Type="http://schemas.openxmlformats.org/officeDocument/2006/relationships/ctrlProp" Target="../ctrlProps/ctrlProp630.xml"/><Relationship Id="rId54" Type="http://schemas.openxmlformats.org/officeDocument/2006/relationships/ctrlProp" Target="../ctrlProps/ctrlProp643.xml"/><Relationship Id="rId62" Type="http://schemas.openxmlformats.org/officeDocument/2006/relationships/ctrlProp" Target="../ctrlProps/ctrlProp651.xml"/><Relationship Id="rId70" Type="http://schemas.openxmlformats.org/officeDocument/2006/relationships/ctrlProp" Target="../ctrlProps/ctrlProp659.xml"/><Relationship Id="rId75" Type="http://schemas.openxmlformats.org/officeDocument/2006/relationships/ctrlProp" Target="../ctrlProps/ctrlProp664.xml"/><Relationship Id="rId83" Type="http://schemas.openxmlformats.org/officeDocument/2006/relationships/ctrlProp" Target="../ctrlProps/ctrlProp6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95.xml"/><Relationship Id="rId15" Type="http://schemas.openxmlformats.org/officeDocument/2006/relationships/ctrlProp" Target="../ctrlProps/ctrlProp604.xml"/><Relationship Id="rId23" Type="http://schemas.openxmlformats.org/officeDocument/2006/relationships/ctrlProp" Target="../ctrlProps/ctrlProp612.xml"/><Relationship Id="rId28" Type="http://schemas.openxmlformats.org/officeDocument/2006/relationships/ctrlProp" Target="../ctrlProps/ctrlProp617.xml"/><Relationship Id="rId36" Type="http://schemas.openxmlformats.org/officeDocument/2006/relationships/ctrlProp" Target="../ctrlProps/ctrlProp625.xml"/><Relationship Id="rId49" Type="http://schemas.openxmlformats.org/officeDocument/2006/relationships/ctrlProp" Target="../ctrlProps/ctrlProp638.xml"/><Relationship Id="rId57" Type="http://schemas.openxmlformats.org/officeDocument/2006/relationships/ctrlProp" Target="../ctrlProps/ctrlProp646.xml"/><Relationship Id="rId10" Type="http://schemas.openxmlformats.org/officeDocument/2006/relationships/ctrlProp" Target="../ctrlProps/ctrlProp599.xml"/><Relationship Id="rId31" Type="http://schemas.openxmlformats.org/officeDocument/2006/relationships/ctrlProp" Target="../ctrlProps/ctrlProp620.xml"/><Relationship Id="rId44" Type="http://schemas.openxmlformats.org/officeDocument/2006/relationships/ctrlProp" Target="../ctrlProps/ctrlProp633.xml"/><Relationship Id="rId52" Type="http://schemas.openxmlformats.org/officeDocument/2006/relationships/ctrlProp" Target="../ctrlProps/ctrlProp641.xml"/><Relationship Id="rId60" Type="http://schemas.openxmlformats.org/officeDocument/2006/relationships/ctrlProp" Target="../ctrlProps/ctrlProp649.xml"/><Relationship Id="rId65" Type="http://schemas.openxmlformats.org/officeDocument/2006/relationships/ctrlProp" Target="../ctrlProps/ctrlProp654.xml"/><Relationship Id="rId73" Type="http://schemas.openxmlformats.org/officeDocument/2006/relationships/ctrlProp" Target="../ctrlProps/ctrlProp662.xml"/><Relationship Id="rId78" Type="http://schemas.openxmlformats.org/officeDocument/2006/relationships/ctrlProp" Target="../ctrlProps/ctrlProp667.xml"/><Relationship Id="rId81" Type="http://schemas.openxmlformats.org/officeDocument/2006/relationships/ctrlProp" Target="../ctrlProps/ctrlProp670.xml"/><Relationship Id="rId4" Type="http://schemas.openxmlformats.org/officeDocument/2006/relationships/ctrlProp" Target="../ctrlProps/ctrlProp593.xml"/><Relationship Id="rId9" Type="http://schemas.openxmlformats.org/officeDocument/2006/relationships/ctrlProp" Target="../ctrlProps/ctrlProp598.xml"/><Relationship Id="rId13" Type="http://schemas.openxmlformats.org/officeDocument/2006/relationships/ctrlProp" Target="../ctrlProps/ctrlProp602.xml"/><Relationship Id="rId18" Type="http://schemas.openxmlformats.org/officeDocument/2006/relationships/ctrlProp" Target="../ctrlProps/ctrlProp607.xml"/><Relationship Id="rId39" Type="http://schemas.openxmlformats.org/officeDocument/2006/relationships/ctrlProp" Target="../ctrlProps/ctrlProp628.xml"/><Relationship Id="rId34" Type="http://schemas.openxmlformats.org/officeDocument/2006/relationships/ctrlProp" Target="../ctrlProps/ctrlProp623.xml"/><Relationship Id="rId50" Type="http://schemas.openxmlformats.org/officeDocument/2006/relationships/ctrlProp" Target="../ctrlProps/ctrlProp639.xml"/><Relationship Id="rId55" Type="http://schemas.openxmlformats.org/officeDocument/2006/relationships/ctrlProp" Target="../ctrlProps/ctrlProp644.xml"/><Relationship Id="rId76" Type="http://schemas.openxmlformats.org/officeDocument/2006/relationships/ctrlProp" Target="../ctrlProps/ctrlProp665.xml"/><Relationship Id="rId7" Type="http://schemas.openxmlformats.org/officeDocument/2006/relationships/ctrlProp" Target="../ctrlProps/ctrlProp596.xml"/><Relationship Id="rId71" Type="http://schemas.openxmlformats.org/officeDocument/2006/relationships/ctrlProp" Target="../ctrlProps/ctrlProp660.xml"/><Relationship Id="rId2" Type="http://schemas.openxmlformats.org/officeDocument/2006/relationships/vmlDrawing" Target="../drawings/vmlDrawing10.vml"/><Relationship Id="rId29" Type="http://schemas.openxmlformats.org/officeDocument/2006/relationships/ctrlProp" Target="../ctrlProps/ctrlProp618.xml"/><Relationship Id="rId24" Type="http://schemas.openxmlformats.org/officeDocument/2006/relationships/ctrlProp" Target="../ctrlProps/ctrlProp613.xml"/><Relationship Id="rId40" Type="http://schemas.openxmlformats.org/officeDocument/2006/relationships/ctrlProp" Target="../ctrlProps/ctrlProp629.xml"/><Relationship Id="rId45" Type="http://schemas.openxmlformats.org/officeDocument/2006/relationships/ctrlProp" Target="../ctrlProps/ctrlProp634.xml"/><Relationship Id="rId66" Type="http://schemas.openxmlformats.org/officeDocument/2006/relationships/ctrlProp" Target="../ctrlProps/ctrlProp655.xml"/><Relationship Id="rId61" Type="http://schemas.openxmlformats.org/officeDocument/2006/relationships/ctrlProp" Target="../ctrlProps/ctrlProp650.xml"/><Relationship Id="rId82" Type="http://schemas.openxmlformats.org/officeDocument/2006/relationships/ctrlProp" Target="../ctrlProps/ctrlProp671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98.xml"/><Relationship Id="rId21" Type="http://schemas.openxmlformats.org/officeDocument/2006/relationships/ctrlProp" Target="../ctrlProps/ctrlProp693.xml"/><Relationship Id="rId42" Type="http://schemas.openxmlformats.org/officeDocument/2006/relationships/ctrlProp" Target="../ctrlProps/ctrlProp714.xml"/><Relationship Id="rId47" Type="http://schemas.openxmlformats.org/officeDocument/2006/relationships/ctrlProp" Target="../ctrlProps/ctrlProp719.xml"/><Relationship Id="rId63" Type="http://schemas.openxmlformats.org/officeDocument/2006/relationships/ctrlProp" Target="../ctrlProps/ctrlProp735.xml"/><Relationship Id="rId68" Type="http://schemas.openxmlformats.org/officeDocument/2006/relationships/ctrlProp" Target="../ctrlProps/ctrlProp740.xml"/><Relationship Id="rId84" Type="http://schemas.openxmlformats.org/officeDocument/2006/relationships/ctrlProp" Target="../ctrlProps/ctrlProp756.xml"/><Relationship Id="rId16" Type="http://schemas.openxmlformats.org/officeDocument/2006/relationships/ctrlProp" Target="../ctrlProps/ctrlProp688.xml"/><Relationship Id="rId11" Type="http://schemas.openxmlformats.org/officeDocument/2006/relationships/ctrlProp" Target="../ctrlProps/ctrlProp683.xml"/><Relationship Id="rId32" Type="http://schemas.openxmlformats.org/officeDocument/2006/relationships/ctrlProp" Target="../ctrlProps/ctrlProp704.xml"/><Relationship Id="rId37" Type="http://schemas.openxmlformats.org/officeDocument/2006/relationships/ctrlProp" Target="../ctrlProps/ctrlProp709.xml"/><Relationship Id="rId53" Type="http://schemas.openxmlformats.org/officeDocument/2006/relationships/ctrlProp" Target="../ctrlProps/ctrlProp725.xml"/><Relationship Id="rId58" Type="http://schemas.openxmlformats.org/officeDocument/2006/relationships/ctrlProp" Target="../ctrlProps/ctrlProp730.xml"/><Relationship Id="rId74" Type="http://schemas.openxmlformats.org/officeDocument/2006/relationships/ctrlProp" Target="../ctrlProps/ctrlProp746.xml"/><Relationship Id="rId79" Type="http://schemas.openxmlformats.org/officeDocument/2006/relationships/ctrlProp" Target="../ctrlProps/ctrlProp751.xml"/><Relationship Id="rId5" Type="http://schemas.openxmlformats.org/officeDocument/2006/relationships/ctrlProp" Target="../ctrlProps/ctrlProp677.xml"/><Relationship Id="rId19" Type="http://schemas.openxmlformats.org/officeDocument/2006/relationships/ctrlProp" Target="../ctrlProps/ctrlProp691.xml"/><Relationship Id="rId14" Type="http://schemas.openxmlformats.org/officeDocument/2006/relationships/ctrlProp" Target="../ctrlProps/ctrlProp686.xml"/><Relationship Id="rId22" Type="http://schemas.openxmlformats.org/officeDocument/2006/relationships/ctrlProp" Target="../ctrlProps/ctrlProp694.xml"/><Relationship Id="rId27" Type="http://schemas.openxmlformats.org/officeDocument/2006/relationships/ctrlProp" Target="../ctrlProps/ctrlProp699.xml"/><Relationship Id="rId30" Type="http://schemas.openxmlformats.org/officeDocument/2006/relationships/ctrlProp" Target="../ctrlProps/ctrlProp702.xml"/><Relationship Id="rId35" Type="http://schemas.openxmlformats.org/officeDocument/2006/relationships/ctrlProp" Target="../ctrlProps/ctrlProp707.xml"/><Relationship Id="rId43" Type="http://schemas.openxmlformats.org/officeDocument/2006/relationships/ctrlProp" Target="../ctrlProps/ctrlProp715.xml"/><Relationship Id="rId48" Type="http://schemas.openxmlformats.org/officeDocument/2006/relationships/ctrlProp" Target="../ctrlProps/ctrlProp720.xml"/><Relationship Id="rId56" Type="http://schemas.openxmlformats.org/officeDocument/2006/relationships/ctrlProp" Target="../ctrlProps/ctrlProp728.xml"/><Relationship Id="rId64" Type="http://schemas.openxmlformats.org/officeDocument/2006/relationships/ctrlProp" Target="../ctrlProps/ctrlProp736.xml"/><Relationship Id="rId69" Type="http://schemas.openxmlformats.org/officeDocument/2006/relationships/ctrlProp" Target="../ctrlProps/ctrlProp741.xml"/><Relationship Id="rId77" Type="http://schemas.openxmlformats.org/officeDocument/2006/relationships/ctrlProp" Target="../ctrlProps/ctrlProp749.xml"/><Relationship Id="rId8" Type="http://schemas.openxmlformats.org/officeDocument/2006/relationships/ctrlProp" Target="../ctrlProps/ctrlProp680.xml"/><Relationship Id="rId51" Type="http://schemas.openxmlformats.org/officeDocument/2006/relationships/ctrlProp" Target="../ctrlProps/ctrlProp723.xml"/><Relationship Id="rId72" Type="http://schemas.openxmlformats.org/officeDocument/2006/relationships/ctrlProp" Target="../ctrlProps/ctrlProp744.xml"/><Relationship Id="rId80" Type="http://schemas.openxmlformats.org/officeDocument/2006/relationships/ctrlProp" Target="../ctrlProps/ctrlProp752.xml"/><Relationship Id="rId85" Type="http://schemas.openxmlformats.org/officeDocument/2006/relationships/ctrlProp" Target="../ctrlProps/ctrlProp757.xml"/><Relationship Id="rId3" Type="http://schemas.openxmlformats.org/officeDocument/2006/relationships/ctrlProp" Target="../ctrlProps/ctrlProp675.xml"/><Relationship Id="rId12" Type="http://schemas.openxmlformats.org/officeDocument/2006/relationships/ctrlProp" Target="../ctrlProps/ctrlProp684.xml"/><Relationship Id="rId17" Type="http://schemas.openxmlformats.org/officeDocument/2006/relationships/ctrlProp" Target="../ctrlProps/ctrlProp689.xml"/><Relationship Id="rId25" Type="http://schemas.openxmlformats.org/officeDocument/2006/relationships/ctrlProp" Target="../ctrlProps/ctrlProp697.xml"/><Relationship Id="rId33" Type="http://schemas.openxmlformats.org/officeDocument/2006/relationships/ctrlProp" Target="../ctrlProps/ctrlProp705.xml"/><Relationship Id="rId38" Type="http://schemas.openxmlformats.org/officeDocument/2006/relationships/ctrlProp" Target="../ctrlProps/ctrlProp710.xml"/><Relationship Id="rId46" Type="http://schemas.openxmlformats.org/officeDocument/2006/relationships/ctrlProp" Target="../ctrlProps/ctrlProp718.xml"/><Relationship Id="rId59" Type="http://schemas.openxmlformats.org/officeDocument/2006/relationships/ctrlProp" Target="../ctrlProps/ctrlProp731.xml"/><Relationship Id="rId67" Type="http://schemas.openxmlformats.org/officeDocument/2006/relationships/ctrlProp" Target="../ctrlProps/ctrlProp739.xml"/><Relationship Id="rId20" Type="http://schemas.openxmlformats.org/officeDocument/2006/relationships/ctrlProp" Target="../ctrlProps/ctrlProp692.xml"/><Relationship Id="rId41" Type="http://schemas.openxmlformats.org/officeDocument/2006/relationships/ctrlProp" Target="../ctrlProps/ctrlProp713.xml"/><Relationship Id="rId54" Type="http://schemas.openxmlformats.org/officeDocument/2006/relationships/ctrlProp" Target="../ctrlProps/ctrlProp726.xml"/><Relationship Id="rId62" Type="http://schemas.openxmlformats.org/officeDocument/2006/relationships/ctrlProp" Target="../ctrlProps/ctrlProp734.xml"/><Relationship Id="rId70" Type="http://schemas.openxmlformats.org/officeDocument/2006/relationships/ctrlProp" Target="../ctrlProps/ctrlProp742.xml"/><Relationship Id="rId75" Type="http://schemas.openxmlformats.org/officeDocument/2006/relationships/ctrlProp" Target="../ctrlProps/ctrlProp747.xml"/><Relationship Id="rId83" Type="http://schemas.openxmlformats.org/officeDocument/2006/relationships/ctrlProp" Target="../ctrlProps/ctrlProp755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78.xml"/><Relationship Id="rId15" Type="http://schemas.openxmlformats.org/officeDocument/2006/relationships/ctrlProp" Target="../ctrlProps/ctrlProp687.xml"/><Relationship Id="rId23" Type="http://schemas.openxmlformats.org/officeDocument/2006/relationships/ctrlProp" Target="../ctrlProps/ctrlProp695.xml"/><Relationship Id="rId28" Type="http://schemas.openxmlformats.org/officeDocument/2006/relationships/ctrlProp" Target="../ctrlProps/ctrlProp700.xml"/><Relationship Id="rId36" Type="http://schemas.openxmlformats.org/officeDocument/2006/relationships/ctrlProp" Target="../ctrlProps/ctrlProp708.xml"/><Relationship Id="rId49" Type="http://schemas.openxmlformats.org/officeDocument/2006/relationships/ctrlProp" Target="../ctrlProps/ctrlProp721.xml"/><Relationship Id="rId57" Type="http://schemas.openxmlformats.org/officeDocument/2006/relationships/ctrlProp" Target="../ctrlProps/ctrlProp729.xml"/><Relationship Id="rId10" Type="http://schemas.openxmlformats.org/officeDocument/2006/relationships/ctrlProp" Target="../ctrlProps/ctrlProp682.xml"/><Relationship Id="rId31" Type="http://schemas.openxmlformats.org/officeDocument/2006/relationships/ctrlProp" Target="../ctrlProps/ctrlProp703.xml"/><Relationship Id="rId44" Type="http://schemas.openxmlformats.org/officeDocument/2006/relationships/ctrlProp" Target="../ctrlProps/ctrlProp716.xml"/><Relationship Id="rId52" Type="http://schemas.openxmlformats.org/officeDocument/2006/relationships/ctrlProp" Target="../ctrlProps/ctrlProp724.xml"/><Relationship Id="rId60" Type="http://schemas.openxmlformats.org/officeDocument/2006/relationships/ctrlProp" Target="../ctrlProps/ctrlProp732.xml"/><Relationship Id="rId65" Type="http://schemas.openxmlformats.org/officeDocument/2006/relationships/ctrlProp" Target="../ctrlProps/ctrlProp737.xml"/><Relationship Id="rId73" Type="http://schemas.openxmlformats.org/officeDocument/2006/relationships/ctrlProp" Target="../ctrlProps/ctrlProp745.xml"/><Relationship Id="rId78" Type="http://schemas.openxmlformats.org/officeDocument/2006/relationships/ctrlProp" Target="../ctrlProps/ctrlProp750.xml"/><Relationship Id="rId81" Type="http://schemas.openxmlformats.org/officeDocument/2006/relationships/ctrlProp" Target="../ctrlProps/ctrlProp753.xml"/><Relationship Id="rId4" Type="http://schemas.openxmlformats.org/officeDocument/2006/relationships/ctrlProp" Target="../ctrlProps/ctrlProp676.xml"/><Relationship Id="rId9" Type="http://schemas.openxmlformats.org/officeDocument/2006/relationships/ctrlProp" Target="../ctrlProps/ctrlProp681.xml"/><Relationship Id="rId13" Type="http://schemas.openxmlformats.org/officeDocument/2006/relationships/ctrlProp" Target="../ctrlProps/ctrlProp685.xml"/><Relationship Id="rId18" Type="http://schemas.openxmlformats.org/officeDocument/2006/relationships/ctrlProp" Target="../ctrlProps/ctrlProp690.xml"/><Relationship Id="rId39" Type="http://schemas.openxmlformats.org/officeDocument/2006/relationships/ctrlProp" Target="../ctrlProps/ctrlProp711.xml"/><Relationship Id="rId34" Type="http://schemas.openxmlformats.org/officeDocument/2006/relationships/ctrlProp" Target="../ctrlProps/ctrlProp706.xml"/><Relationship Id="rId50" Type="http://schemas.openxmlformats.org/officeDocument/2006/relationships/ctrlProp" Target="../ctrlProps/ctrlProp722.xml"/><Relationship Id="rId55" Type="http://schemas.openxmlformats.org/officeDocument/2006/relationships/ctrlProp" Target="../ctrlProps/ctrlProp727.xml"/><Relationship Id="rId76" Type="http://schemas.openxmlformats.org/officeDocument/2006/relationships/ctrlProp" Target="../ctrlProps/ctrlProp748.xml"/><Relationship Id="rId7" Type="http://schemas.openxmlformats.org/officeDocument/2006/relationships/ctrlProp" Target="../ctrlProps/ctrlProp679.xml"/><Relationship Id="rId71" Type="http://schemas.openxmlformats.org/officeDocument/2006/relationships/ctrlProp" Target="../ctrlProps/ctrlProp743.xml"/><Relationship Id="rId2" Type="http://schemas.openxmlformats.org/officeDocument/2006/relationships/vmlDrawing" Target="../drawings/vmlDrawing11.vml"/><Relationship Id="rId29" Type="http://schemas.openxmlformats.org/officeDocument/2006/relationships/ctrlProp" Target="../ctrlProps/ctrlProp701.xml"/><Relationship Id="rId24" Type="http://schemas.openxmlformats.org/officeDocument/2006/relationships/ctrlProp" Target="../ctrlProps/ctrlProp696.xml"/><Relationship Id="rId40" Type="http://schemas.openxmlformats.org/officeDocument/2006/relationships/ctrlProp" Target="../ctrlProps/ctrlProp712.xml"/><Relationship Id="rId45" Type="http://schemas.openxmlformats.org/officeDocument/2006/relationships/ctrlProp" Target="../ctrlProps/ctrlProp717.xml"/><Relationship Id="rId66" Type="http://schemas.openxmlformats.org/officeDocument/2006/relationships/ctrlProp" Target="../ctrlProps/ctrlProp738.xml"/><Relationship Id="rId61" Type="http://schemas.openxmlformats.org/officeDocument/2006/relationships/ctrlProp" Target="../ctrlProps/ctrlProp733.xml"/><Relationship Id="rId82" Type="http://schemas.openxmlformats.org/officeDocument/2006/relationships/ctrlProp" Target="../ctrlProps/ctrlProp754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81.xml"/><Relationship Id="rId21" Type="http://schemas.openxmlformats.org/officeDocument/2006/relationships/ctrlProp" Target="../ctrlProps/ctrlProp776.xml"/><Relationship Id="rId42" Type="http://schemas.openxmlformats.org/officeDocument/2006/relationships/ctrlProp" Target="../ctrlProps/ctrlProp797.xml"/><Relationship Id="rId47" Type="http://schemas.openxmlformats.org/officeDocument/2006/relationships/ctrlProp" Target="../ctrlProps/ctrlProp802.xml"/><Relationship Id="rId63" Type="http://schemas.openxmlformats.org/officeDocument/2006/relationships/ctrlProp" Target="../ctrlProps/ctrlProp818.xml"/><Relationship Id="rId68" Type="http://schemas.openxmlformats.org/officeDocument/2006/relationships/ctrlProp" Target="../ctrlProps/ctrlProp823.xml"/><Relationship Id="rId84" Type="http://schemas.openxmlformats.org/officeDocument/2006/relationships/ctrlProp" Target="../ctrlProps/ctrlProp839.xml"/><Relationship Id="rId16" Type="http://schemas.openxmlformats.org/officeDocument/2006/relationships/ctrlProp" Target="../ctrlProps/ctrlProp771.xml"/><Relationship Id="rId11" Type="http://schemas.openxmlformats.org/officeDocument/2006/relationships/ctrlProp" Target="../ctrlProps/ctrlProp766.xml"/><Relationship Id="rId32" Type="http://schemas.openxmlformats.org/officeDocument/2006/relationships/ctrlProp" Target="../ctrlProps/ctrlProp787.xml"/><Relationship Id="rId37" Type="http://schemas.openxmlformats.org/officeDocument/2006/relationships/ctrlProp" Target="../ctrlProps/ctrlProp792.xml"/><Relationship Id="rId53" Type="http://schemas.openxmlformats.org/officeDocument/2006/relationships/ctrlProp" Target="../ctrlProps/ctrlProp808.xml"/><Relationship Id="rId58" Type="http://schemas.openxmlformats.org/officeDocument/2006/relationships/ctrlProp" Target="../ctrlProps/ctrlProp813.xml"/><Relationship Id="rId74" Type="http://schemas.openxmlformats.org/officeDocument/2006/relationships/ctrlProp" Target="../ctrlProps/ctrlProp829.xml"/><Relationship Id="rId79" Type="http://schemas.openxmlformats.org/officeDocument/2006/relationships/ctrlProp" Target="../ctrlProps/ctrlProp834.xml"/><Relationship Id="rId5" Type="http://schemas.openxmlformats.org/officeDocument/2006/relationships/ctrlProp" Target="../ctrlProps/ctrlProp760.xml"/><Relationship Id="rId19" Type="http://schemas.openxmlformats.org/officeDocument/2006/relationships/ctrlProp" Target="../ctrlProps/ctrlProp774.xml"/><Relationship Id="rId14" Type="http://schemas.openxmlformats.org/officeDocument/2006/relationships/ctrlProp" Target="../ctrlProps/ctrlProp769.xml"/><Relationship Id="rId22" Type="http://schemas.openxmlformats.org/officeDocument/2006/relationships/ctrlProp" Target="../ctrlProps/ctrlProp777.xml"/><Relationship Id="rId27" Type="http://schemas.openxmlformats.org/officeDocument/2006/relationships/ctrlProp" Target="../ctrlProps/ctrlProp782.xml"/><Relationship Id="rId30" Type="http://schemas.openxmlformats.org/officeDocument/2006/relationships/ctrlProp" Target="../ctrlProps/ctrlProp785.xml"/><Relationship Id="rId35" Type="http://schemas.openxmlformats.org/officeDocument/2006/relationships/ctrlProp" Target="../ctrlProps/ctrlProp790.xml"/><Relationship Id="rId43" Type="http://schemas.openxmlformats.org/officeDocument/2006/relationships/ctrlProp" Target="../ctrlProps/ctrlProp798.xml"/><Relationship Id="rId48" Type="http://schemas.openxmlformats.org/officeDocument/2006/relationships/ctrlProp" Target="../ctrlProps/ctrlProp803.xml"/><Relationship Id="rId56" Type="http://schemas.openxmlformats.org/officeDocument/2006/relationships/ctrlProp" Target="../ctrlProps/ctrlProp811.xml"/><Relationship Id="rId64" Type="http://schemas.openxmlformats.org/officeDocument/2006/relationships/ctrlProp" Target="../ctrlProps/ctrlProp819.xml"/><Relationship Id="rId69" Type="http://schemas.openxmlformats.org/officeDocument/2006/relationships/ctrlProp" Target="../ctrlProps/ctrlProp824.xml"/><Relationship Id="rId77" Type="http://schemas.openxmlformats.org/officeDocument/2006/relationships/ctrlProp" Target="../ctrlProps/ctrlProp832.xml"/><Relationship Id="rId8" Type="http://schemas.openxmlformats.org/officeDocument/2006/relationships/ctrlProp" Target="../ctrlProps/ctrlProp763.xml"/><Relationship Id="rId51" Type="http://schemas.openxmlformats.org/officeDocument/2006/relationships/ctrlProp" Target="../ctrlProps/ctrlProp806.xml"/><Relationship Id="rId72" Type="http://schemas.openxmlformats.org/officeDocument/2006/relationships/ctrlProp" Target="../ctrlProps/ctrlProp827.xml"/><Relationship Id="rId80" Type="http://schemas.openxmlformats.org/officeDocument/2006/relationships/ctrlProp" Target="../ctrlProps/ctrlProp835.xml"/><Relationship Id="rId85" Type="http://schemas.openxmlformats.org/officeDocument/2006/relationships/ctrlProp" Target="../ctrlProps/ctrlProp840.xml"/><Relationship Id="rId3" Type="http://schemas.openxmlformats.org/officeDocument/2006/relationships/ctrlProp" Target="../ctrlProps/ctrlProp758.xml"/><Relationship Id="rId12" Type="http://schemas.openxmlformats.org/officeDocument/2006/relationships/ctrlProp" Target="../ctrlProps/ctrlProp767.xml"/><Relationship Id="rId17" Type="http://schemas.openxmlformats.org/officeDocument/2006/relationships/ctrlProp" Target="../ctrlProps/ctrlProp772.xml"/><Relationship Id="rId25" Type="http://schemas.openxmlformats.org/officeDocument/2006/relationships/ctrlProp" Target="../ctrlProps/ctrlProp780.xml"/><Relationship Id="rId33" Type="http://schemas.openxmlformats.org/officeDocument/2006/relationships/ctrlProp" Target="../ctrlProps/ctrlProp788.xml"/><Relationship Id="rId38" Type="http://schemas.openxmlformats.org/officeDocument/2006/relationships/ctrlProp" Target="../ctrlProps/ctrlProp793.xml"/><Relationship Id="rId46" Type="http://schemas.openxmlformats.org/officeDocument/2006/relationships/ctrlProp" Target="../ctrlProps/ctrlProp801.xml"/><Relationship Id="rId59" Type="http://schemas.openxmlformats.org/officeDocument/2006/relationships/ctrlProp" Target="../ctrlProps/ctrlProp814.xml"/><Relationship Id="rId67" Type="http://schemas.openxmlformats.org/officeDocument/2006/relationships/ctrlProp" Target="../ctrlProps/ctrlProp822.xml"/><Relationship Id="rId20" Type="http://schemas.openxmlformats.org/officeDocument/2006/relationships/ctrlProp" Target="../ctrlProps/ctrlProp775.xml"/><Relationship Id="rId41" Type="http://schemas.openxmlformats.org/officeDocument/2006/relationships/ctrlProp" Target="../ctrlProps/ctrlProp796.xml"/><Relationship Id="rId54" Type="http://schemas.openxmlformats.org/officeDocument/2006/relationships/ctrlProp" Target="../ctrlProps/ctrlProp809.xml"/><Relationship Id="rId62" Type="http://schemas.openxmlformats.org/officeDocument/2006/relationships/ctrlProp" Target="../ctrlProps/ctrlProp817.xml"/><Relationship Id="rId70" Type="http://schemas.openxmlformats.org/officeDocument/2006/relationships/ctrlProp" Target="../ctrlProps/ctrlProp825.xml"/><Relationship Id="rId75" Type="http://schemas.openxmlformats.org/officeDocument/2006/relationships/ctrlProp" Target="../ctrlProps/ctrlProp830.xml"/><Relationship Id="rId83" Type="http://schemas.openxmlformats.org/officeDocument/2006/relationships/ctrlProp" Target="../ctrlProps/ctrlProp838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61.xml"/><Relationship Id="rId15" Type="http://schemas.openxmlformats.org/officeDocument/2006/relationships/ctrlProp" Target="../ctrlProps/ctrlProp770.xml"/><Relationship Id="rId23" Type="http://schemas.openxmlformats.org/officeDocument/2006/relationships/ctrlProp" Target="../ctrlProps/ctrlProp778.xml"/><Relationship Id="rId28" Type="http://schemas.openxmlformats.org/officeDocument/2006/relationships/ctrlProp" Target="../ctrlProps/ctrlProp783.xml"/><Relationship Id="rId36" Type="http://schemas.openxmlformats.org/officeDocument/2006/relationships/ctrlProp" Target="../ctrlProps/ctrlProp791.xml"/><Relationship Id="rId49" Type="http://schemas.openxmlformats.org/officeDocument/2006/relationships/ctrlProp" Target="../ctrlProps/ctrlProp804.xml"/><Relationship Id="rId57" Type="http://schemas.openxmlformats.org/officeDocument/2006/relationships/ctrlProp" Target="../ctrlProps/ctrlProp812.xml"/><Relationship Id="rId10" Type="http://schemas.openxmlformats.org/officeDocument/2006/relationships/ctrlProp" Target="../ctrlProps/ctrlProp765.xml"/><Relationship Id="rId31" Type="http://schemas.openxmlformats.org/officeDocument/2006/relationships/ctrlProp" Target="../ctrlProps/ctrlProp786.xml"/><Relationship Id="rId44" Type="http://schemas.openxmlformats.org/officeDocument/2006/relationships/ctrlProp" Target="../ctrlProps/ctrlProp799.xml"/><Relationship Id="rId52" Type="http://schemas.openxmlformats.org/officeDocument/2006/relationships/ctrlProp" Target="../ctrlProps/ctrlProp807.xml"/><Relationship Id="rId60" Type="http://schemas.openxmlformats.org/officeDocument/2006/relationships/ctrlProp" Target="../ctrlProps/ctrlProp815.xml"/><Relationship Id="rId65" Type="http://schemas.openxmlformats.org/officeDocument/2006/relationships/ctrlProp" Target="../ctrlProps/ctrlProp820.xml"/><Relationship Id="rId73" Type="http://schemas.openxmlformats.org/officeDocument/2006/relationships/ctrlProp" Target="../ctrlProps/ctrlProp828.xml"/><Relationship Id="rId78" Type="http://schemas.openxmlformats.org/officeDocument/2006/relationships/ctrlProp" Target="../ctrlProps/ctrlProp833.xml"/><Relationship Id="rId81" Type="http://schemas.openxmlformats.org/officeDocument/2006/relationships/ctrlProp" Target="../ctrlProps/ctrlProp836.xml"/><Relationship Id="rId4" Type="http://schemas.openxmlformats.org/officeDocument/2006/relationships/ctrlProp" Target="../ctrlProps/ctrlProp759.xml"/><Relationship Id="rId9" Type="http://schemas.openxmlformats.org/officeDocument/2006/relationships/ctrlProp" Target="../ctrlProps/ctrlProp764.xml"/><Relationship Id="rId13" Type="http://schemas.openxmlformats.org/officeDocument/2006/relationships/ctrlProp" Target="../ctrlProps/ctrlProp768.xml"/><Relationship Id="rId18" Type="http://schemas.openxmlformats.org/officeDocument/2006/relationships/ctrlProp" Target="../ctrlProps/ctrlProp773.xml"/><Relationship Id="rId39" Type="http://schemas.openxmlformats.org/officeDocument/2006/relationships/ctrlProp" Target="../ctrlProps/ctrlProp794.xml"/><Relationship Id="rId34" Type="http://schemas.openxmlformats.org/officeDocument/2006/relationships/ctrlProp" Target="../ctrlProps/ctrlProp789.xml"/><Relationship Id="rId50" Type="http://schemas.openxmlformats.org/officeDocument/2006/relationships/ctrlProp" Target="../ctrlProps/ctrlProp805.xml"/><Relationship Id="rId55" Type="http://schemas.openxmlformats.org/officeDocument/2006/relationships/ctrlProp" Target="../ctrlProps/ctrlProp810.xml"/><Relationship Id="rId76" Type="http://schemas.openxmlformats.org/officeDocument/2006/relationships/ctrlProp" Target="../ctrlProps/ctrlProp831.xml"/><Relationship Id="rId7" Type="http://schemas.openxmlformats.org/officeDocument/2006/relationships/ctrlProp" Target="../ctrlProps/ctrlProp762.xml"/><Relationship Id="rId71" Type="http://schemas.openxmlformats.org/officeDocument/2006/relationships/ctrlProp" Target="../ctrlProps/ctrlProp826.xml"/><Relationship Id="rId2" Type="http://schemas.openxmlformats.org/officeDocument/2006/relationships/vmlDrawing" Target="../drawings/vmlDrawing12.vml"/><Relationship Id="rId29" Type="http://schemas.openxmlformats.org/officeDocument/2006/relationships/ctrlProp" Target="../ctrlProps/ctrlProp784.xml"/><Relationship Id="rId24" Type="http://schemas.openxmlformats.org/officeDocument/2006/relationships/ctrlProp" Target="../ctrlProps/ctrlProp779.xml"/><Relationship Id="rId40" Type="http://schemas.openxmlformats.org/officeDocument/2006/relationships/ctrlProp" Target="../ctrlProps/ctrlProp795.xml"/><Relationship Id="rId45" Type="http://schemas.openxmlformats.org/officeDocument/2006/relationships/ctrlProp" Target="../ctrlProps/ctrlProp800.xml"/><Relationship Id="rId66" Type="http://schemas.openxmlformats.org/officeDocument/2006/relationships/ctrlProp" Target="../ctrlProps/ctrlProp821.xml"/><Relationship Id="rId61" Type="http://schemas.openxmlformats.org/officeDocument/2006/relationships/ctrlProp" Target="../ctrlProps/ctrlProp816.xml"/><Relationship Id="rId82" Type="http://schemas.openxmlformats.org/officeDocument/2006/relationships/ctrlProp" Target="../ctrlProps/ctrlProp837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64.xml"/><Relationship Id="rId21" Type="http://schemas.openxmlformats.org/officeDocument/2006/relationships/ctrlProp" Target="../ctrlProps/ctrlProp859.xml"/><Relationship Id="rId42" Type="http://schemas.openxmlformats.org/officeDocument/2006/relationships/ctrlProp" Target="../ctrlProps/ctrlProp880.xml"/><Relationship Id="rId47" Type="http://schemas.openxmlformats.org/officeDocument/2006/relationships/ctrlProp" Target="../ctrlProps/ctrlProp885.xml"/><Relationship Id="rId63" Type="http://schemas.openxmlformats.org/officeDocument/2006/relationships/ctrlProp" Target="../ctrlProps/ctrlProp901.xml"/><Relationship Id="rId68" Type="http://schemas.openxmlformats.org/officeDocument/2006/relationships/ctrlProp" Target="../ctrlProps/ctrlProp906.xml"/><Relationship Id="rId84" Type="http://schemas.openxmlformats.org/officeDocument/2006/relationships/ctrlProp" Target="../ctrlProps/ctrlProp922.xml"/><Relationship Id="rId16" Type="http://schemas.openxmlformats.org/officeDocument/2006/relationships/ctrlProp" Target="../ctrlProps/ctrlProp854.xml"/><Relationship Id="rId11" Type="http://schemas.openxmlformats.org/officeDocument/2006/relationships/ctrlProp" Target="../ctrlProps/ctrlProp849.xml"/><Relationship Id="rId32" Type="http://schemas.openxmlformats.org/officeDocument/2006/relationships/ctrlProp" Target="../ctrlProps/ctrlProp870.xml"/><Relationship Id="rId37" Type="http://schemas.openxmlformats.org/officeDocument/2006/relationships/ctrlProp" Target="../ctrlProps/ctrlProp875.xml"/><Relationship Id="rId53" Type="http://schemas.openxmlformats.org/officeDocument/2006/relationships/ctrlProp" Target="../ctrlProps/ctrlProp891.xml"/><Relationship Id="rId58" Type="http://schemas.openxmlformats.org/officeDocument/2006/relationships/ctrlProp" Target="../ctrlProps/ctrlProp896.xml"/><Relationship Id="rId74" Type="http://schemas.openxmlformats.org/officeDocument/2006/relationships/ctrlProp" Target="../ctrlProps/ctrlProp912.xml"/><Relationship Id="rId79" Type="http://schemas.openxmlformats.org/officeDocument/2006/relationships/ctrlProp" Target="../ctrlProps/ctrlProp917.xml"/><Relationship Id="rId5" Type="http://schemas.openxmlformats.org/officeDocument/2006/relationships/ctrlProp" Target="../ctrlProps/ctrlProp843.xml"/><Relationship Id="rId19" Type="http://schemas.openxmlformats.org/officeDocument/2006/relationships/ctrlProp" Target="../ctrlProps/ctrlProp857.xml"/><Relationship Id="rId14" Type="http://schemas.openxmlformats.org/officeDocument/2006/relationships/ctrlProp" Target="../ctrlProps/ctrlProp852.xml"/><Relationship Id="rId22" Type="http://schemas.openxmlformats.org/officeDocument/2006/relationships/ctrlProp" Target="../ctrlProps/ctrlProp860.xml"/><Relationship Id="rId27" Type="http://schemas.openxmlformats.org/officeDocument/2006/relationships/ctrlProp" Target="../ctrlProps/ctrlProp865.xml"/><Relationship Id="rId30" Type="http://schemas.openxmlformats.org/officeDocument/2006/relationships/ctrlProp" Target="../ctrlProps/ctrlProp868.xml"/><Relationship Id="rId35" Type="http://schemas.openxmlformats.org/officeDocument/2006/relationships/ctrlProp" Target="../ctrlProps/ctrlProp873.xml"/><Relationship Id="rId43" Type="http://schemas.openxmlformats.org/officeDocument/2006/relationships/ctrlProp" Target="../ctrlProps/ctrlProp881.xml"/><Relationship Id="rId48" Type="http://schemas.openxmlformats.org/officeDocument/2006/relationships/ctrlProp" Target="../ctrlProps/ctrlProp886.xml"/><Relationship Id="rId56" Type="http://schemas.openxmlformats.org/officeDocument/2006/relationships/ctrlProp" Target="../ctrlProps/ctrlProp894.xml"/><Relationship Id="rId64" Type="http://schemas.openxmlformats.org/officeDocument/2006/relationships/ctrlProp" Target="../ctrlProps/ctrlProp902.xml"/><Relationship Id="rId69" Type="http://schemas.openxmlformats.org/officeDocument/2006/relationships/ctrlProp" Target="../ctrlProps/ctrlProp907.xml"/><Relationship Id="rId77" Type="http://schemas.openxmlformats.org/officeDocument/2006/relationships/ctrlProp" Target="../ctrlProps/ctrlProp915.xml"/><Relationship Id="rId8" Type="http://schemas.openxmlformats.org/officeDocument/2006/relationships/ctrlProp" Target="../ctrlProps/ctrlProp846.xml"/><Relationship Id="rId51" Type="http://schemas.openxmlformats.org/officeDocument/2006/relationships/ctrlProp" Target="../ctrlProps/ctrlProp889.xml"/><Relationship Id="rId72" Type="http://schemas.openxmlformats.org/officeDocument/2006/relationships/ctrlProp" Target="../ctrlProps/ctrlProp910.xml"/><Relationship Id="rId80" Type="http://schemas.openxmlformats.org/officeDocument/2006/relationships/ctrlProp" Target="../ctrlProps/ctrlProp918.xml"/><Relationship Id="rId85" Type="http://schemas.openxmlformats.org/officeDocument/2006/relationships/ctrlProp" Target="../ctrlProps/ctrlProp923.xml"/><Relationship Id="rId3" Type="http://schemas.openxmlformats.org/officeDocument/2006/relationships/ctrlProp" Target="../ctrlProps/ctrlProp841.xml"/><Relationship Id="rId12" Type="http://schemas.openxmlformats.org/officeDocument/2006/relationships/ctrlProp" Target="../ctrlProps/ctrlProp850.xml"/><Relationship Id="rId17" Type="http://schemas.openxmlformats.org/officeDocument/2006/relationships/ctrlProp" Target="../ctrlProps/ctrlProp855.xml"/><Relationship Id="rId25" Type="http://schemas.openxmlformats.org/officeDocument/2006/relationships/ctrlProp" Target="../ctrlProps/ctrlProp863.xml"/><Relationship Id="rId33" Type="http://schemas.openxmlformats.org/officeDocument/2006/relationships/ctrlProp" Target="../ctrlProps/ctrlProp871.xml"/><Relationship Id="rId38" Type="http://schemas.openxmlformats.org/officeDocument/2006/relationships/ctrlProp" Target="../ctrlProps/ctrlProp876.xml"/><Relationship Id="rId46" Type="http://schemas.openxmlformats.org/officeDocument/2006/relationships/ctrlProp" Target="../ctrlProps/ctrlProp884.xml"/><Relationship Id="rId59" Type="http://schemas.openxmlformats.org/officeDocument/2006/relationships/ctrlProp" Target="../ctrlProps/ctrlProp897.xml"/><Relationship Id="rId67" Type="http://schemas.openxmlformats.org/officeDocument/2006/relationships/ctrlProp" Target="../ctrlProps/ctrlProp905.xml"/><Relationship Id="rId20" Type="http://schemas.openxmlformats.org/officeDocument/2006/relationships/ctrlProp" Target="../ctrlProps/ctrlProp858.xml"/><Relationship Id="rId41" Type="http://schemas.openxmlformats.org/officeDocument/2006/relationships/ctrlProp" Target="../ctrlProps/ctrlProp879.xml"/><Relationship Id="rId54" Type="http://schemas.openxmlformats.org/officeDocument/2006/relationships/ctrlProp" Target="../ctrlProps/ctrlProp892.xml"/><Relationship Id="rId62" Type="http://schemas.openxmlformats.org/officeDocument/2006/relationships/ctrlProp" Target="../ctrlProps/ctrlProp900.xml"/><Relationship Id="rId70" Type="http://schemas.openxmlformats.org/officeDocument/2006/relationships/ctrlProp" Target="../ctrlProps/ctrlProp908.xml"/><Relationship Id="rId75" Type="http://schemas.openxmlformats.org/officeDocument/2006/relationships/ctrlProp" Target="../ctrlProps/ctrlProp913.xml"/><Relationship Id="rId83" Type="http://schemas.openxmlformats.org/officeDocument/2006/relationships/ctrlProp" Target="../ctrlProps/ctrlProp92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844.xml"/><Relationship Id="rId15" Type="http://schemas.openxmlformats.org/officeDocument/2006/relationships/ctrlProp" Target="../ctrlProps/ctrlProp853.xml"/><Relationship Id="rId23" Type="http://schemas.openxmlformats.org/officeDocument/2006/relationships/ctrlProp" Target="../ctrlProps/ctrlProp861.xml"/><Relationship Id="rId28" Type="http://schemas.openxmlformats.org/officeDocument/2006/relationships/ctrlProp" Target="../ctrlProps/ctrlProp866.xml"/><Relationship Id="rId36" Type="http://schemas.openxmlformats.org/officeDocument/2006/relationships/ctrlProp" Target="../ctrlProps/ctrlProp874.xml"/><Relationship Id="rId49" Type="http://schemas.openxmlformats.org/officeDocument/2006/relationships/ctrlProp" Target="../ctrlProps/ctrlProp887.xml"/><Relationship Id="rId57" Type="http://schemas.openxmlformats.org/officeDocument/2006/relationships/ctrlProp" Target="../ctrlProps/ctrlProp895.xml"/><Relationship Id="rId10" Type="http://schemas.openxmlformats.org/officeDocument/2006/relationships/ctrlProp" Target="../ctrlProps/ctrlProp848.xml"/><Relationship Id="rId31" Type="http://schemas.openxmlformats.org/officeDocument/2006/relationships/ctrlProp" Target="../ctrlProps/ctrlProp869.xml"/><Relationship Id="rId44" Type="http://schemas.openxmlformats.org/officeDocument/2006/relationships/ctrlProp" Target="../ctrlProps/ctrlProp882.xml"/><Relationship Id="rId52" Type="http://schemas.openxmlformats.org/officeDocument/2006/relationships/ctrlProp" Target="../ctrlProps/ctrlProp890.xml"/><Relationship Id="rId60" Type="http://schemas.openxmlformats.org/officeDocument/2006/relationships/ctrlProp" Target="../ctrlProps/ctrlProp898.xml"/><Relationship Id="rId65" Type="http://schemas.openxmlformats.org/officeDocument/2006/relationships/ctrlProp" Target="../ctrlProps/ctrlProp903.xml"/><Relationship Id="rId73" Type="http://schemas.openxmlformats.org/officeDocument/2006/relationships/ctrlProp" Target="../ctrlProps/ctrlProp911.xml"/><Relationship Id="rId78" Type="http://schemas.openxmlformats.org/officeDocument/2006/relationships/ctrlProp" Target="../ctrlProps/ctrlProp916.xml"/><Relationship Id="rId81" Type="http://schemas.openxmlformats.org/officeDocument/2006/relationships/ctrlProp" Target="../ctrlProps/ctrlProp919.xml"/><Relationship Id="rId4" Type="http://schemas.openxmlformats.org/officeDocument/2006/relationships/ctrlProp" Target="../ctrlProps/ctrlProp842.xml"/><Relationship Id="rId9" Type="http://schemas.openxmlformats.org/officeDocument/2006/relationships/ctrlProp" Target="../ctrlProps/ctrlProp847.xml"/><Relationship Id="rId13" Type="http://schemas.openxmlformats.org/officeDocument/2006/relationships/ctrlProp" Target="../ctrlProps/ctrlProp851.xml"/><Relationship Id="rId18" Type="http://schemas.openxmlformats.org/officeDocument/2006/relationships/ctrlProp" Target="../ctrlProps/ctrlProp856.xml"/><Relationship Id="rId39" Type="http://schemas.openxmlformats.org/officeDocument/2006/relationships/ctrlProp" Target="../ctrlProps/ctrlProp877.xml"/><Relationship Id="rId34" Type="http://schemas.openxmlformats.org/officeDocument/2006/relationships/ctrlProp" Target="../ctrlProps/ctrlProp872.xml"/><Relationship Id="rId50" Type="http://schemas.openxmlformats.org/officeDocument/2006/relationships/ctrlProp" Target="../ctrlProps/ctrlProp888.xml"/><Relationship Id="rId55" Type="http://schemas.openxmlformats.org/officeDocument/2006/relationships/ctrlProp" Target="../ctrlProps/ctrlProp893.xml"/><Relationship Id="rId76" Type="http://schemas.openxmlformats.org/officeDocument/2006/relationships/ctrlProp" Target="../ctrlProps/ctrlProp914.xml"/><Relationship Id="rId7" Type="http://schemas.openxmlformats.org/officeDocument/2006/relationships/ctrlProp" Target="../ctrlProps/ctrlProp845.xml"/><Relationship Id="rId71" Type="http://schemas.openxmlformats.org/officeDocument/2006/relationships/ctrlProp" Target="../ctrlProps/ctrlProp909.xml"/><Relationship Id="rId2" Type="http://schemas.openxmlformats.org/officeDocument/2006/relationships/vmlDrawing" Target="../drawings/vmlDrawing13.vml"/><Relationship Id="rId29" Type="http://schemas.openxmlformats.org/officeDocument/2006/relationships/ctrlProp" Target="../ctrlProps/ctrlProp867.xml"/><Relationship Id="rId24" Type="http://schemas.openxmlformats.org/officeDocument/2006/relationships/ctrlProp" Target="../ctrlProps/ctrlProp862.xml"/><Relationship Id="rId40" Type="http://schemas.openxmlformats.org/officeDocument/2006/relationships/ctrlProp" Target="../ctrlProps/ctrlProp878.xml"/><Relationship Id="rId45" Type="http://schemas.openxmlformats.org/officeDocument/2006/relationships/ctrlProp" Target="../ctrlProps/ctrlProp883.xml"/><Relationship Id="rId66" Type="http://schemas.openxmlformats.org/officeDocument/2006/relationships/ctrlProp" Target="../ctrlProps/ctrlProp904.xml"/><Relationship Id="rId61" Type="http://schemas.openxmlformats.org/officeDocument/2006/relationships/ctrlProp" Target="../ctrlProps/ctrlProp899.xml"/><Relationship Id="rId82" Type="http://schemas.openxmlformats.org/officeDocument/2006/relationships/ctrlProp" Target="../ctrlProps/ctrlProp920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47.xml"/><Relationship Id="rId21" Type="http://schemas.openxmlformats.org/officeDocument/2006/relationships/ctrlProp" Target="../ctrlProps/ctrlProp942.xml"/><Relationship Id="rId42" Type="http://schemas.openxmlformats.org/officeDocument/2006/relationships/ctrlProp" Target="../ctrlProps/ctrlProp963.xml"/><Relationship Id="rId47" Type="http://schemas.openxmlformats.org/officeDocument/2006/relationships/ctrlProp" Target="../ctrlProps/ctrlProp968.xml"/><Relationship Id="rId63" Type="http://schemas.openxmlformats.org/officeDocument/2006/relationships/ctrlProp" Target="../ctrlProps/ctrlProp984.xml"/><Relationship Id="rId68" Type="http://schemas.openxmlformats.org/officeDocument/2006/relationships/ctrlProp" Target="../ctrlProps/ctrlProp989.xml"/><Relationship Id="rId84" Type="http://schemas.openxmlformats.org/officeDocument/2006/relationships/ctrlProp" Target="../ctrlProps/ctrlProp1005.xml"/><Relationship Id="rId16" Type="http://schemas.openxmlformats.org/officeDocument/2006/relationships/ctrlProp" Target="../ctrlProps/ctrlProp937.xml"/><Relationship Id="rId11" Type="http://schemas.openxmlformats.org/officeDocument/2006/relationships/ctrlProp" Target="../ctrlProps/ctrlProp932.xml"/><Relationship Id="rId32" Type="http://schemas.openxmlformats.org/officeDocument/2006/relationships/ctrlProp" Target="../ctrlProps/ctrlProp953.xml"/><Relationship Id="rId37" Type="http://schemas.openxmlformats.org/officeDocument/2006/relationships/ctrlProp" Target="../ctrlProps/ctrlProp958.xml"/><Relationship Id="rId53" Type="http://schemas.openxmlformats.org/officeDocument/2006/relationships/ctrlProp" Target="../ctrlProps/ctrlProp974.xml"/><Relationship Id="rId58" Type="http://schemas.openxmlformats.org/officeDocument/2006/relationships/ctrlProp" Target="../ctrlProps/ctrlProp979.xml"/><Relationship Id="rId74" Type="http://schemas.openxmlformats.org/officeDocument/2006/relationships/ctrlProp" Target="../ctrlProps/ctrlProp995.xml"/><Relationship Id="rId79" Type="http://schemas.openxmlformats.org/officeDocument/2006/relationships/ctrlProp" Target="../ctrlProps/ctrlProp1000.xml"/><Relationship Id="rId5" Type="http://schemas.openxmlformats.org/officeDocument/2006/relationships/ctrlProp" Target="../ctrlProps/ctrlProp926.xml"/><Relationship Id="rId19" Type="http://schemas.openxmlformats.org/officeDocument/2006/relationships/ctrlProp" Target="../ctrlProps/ctrlProp940.xml"/><Relationship Id="rId14" Type="http://schemas.openxmlformats.org/officeDocument/2006/relationships/ctrlProp" Target="../ctrlProps/ctrlProp935.xml"/><Relationship Id="rId22" Type="http://schemas.openxmlformats.org/officeDocument/2006/relationships/ctrlProp" Target="../ctrlProps/ctrlProp943.xml"/><Relationship Id="rId27" Type="http://schemas.openxmlformats.org/officeDocument/2006/relationships/ctrlProp" Target="../ctrlProps/ctrlProp948.xml"/><Relationship Id="rId30" Type="http://schemas.openxmlformats.org/officeDocument/2006/relationships/ctrlProp" Target="../ctrlProps/ctrlProp951.xml"/><Relationship Id="rId35" Type="http://schemas.openxmlformats.org/officeDocument/2006/relationships/ctrlProp" Target="../ctrlProps/ctrlProp956.xml"/><Relationship Id="rId43" Type="http://schemas.openxmlformats.org/officeDocument/2006/relationships/ctrlProp" Target="../ctrlProps/ctrlProp964.xml"/><Relationship Id="rId48" Type="http://schemas.openxmlformats.org/officeDocument/2006/relationships/ctrlProp" Target="../ctrlProps/ctrlProp969.xml"/><Relationship Id="rId56" Type="http://schemas.openxmlformats.org/officeDocument/2006/relationships/ctrlProp" Target="../ctrlProps/ctrlProp977.xml"/><Relationship Id="rId64" Type="http://schemas.openxmlformats.org/officeDocument/2006/relationships/ctrlProp" Target="../ctrlProps/ctrlProp985.xml"/><Relationship Id="rId69" Type="http://schemas.openxmlformats.org/officeDocument/2006/relationships/ctrlProp" Target="../ctrlProps/ctrlProp990.xml"/><Relationship Id="rId77" Type="http://schemas.openxmlformats.org/officeDocument/2006/relationships/ctrlProp" Target="../ctrlProps/ctrlProp998.xml"/><Relationship Id="rId8" Type="http://schemas.openxmlformats.org/officeDocument/2006/relationships/ctrlProp" Target="../ctrlProps/ctrlProp929.xml"/><Relationship Id="rId51" Type="http://schemas.openxmlformats.org/officeDocument/2006/relationships/ctrlProp" Target="../ctrlProps/ctrlProp972.xml"/><Relationship Id="rId72" Type="http://schemas.openxmlformats.org/officeDocument/2006/relationships/ctrlProp" Target="../ctrlProps/ctrlProp993.xml"/><Relationship Id="rId80" Type="http://schemas.openxmlformats.org/officeDocument/2006/relationships/ctrlProp" Target="../ctrlProps/ctrlProp1001.xml"/><Relationship Id="rId85" Type="http://schemas.openxmlformats.org/officeDocument/2006/relationships/ctrlProp" Target="../ctrlProps/ctrlProp1006.xml"/><Relationship Id="rId3" Type="http://schemas.openxmlformats.org/officeDocument/2006/relationships/ctrlProp" Target="../ctrlProps/ctrlProp924.xml"/><Relationship Id="rId12" Type="http://schemas.openxmlformats.org/officeDocument/2006/relationships/ctrlProp" Target="../ctrlProps/ctrlProp933.xml"/><Relationship Id="rId17" Type="http://schemas.openxmlformats.org/officeDocument/2006/relationships/ctrlProp" Target="../ctrlProps/ctrlProp938.xml"/><Relationship Id="rId25" Type="http://schemas.openxmlformats.org/officeDocument/2006/relationships/ctrlProp" Target="../ctrlProps/ctrlProp946.xml"/><Relationship Id="rId33" Type="http://schemas.openxmlformats.org/officeDocument/2006/relationships/ctrlProp" Target="../ctrlProps/ctrlProp954.xml"/><Relationship Id="rId38" Type="http://schemas.openxmlformats.org/officeDocument/2006/relationships/ctrlProp" Target="../ctrlProps/ctrlProp959.xml"/><Relationship Id="rId46" Type="http://schemas.openxmlformats.org/officeDocument/2006/relationships/ctrlProp" Target="../ctrlProps/ctrlProp967.xml"/><Relationship Id="rId59" Type="http://schemas.openxmlformats.org/officeDocument/2006/relationships/ctrlProp" Target="../ctrlProps/ctrlProp980.xml"/><Relationship Id="rId67" Type="http://schemas.openxmlformats.org/officeDocument/2006/relationships/ctrlProp" Target="../ctrlProps/ctrlProp988.xml"/><Relationship Id="rId20" Type="http://schemas.openxmlformats.org/officeDocument/2006/relationships/ctrlProp" Target="../ctrlProps/ctrlProp941.xml"/><Relationship Id="rId41" Type="http://schemas.openxmlformats.org/officeDocument/2006/relationships/ctrlProp" Target="../ctrlProps/ctrlProp962.xml"/><Relationship Id="rId54" Type="http://schemas.openxmlformats.org/officeDocument/2006/relationships/ctrlProp" Target="../ctrlProps/ctrlProp975.xml"/><Relationship Id="rId62" Type="http://schemas.openxmlformats.org/officeDocument/2006/relationships/ctrlProp" Target="../ctrlProps/ctrlProp983.xml"/><Relationship Id="rId70" Type="http://schemas.openxmlformats.org/officeDocument/2006/relationships/ctrlProp" Target="../ctrlProps/ctrlProp991.xml"/><Relationship Id="rId75" Type="http://schemas.openxmlformats.org/officeDocument/2006/relationships/ctrlProp" Target="../ctrlProps/ctrlProp996.xml"/><Relationship Id="rId83" Type="http://schemas.openxmlformats.org/officeDocument/2006/relationships/ctrlProp" Target="../ctrlProps/ctrlProp1004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27.xml"/><Relationship Id="rId15" Type="http://schemas.openxmlformats.org/officeDocument/2006/relationships/ctrlProp" Target="../ctrlProps/ctrlProp936.xml"/><Relationship Id="rId23" Type="http://schemas.openxmlformats.org/officeDocument/2006/relationships/ctrlProp" Target="../ctrlProps/ctrlProp944.xml"/><Relationship Id="rId28" Type="http://schemas.openxmlformats.org/officeDocument/2006/relationships/ctrlProp" Target="../ctrlProps/ctrlProp949.xml"/><Relationship Id="rId36" Type="http://schemas.openxmlformats.org/officeDocument/2006/relationships/ctrlProp" Target="../ctrlProps/ctrlProp957.xml"/><Relationship Id="rId49" Type="http://schemas.openxmlformats.org/officeDocument/2006/relationships/ctrlProp" Target="../ctrlProps/ctrlProp970.xml"/><Relationship Id="rId57" Type="http://schemas.openxmlformats.org/officeDocument/2006/relationships/ctrlProp" Target="../ctrlProps/ctrlProp978.xml"/><Relationship Id="rId10" Type="http://schemas.openxmlformats.org/officeDocument/2006/relationships/ctrlProp" Target="../ctrlProps/ctrlProp931.xml"/><Relationship Id="rId31" Type="http://schemas.openxmlformats.org/officeDocument/2006/relationships/ctrlProp" Target="../ctrlProps/ctrlProp952.xml"/><Relationship Id="rId44" Type="http://schemas.openxmlformats.org/officeDocument/2006/relationships/ctrlProp" Target="../ctrlProps/ctrlProp965.xml"/><Relationship Id="rId52" Type="http://schemas.openxmlformats.org/officeDocument/2006/relationships/ctrlProp" Target="../ctrlProps/ctrlProp973.xml"/><Relationship Id="rId60" Type="http://schemas.openxmlformats.org/officeDocument/2006/relationships/ctrlProp" Target="../ctrlProps/ctrlProp981.xml"/><Relationship Id="rId65" Type="http://schemas.openxmlformats.org/officeDocument/2006/relationships/ctrlProp" Target="../ctrlProps/ctrlProp986.xml"/><Relationship Id="rId73" Type="http://schemas.openxmlformats.org/officeDocument/2006/relationships/ctrlProp" Target="../ctrlProps/ctrlProp994.xml"/><Relationship Id="rId78" Type="http://schemas.openxmlformats.org/officeDocument/2006/relationships/ctrlProp" Target="../ctrlProps/ctrlProp999.xml"/><Relationship Id="rId81" Type="http://schemas.openxmlformats.org/officeDocument/2006/relationships/ctrlProp" Target="../ctrlProps/ctrlProp1002.xml"/><Relationship Id="rId4" Type="http://schemas.openxmlformats.org/officeDocument/2006/relationships/ctrlProp" Target="../ctrlProps/ctrlProp925.xml"/><Relationship Id="rId9" Type="http://schemas.openxmlformats.org/officeDocument/2006/relationships/ctrlProp" Target="../ctrlProps/ctrlProp930.xml"/><Relationship Id="rId13" Type="http://schemas.openxmlformats.org/officeDocument/2006/relationships/ctrlProp" Target="../ctrlProps/ctrlProp934.xml"/><Relationship Id="rId18" Type="http://schemas.openxmlformats.org/officeDocument/2006/relationships/ctrlProp" Target="../ctrlProps/ctrlProp939.xml"/><Relationship Id="rId39" Type="http://schemas.openxmlformats.org/officeDocument/2006/relationships/ctrlProp" Target="../ctrlProps/ctrlProp960.xml"/><Relationship Id="rId34" Type="http://schemas.openxmlformats.org/officeDocument/2006/relationships/ctrlProp" Target="../ctrlProps/ctrlProp955.xml"/><Relationship Id="rId50" Type="http://schemas.openxmlformats.org/officeDocument/2006/relationships/ctrlProp" Target="../ctrlProps/ctrlProp971.xml"/><Relationship Id="rId55" Type="http://schemas.openxmlformats.org/officeDocument/2006/relationships/ctrlProp" Target="../ctrlProps/ctrlProp976.xml"/><Relationship Id="rId76" Type="http://schemas.openxmlformats.org/officeDocument/2006/relationships/ctrlProp" Target="../ctrlProps/ctrlProp997.xml"/><Relationship Id="rId7" Type="http://schemas.openxmlformats.org/officeDocument/2006/relationships/ctrlProp" Target="../ctrlProps/ctrlProp928.xml"/><Relationship Id="rId71" Type="http://schemas.openxmlformats.org/officeDocument/2006/relationships/ctrlProp" Target="../ctrlProps/ctrlProp992.xml"/><Relationship Id="rId2" Type="http://schemas.openxmlformats.org/officeDocument/2006/relationships/vmlDrawing" Target="../drawings/vmlDrawing14.vml"/><Relationship Id="rId29" Type="http://schemas.openxmlformats.org/officeDocument/2006/relationships/ctrlProp" Target="../ctrlProps/ctrlProp950.xml"/><Relationship Id="rId24" Type="http://schemas.openxmlformats.org/officeDocument/2006/relationships/ctrlProp" Target="../ctrlProps/ctrlProp945.xml"/><Relationship Id="rId40" Type="http://schemas.openxmlformats.org/officeDocument/2006/relationships/ctrlProp" Target="../ctrlProps/ctrlProp961.xml"/><Relationship Id="rId45" Type="http://schemas.openxmlformats.org/officeDocument/2006/relationships/ctrlProp" Target="../ctrlProps/ctrlProp966.xml"/><Relationship Id="rId66" Type="http://schemas.openxmlformats.org/officeDocument/2006/relationships/ctrlProp" Target="../ctrlProps/ctrlProp987.xml"/><Relationship Id="rId61" Type="http://schemas.openxmlformats.org/officeDocument/2006/relationships/ctrlProp" Target="../ctrlProps/ctrlProp982.xml"/><Relationship Id="rId82" Type="http://schemas.openxmlformats.org/officeDocument/2006/relationships/ctrlProp" Target="../ctrlProps/ctrlProp100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2.xml"/><Relationship Id="rId3" Type="http://schemas.openxmlformats.org/officeDocument/2006/relationships/ctrlProp" Target="../ctrlProps/ctrlProp1007.xml"/><Relationship Id="rId7" Type="http://schemas.openxmlformats.org/officeDocument/2006/relationships/ctrlProp" Target="../ctrlProps/ctrlProp101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0.xml"/><Relationship Id="rId5" Type="http://schemas.openxmlformats.org/officeDocument/2006/relationships/ctrlProp" Target="../ctrlProps/ctrlProp1009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008.xml"/><Relationship Id="rId9" Type="http://schemas.openxmlformats.org/officeDocument/2006/relationships/ctrlProp" Target="../ctrlProps/ctrlProp10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9.xml"/><Relationship Id="rId3" Type="http://schemas.openxmlformats.org/officeDocument/2006/relationships/ctrlProp" Target="../ctrlProps/ctrlProp1014.xml"/><Relationship Id="rId7" Type="http://schemas.openxmlformats.org/officeDocument/2006/relationships/ctrlProp" Target="../ctrlProps/ctrlProp101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1017.xml"/><Relationship Id="rId5" Type="http://schemas.openxmlformats.org/officeDocument/2006/relationships/ctrlProp" Target="../ctrlProps/ctrlProp1016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015.xml"/><Relationship Id="rId9" Type="http://schemas.openxmlformats.org/officeDocument/2006/relationships/ctrlProp" Target="../ctrlProps/ctrlProp10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6.xml"/><Relationship Id="rId3" Type="http://schemas.openxmlformats.org/officeDocument/2006/relationships/ctrlProp" Target="../ctrlProps/ctrlProp1021.xml"/><Relationship Id="rId7" Type="http://schemas.openxmlformats.org/officeDocument/2006/relationships/ctrlProp" Target="../ctrlProps/ctrlProp10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024.xml"/><Relationship Id="rId5" Type="http://schemas.openxmlformats.org/officeDocument/2006/relationships/ctrlProp" Target="../ctrlProps/ctrlProp1023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1022.xml"/><Relationship Id="rId9" Type="http://schemas.openxmlformats.org/officeDocument/2006/relationships/ctrlProp" Target="../ctrlProps/ctrlProp10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3.xml"/><Relationship Id="rId3" Type="http://schemas.openxmlformats.org/officeDocument/2006/relationships/ctrlProp" Target="../ctrlProps/ctrlProp1028.xml"/><Relationship Id="rId7" Type="http://schemas.openxmlformats.org/officeDocument/2006/relationships/ctrlProp" Target="../ctrlProps/ctrlProp103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1031.xml"/><Relationship Id="rId5" Type="http://schemas.openxmlformats.org/officeDocument/2006/relationships/ctrlProp" Target="../ctrlProps/ctrlProp1030.xml"/><Relationship Id="rId10" Type="http://schemas.openxmlformats.org/officeDocument/2006/relationships/comments" Target="../comments4.xml"/><Relationship Id="rId4" Type="http://schemas.openxmlformats.org/officeDocument/2006/relationships/ctrlProp" Target="../ctrlProps/ctrlProp1029.xml"/><Relationship Id="rId9" Type="http://schemas.openxmlformats.org/officeDocument/2006/relationships/ctrlProp" Target="../ctrlProps/ctrlProp103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0.xml"/><Relationship Id="rId3" Type="http://schemas.openxmlformats.org/officeDocument/2006/relationships/ctrlProp" Target="../ctrlProps/ctrlProp1035.xml"/><Relationship Id="rId7" Type="http://schemas.openxmlformats.org/officeDocument/2006/relationships/ctrlProp" Target="../ctrlProps/ctrlProp103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038.xml"/><Relationship Id="rId5" Type="http://schemas.openxmlformats.org/officeDocument/2006/relationships/ctrlProp" Target="../ctrlProps/ctrlProp1037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1036.xml"/><Relationship Id="rId9" Type="http://schemas.openxmlformats.org/officeDocument/2006/relationships/ctrlProp" Target="../ctrlProps/ctrlProp104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7.xml"/><Relationship Id="rId3" Type="http://schemas.openxmlformats.org/officeDocument/2006/relationships/ctrlProp" Target="../ctrlProps/ctrlProp1042.xml"/><Relationship Id="rId7" Type="http://schemas.openxmlformats.org/officeDocument/2006/relationships/ctrlProp" Target="../ctrlProps/ctrlProp1046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1045.xml"/><Relationship Id="rId5" Type="http://schemas.openxmlformats.org/officeDocument/2006/relationships/ctrlProp" Target="../ctrlProps/ctrlProp1044.xml"/><Relationship Id="rId10" Type="http://schemas.openxmlformats.org/officeDocument/2006/relationships/comments" Target="../comments6.xml"/><Relationship Id="rId4" Type="http://schemas.openxmlformats.org/officeDocument/2006/relationships/ctrlProp" Target="../ctrlProps/ctrlProp1043.xml"/><Relationship Id="rId9" Type="http://schemas.openxmlformats.org/officeDocument/2006/relationships/ctrlProp" Target="../ctrlProps/ctrlProp104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4.xml"/><Relationship Id="rId3" Type="http://schemas.openxmlformats.org/officeDocument/2006/relationships/ctrlProp" Target="../ctrlProps/ctrlProp1049.xml"/><Relationship Id="rId7" Type="http://schemas.openxmlformats.org/officeDocument/2006/relationships/ctrlProp" Target="../ctrlProps/ctrlProp10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1052.xml"/><Relationship Id="rId5" Type="http://schemas.openxmlformats.org/officeDocument/2006/relationships/ctrlProp" Target="../ctrlProps/ctrlProp1051.xml"/><Relationship Id="rId10" Type="http://schemas.openxmlformats.org/officeDocument/2006/relationships/comments" Target="../comments7.xml"/><Relationship Id="rId4" Type="http://schemas.openxmlformats.org/officeDocument/2006/relationships/ctrlProp" Target="../ctrlProps/ctrlProp1050.xml"/><Relationship Id="rId9" Type="http://schemas.openxmlformats.org/officeDocument/2006/relationships/ctrlProp" Target="../ctrlProps/ctrlProp105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1.xml"/><Relationship Id="rId3" Type="http://schemas.openxmlformats.org/officeDocument/2006/relationships/ctrlProp" Target="../ctrlProps/ctrlProp1056.xml"/><Relationship Id="rId7" Type="http://schemas.openxmlformats.org/officeDocument/2006/relationships/ctrlProp" Target="../ctrlProps/ctrlProp1060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059.xml"/><Relationship Id="rId5" Type="http://schemas.openxmlformats.org/officeDocument/2006/relationships/ctrlProp" Target="../ctrlProps/ctrlProp1058.xml"/><Relationship Id="rId10" Type="http://schemas.openxmlformats.org/officeDocument/2006/relationships/comments" Target="../comments8.xml"/><Relationship Id="rId4" Type="http://schemas.openxmlformats.org/officeDocument/2006/relationships/ctrlProp" Target="../ctrlProps/ctrlProp1057.xml"/><Relationship Id="rId9" Type="http://schemas.openxmlformats.org/officeDocument/2006/relationships/ctrlProp" Target="../ctrlProps/ctrlProp106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8.xml"/><Relationship Id="rId3" Type="http://schemas.openxmlformats.org/officeDocument/2006/relationships/ctrlProp" Target="../ctrlProps/ctrlProp1063.xml"/><Relationship Id="rId7" Type="http://schemas.openxmlformats.org/officeDocument/2006/relationships/ctrlProp" Target="../ctrlProps/ctrlProp106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066.xml"/><Relationship Id="rId5" Type="http://schemas.openxmlformats.org/officeDocument/2006/relationships/ctrlProp" Target="../ctrlProps/ctrlProp1065.xml"/><Relationship Id="rId10" Type="http://schemas.openxmlformats.org/officeDocument/2006/relationships/comments" Target="../comments9.xml"/><Relationship Id="rId4" Type="http://schemas.openxmlformats.org/officeDocument/2006/relationships/ctrlProp" Target="../ctrlProps/ctrlProp1064.xml"/><Relationship Id="rId9" Type="http://schemas.openxmlformats.org/officeDocument/2006/relationships/ctrlProp" Target="../ctrlProps/ctrlProp106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5.xml"/><Relationship Id="rId3" Type="http://schemas.openxmlformats.org/officeDocument/2006/relationships/ctrlProp" Target="../ctrlProps/ctrlProp1070.xml"/><Relationship Id="rId7" Type="http://schemas.openxmlformats.org/officeDocument/2006/relationships/ctrlProp" Target="../ctrlProps/ctrlProp107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073.xml"/><Relationship Id="rId5" Type="http://schemas.openxmlformats.org/officeDocument/2006/relationships/ctrlProp" Target="../ctrlProps/ctrlProp1072.xml"/><Relationship Id="rId10" Type="http://schemas.openxmlformats.org/officeDocument/2006/relationships/comments" Target="../comments10.xml"/><Relationship Id="rId4" Type="http://schemas.openxmlformats.org/officeDocument/2006/relationships/ctrlProp" Target="../ctrlProps/ctrlProp1071.xml"/><Relationship Id="rId9" Type="http://schemas.openxmlformats.org/officeDocument/2006/relationships/ctrlProp" Target="../ctrlProps/ctrlProp107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2.xml"/><Relationship Id="rId3" Type="http://schemas.openxmlformats.org/officeDocument/2006/relationships/ctrlProp" Target="../ctrlProps/ctrlProp1077.xml"/><Relationship Id="rId7" Type="http://schemas.openxmlformats.org/officeDocument/2006/relationships/ctrlProp" Target="../ctrlProps/ctrlProp108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1080.xml"/><Relationship Id="rId5" Type="http://schemas.openxmlformats.org/officeDocument/2006/relationships/ctrlProp" Target="../ctrlProps/ctrlProp1079.xml"/><Relationship Id="rId10" Type="http://schemas.openxmlformats.org/officeDocument/2006/relationships/comments" Target="../comments11.xml"/><Relationship Id="rId4" Type="http://schemas.openxmlformats.org/officeDocument/2006/relationships/ctrlProp" Target="../ctrlProps/ctrlProp1078.xml"/><Relationship Id="rId9" Type="http://schemas.openxmlformats.org/officeDocument/2006/relationships/ctrlProp" Target="../ctrlProps/ctrlProp108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9.xml"/><Relationship Id="rId3" Type="http://schemas.openxmlformats.org/officeDocument/2006/relationships/ctrlProp" Target="../ctrlProps/ctrlProp1084.xml"/><Relationship Id="rId7" Type="http://schemas.openxmlformats.org/officeDocument/2006/relationships/ctrlProp" Target="../ctrlProps/ctrlProp1088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087.xml"/><Relationship Id="rId5" Type="http://schemas.openxmlformats.org/officeDocument/2006/relationships/ctrlProp" Target="../ctrlProps/ctrlProp1086.xml"/><Relationship Id="rId10" Type="http://schemas.openxmlformats.org/officeDocument/2006/relationships/comments" Target="../comments12.xml"/><Relationship Id="rId4" Type="http://schemas.openxmlformats.org/officeDocument/2006/relationships/ctrlProp" Target="../ctrlProps/ctrlProp1085.xml"/><Relationship Id="rId9" Type="http://schemas.openxmlformats.org/officeDocument/2006/relationships/ctrlProp" Target="../ctrlProps/ctrlProp109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0E4D7-A3AA-4390-91D2-136D23E12B69}">
  <sheetPr codeName="Planilha36"/>
  <dimension ref="A1:K2"/>
  <sheetViews>
    <sheetView workbookViewId="0">
      <selection activeCell="H2" sqref="H2"/>
    </sheetView>
  </sheetViews>
  <sheetFormatPr defaultRowHeight="13.2" x14ac:dyDescent="0.25"/>
  <cols>
    <col min="1" max="1" width="21.109375" style="313" bestFit="1" customWidth="1"/>
    <col min="2" max="2" width="16.88671875" style="313" bestFit="1" customWidth="1"/>
    <col min="3" max="4" width="16.33203125" style="313" bestFit="1" customWidth="1"/>
    <col min="5" max="5" width="17.44140625" style="313" bestFit="1" customWidth="1"/>
    <col min="6" max="6" width="24.109375" style="313" bestFit="1" customWidth="1"/>
    <col min="7" max="7" width="21.109375" style="313" bestFit="1" customWidth="1"/>
    <col min="8" max="9" width="14.88671875" style="313" customWidth="1"/>
    <col min="10" max="256" width="9.109375" style="313"/>
    <col min="257" max="257" width="21.109375" style="313" bestFit="1" customWidth="1"/>
    <col min="258" max="258" width="16.88671875" style="313" bestFit="1" customWidth="1"/>
    <col min="259" max="260" width="16.33203125" style="313" bestFit="1" customWidth="1"/>
    <col min="261" max="261" width="17.44140625" style="313" bestFit="1" customWidth="1"/>
    <col min="262" max="262" width="24.109375" style="313" bestFit="1" customWidth="1"/>
    <col min="263" max="263" width="21.109375" style="313" bestFit="1" customWidth="1"/>
    <col min="264" max="265" width="14.88671875" style="313" customWidth="1"/>
    <col min="266" max="512" width="9.109375" style="313"/>
    <col min="513" max="513" width="21.109375" style="313" bestFit="1" customWidth="1"/>
    <col min="514" max="514" width="16.88671875" style="313" bestFit="1" customWidth="1"/>
    <col min="515" max="516" width="16.33203125" style="313" bestFit="1" customWidth="1"/>
    <col min="517" max="517" width="17.44140625" style="313" bestFit="1" customWidth="1"/>
    <col min="518" max="518" width="24.109375" style="313" bestFit="1" customWidth="1"/>
    <col min="519" max="519" width="21.109375" style="313" bestFit="1" customWidth="1"/>
    <col min="520" max="521" width="14.88671875" style="313" customWidth="1"/>
    <col min="522" max="768" width="9.109375" style="313"/>
    <col min="769" max="769" width="21.109375" style="313" bestFit="1" customWidth="1"/>
    <col min="770" max="770" width="16.88671875" style="313" bestFit="1" customWidth="1"/>
    <col min="771" max="772" width="16.33203125" style="313" bestFit="1" customWidth="1"/>
    <col min="773" max="773" width="17.44140625" style="313" bestFit="1" customWidth="1"/>
    <col min="774" max="774" width="24.109375" style="313" bestFit="1" customWidth="1"/>
    <col min="775" max="775" width="21.109375" style="313" bestFit="1" customWidth="1"/>
    <col min="776" max="777" width="14.88671875" style="313" customWidth="1"/>
    <col min="778" max="1024" width="9.109375" style="313"/>
    <col min="1025" max="1025" width="21.109375" style="313" bestFit="1" customWidth="1"/>
    <col min="1026" max="1026" width="16.88671875" style="313" bestFit="1" customWidth="1"/>
    <col min="1027" max="1028" width="16.33203125" style="313" bestFit="1" customWidth="1"/>
    <col min="1029" max="1029" width="17.44140625" style="313" bestFit="1" customWidth="1"/>
    <col min="1030" max="1030" width="24.109375" style="313" bestFit="1" customWidth="1"/>
    <col min="1031" max="1031" width="21.109375" style="313" bestFit="1" customWidth="1"/>
    <col min="1032" max="1033" width="14.88671875" style="313" customWidth="1"/>
    <col min="1034" max="1280" width="9.109375" style="313"/>
    <col min="1281" max="1281" width="21.109375" style="313" bestFit="1" customWidth="1"/>
    <col min="1282" max="1282" width="16.88671875" style="313" bestFit="1" customWidth="1"/>
    <col min="1283" max="1284" width="16.33203125" style="313" bestFit="1" customWidth="1"/>
    <col min="1285" max="1285" width="17.44140625" style="313" bestFit="1" customWidth="1"/>
    <col min="1286" max="1286" width="24.109375" style="313" bestFit="1" customWidth="1"/>
    <col min="1287" max="1287" width="21.109375" style="313" bestFit="1" customWidth="1"/>
    <col min="1288" max="1289" width="14.88671875" style="313" customWidth="1"/>
    <col min="1290" max="1536" width="9.109375" style="313"/>
    <col min="1537" max="1537" width="21.109375" style="313" bestFit="1" customWidth="1"/>
    <col min="1538" max="1538" width="16.88671875" style="313" bestFit="1" customWidth="1"/>
    <col min="1539" max="1540" width="16.33203125" style="313" bestFit="1" customWidth="1"/>
    <col min="1541" max="1541" width="17.44140625" style="313" bestFit="1" customWidth="1"/>
    <col min="1542" max="1542" width="24.109375" style="313" bestFit="1" customWidth="1"/>
    <col min="1543" max="1543" width="21.109375" style="313" bestFit="1" customWidth="1"/>
    <col min="1544" max="1545" width="14.88671875" style="313" customWidth="1"/>
    <col min="1546" max="1792" width="9.109375" style="313"/>
    <col min="1793" max="1793" width="21.109375" style="313" bestFit="1" customWidth="1"/>
    <col min="1794" max="1794" width="16.88671875" style="313" bestFit="1" customWidth="1"/>
    <col min="1795" max="1796" width="16.33203125" style="313" bestFit="1" customWidth="1"/>
    <col min="1797" max="1797" width="17.44140625" style="313" bestFit="1" customWidth="1"/>
    <col min="1798" max="1798" width="24.109375" style="313" bestFit="1" customWidth="1"/>
    <col min="1799" max="1799" width="21.109375" style="313" bestFit="1" customWidth="1"/>
    <col min="1800" max="1801" width="14.88671875" style="313" customWidth="1"/>
    <col min="1802" max="2048" width="9.109375" style="313"/>
    <col min="2049" max="2049" width="21.109375" style="313" bestFit="1" customWidth="1"/>
    <col min="2050" max="2050" width="16.88671875" style="313" bestFit="1" customWidth="1"/>
    <col min="2051" max="2052" width="16.33203125" style="313" bestFit="1" customWidth="1"/>
    <col min="2053" max="2053" width="17.44140625" style="313" bestFit="1" customWidth="1"/>
    <col min="2054" max="2054" width="24.109375" style="313" bestFit="1" customWidth="1"/>
    <col min="2055" max="2055" width="21.109375" style="313" bestFit="1" customWidth="1"/>
    <col min="2056" max="2057" width="14.88671875" style="313" customWidth="1"/>
    <col min="2058" max="2304" width="9.109375" style="313"/>
    <col min="2305" max="2305" width="21.109375" style="313" bestFit="1" customWidth="1"/>
    <col min="2306" max="2306" width="16.88671875" style="313" bestFit="1" customWidth="1"/>
    <col min="2307" max="2308" width="16.33203125" style="313" bestFit="1" customWidth="1"/>
    <col min="2309" max="2309" width="17.44140625" style="313" bestFit="1" customWidth="1"/>
    <col min="2310" max="2310" width="24.109375" style="313" bestFit="1" customWidth="1"/>
    <col min="2311" max="2311" width="21.109375" style="313" bestFit="1" customWidth="1"/>
    <col min="2312" max="2313" width="14.88671875" style="313" customWidth="1"/>
    <col min="2314" max="2560" width="9.109375" style="313"/>
    <col min="2561" max="2561" width="21.109375" style="313" bestFit="1" customWidth="1"/>
    <col min="2562" max="2562" width="16.88671875" style="313" bestFit="1" customWidth="1"/>
    <col min="2563" max="2564" width="16.33203125" style="313" bestFit="1" customWidth="1"/>
    <col min="2565" max="2565" width="17.44140625" style="313" bestFit="1" customWidth="1"/>
    <col min="2566" max="2566" width="24.109375" style="313" bestFit="1" customWidth="1"/>
    <col min="2567" max="2567" width="21.109375" style="313" bestFit="1" customWidth="1"/>
    <col min="2568" max="2569" width="14.88671875" style="313" customWidth="1"/>
    <col min="2570" max="2816" width="9.109375" style="313"/>
    <col min="2817" max="2817" width="21.109375" style="313" bestFit="1" customWidth="1"/>
    <col min="2818" max="2818" width="16.88671875" style="313" bestFit="1" customWidth="1"/>
    <col min="2819" max="2820" width="16.33203125" style="313" bestFit="1" customWidth="1"/>
    <col min="2821" max="2821" width="17.44140625" style="313" bestFit="1" customWidth="1"/>
    <col min="2822" max="2822" width="24.109375" style="313" bestFit="1" customWidth="1"/>
    <col min="2823" max="2823" width="21.109375" style="313" bestFit="1" customWidth="1"/>
    <col min="2824" max="2825" width="14.88671875" style="313" customWidth="1"/>
    <col min="2826" max="3072" width="9.109375" style="313"/>
    <col min="3073" max="3073" width="21.109375" style="313" bestFit="1" customWidth="1"/>
    <col min="3074" max="3074" width="16.88671875" style="313" bestFit="1" customWidth="1"/>
    <col min="3075" max="3076" width="16.33203125" style="313" bestFit="1" customWidth="1"/>
    <col min="3077" max="3077" width="17.44140625" style="313" bestFit="1" customWidth="1"/>
    <col min="3078" max="3078" width="24.109375" style="313" bestFit="1" customWidth="1"/>
    <col min="3079" max="3079" width="21.109375" style="313" bestFit="1" customWidth="1"/>
    <col min="3080" max="3081" width="14.88671875" style="313" customWidth="1"/>
    <col min="3082" max="3328" width="9.109375" style="313"/>
    <col min="3329" max="3329" width="21.109375" style="313" bestFit="1" customWidth="1"/>
    <col min="3330" max="3330" width="16.88671875" style="313" bestFit="1" customWidth="1"/>
    <col min="3331" max="3332" width="16.33203125" style="313" bestFit="1" customWidth="1"/>
    <col min="3333" max="3333" width="17.44140625" style="313" bestFit="1" customWidth="1"/>
    <col min="3334" max="3334" width="24.109375" style="313" bestFit="1" customWidth="1"/>
    <col min="3335" max="3335" width="21.109375" style="313" bestFit="1" customWidth="1"/>
    <col min="3336" max="3337" width="14.88671875" style="313" customWidth="1"/>
    <col min="3338" max="3584" width="9.109375" style="313"/>
    <col min="3585" max="3585" width="21.109375" style="313" bestFit="1" customWidth="1"/>
    <col min="3586" max="3586" width="16.88671875" style="313" bestFit="1" customWidth="1"/>
    <col min="3587" max="3588" width="16.33203125" style="313" bestFit="1" customWidth="1"/>
    <col min="3589" max="3589" width="17.44140625" style="313" bestFit="1" customWidth="1"/>
    <col min="3590" max="3590" width="24.109375" style="313" bestFit="1" customWidth="1"/>
    <col min="3591" max="3591" width="21.109375" style="313" bestFit="1" customWidth="1"/>
    <col min="3592" max="3593" width="14.88671875" style="313" customWidth="1"/>
    <col min="3594" max="3840" width="9.109375" style="313"/>
    <col min="3841" max="3841" width="21.109375" style="313" bestFit="1" customWidth="1"/>
    <col min="3842" max="3842" width="16.88671875" style="313" bestFit="1" customWidth="1"/>
    <col min="3843" max="3844" width="16.33203125" style="313" bestFit="1" customWidth="1"/>
    <col min="3845" max="3845" width="17.44140625" style="313" bestFit="1" customWidth="1"/>
    <col min="3846" max="3846" width="24.109375" style="313" bestFit="1" customWidth="1"/>
    <col min="3847" max="3847" width="21.109375" style="313" bestFit="1" customWidth="1"/>
    <col min="3848" max="3849" width="14.88671875" style="313" customWidth="1"/>
    <col min="3850" max="4096" width="9.109375" style="313"/>
    <col min="4097" max="4097" width="21.109375" style="313" bestFit="1" customWidth="1"/>
    <col min="4098" max="4098" width="16.88671875" style="313" bestFit="1" customWidth="1"/>
    <col min="4099" max="4100" width="16.33203125" style="313" bestFit="1" customWidth="1"/>
    <col min="4101" max="4101" width="17.44140625" style="313" bestFit="1" customWidth="1"/>
    <col min="4102" max="4102" width="24.109375" style="313" bestFit="1" customWidth="1"/>
    <col min="4103" max="4103" width="21.109375" style="313" bestFit="1" customWidth="1"/>
    <col min="4104" max="4105" width="14.88671875" style="313" customWidth="1"/>
    <col min="4106" max="4352" width="9.109375" style="313"/>
    <col min="4353" max="4353" width="21.109375" style="313" bestFit="1" customWidth="1"/>
    <col min="4354" max="4354" width="16.88671875" style="313" bestFit="1" customWidth="1"/>
    <col min="4355" max="4356" width="16.33203125" style="313" bestFit="1" customWidth="1"/>
    <col min="4357" max="4357" width="17.44140625" style="313" bestFit="1" customWidth="1"/>
    <col min="4358" max="4358" width="24.109375" style="313" bestFit="1" customWidth="1"/>
    <col min="4359" max="4359" width="21.109375" style="313" bestFit="1" customWidth="1"/>
    <col min="4360" max="4361" width="14.88671875" style="313" customWidth="1"/>
    <col min="4362" max="4608" width="9.109375" style="313"/>
    <col min="4609" max="4609" width="21.109375" style="313" bestFit="1" customWidth="1"/>
    <col min="4610" max="4610" width="16.88671875" style="313" bestFit="1" customWidth="1"/>
    <col min="4611" max="4612" width="16.33203125" style="313" bestFit="1" customWidth="1"/>
    <col min="4613" max="4613" width="17.44140625" style="313" bestFit="1" customWidth="1"/>
    <col min="4614" max="4614" width="24.109375" style="313" bestFit="1" customWidth="1"/>
    <col min="4615" max="4615" width="21.109375" style="313" bestFit="1" customWidth="1"/>
    <col min="4616" max="4617" width="14.88671875" style="313" customWidth="1"/>
    <col min="4618" max="4864" width="9.109375" style="313"/>
    <col min="4865" max="4865" width="21.109375" style="313" bestFit="1" customWidth="1"/>
    <col min="4866" max="4866" width="16.88671875" style="313" bestFit="1" customWidth="1"/>
    <col min="4867" max="4868" width="16.33203125" style="313" bestFit="1" customWidth="1"/>
    <col min="4869" max="4869" width="17.44140625" style="313" bestFit="1" customWidth="1"/>
    <col min="4870" max="4870" width="24.109375" style="313" bestFit="1" customWidth="1"/>
    <col min="4871" max="4871" width="21.109375" style="313" bestFit="1" customWidth="1"/>
    <col min="4872" max="4873" width="14.88671875" style="313" customWidth="1"/>
    <col min="4874" max="5120" width="9.109375" style="313"/>
    <col min="5121" max="5121" width="21.109375" style="313" bestFit="1" customWidth="1"/>
    <col min="5122" max="5122" width="16.88671875" style="313" bestFit="1" customWidth="1"/>
    <col min="5123" max="5124" width="16.33203125" style="313" bestFit="1" customWidth="1"/>
    <col min="5125" max="5125" width="17.44140625" style="313" bestFit="1" customWidth="1"/>
    <col min="5126" max="5126" width="24.109375" style="313" bestFit="1" customWidth="1"/>
    <col min="5127" max="5127" width="21.109375" style="313" bestFit="1" customWidth="1"/>
    <col min="5128" max="5129" width="14.88671875" style="313" customWidth="1"/>
    <col min="5130" max="5376" width="9.109375" style="313"/>
    <col min="5377" max="5377" width="21.109375" style="313" bestFit="1" customWidth="1"/>
    <col min="5378" max="5378" width="16.88671875" style="313" bestFit="1" customWidth="1"/>
    <col min="5379" max="5380" width="16.33203125" style="313" bestFit="1" customWidth="1"/>
    <col min="5381" max="5381" width="17.44140625" style="313" bestFit="1" customWidth="1"/>
    <col min="5382" max="5382" width="24.109375" style="313" bestFit="1" customWidth="1"/>
    <col min="5383" max="5383" width="21.109375" style="313" bestFit="1" customWidth="1"/>
    <col min="5384" max="5385" width="14.88671875" style="313" customWidth="1"/>
    <col min="5386" max="5632" width="9.109375" style="313"/>
    <col min="5633" max="5633" width="21.109375" style="313" bestFit="1" customWidth="1"/>
    <col min="5634" max="5634" width="16.88671875" style="313" bestFit="1" customWidth="1"/>
    <col min="5635" max="5636" width="16.33203125" style="313" bestFit="1" customWidth="1"/>
    <col min="5637" max="5637" width="17.44140625" style="313" bestFit="1" customWidth="1"/>
    <col min="5638" max="5638" width="24.109375" style="313" bestFit="1" customWidth="1"/>
    <col min="5639" max="5639" width="21.109375" style="313" bestFit="1" customWidth="1"/>
    <col min="5640" max="5641" width="14.88671875" style="313" customWidth="1"/>
    <col min="5642" max="5888" width="9.109375" style="313"/>
    <col min="5889" max="5889" width="21.109375" style="313" bestFit="1" customWidth="1"/>
    <col min="5890" max="5890" width="16.88671875" style="313" bestFit="1" customWidth="1"/>
    <col min="5891" max="5892" width="16.33203125" style="313" bestFit="1" customWidth="1"/>
    <col min="5893" max="5893" width="17.44140625" style="313" bestFit="1" customWidth="1"/>
    <col min="5894" max="5894" width="24.109375" style="313" bestFit="1" customWidth="1"/>
    <col min="5895" max="5895" width="21.109375" style="313" bestFit="1" customWidth="1"/>
    <col min="5896" max="5897" width="14.88671875" style="313" customWidth="1"/>
    <col min="5898" max="6144" width="9.109375" style="313"/>
    <col min="6145" max="6145" width="21.109375" style="313" bestFit="1" customWidth="1"/>
    <col min="6146" max="6146" width="16.88671875" style="313" bestFit="1" customWidth="1"/>
    <col min="6147" max="6148" width="16.33203125" style="313" bestFit="1" customWidth="1"/>
    <col min="6149" max="6149" width="17.44140625" style="313" bestFit="1" customWidth="1"/>
    <col min="6150" max="6150" width="24.109375" style="313" bestFit="1" customWidth="1"/>
    <col min="6151" max="6151" width="21.109375" style="313" bestFit="1" customWidth="1"/>
    <col min="6152" max="6153" width="14.88671875" style="313" customWidth="1"/>
    <col min="6154" max="6400" width="9.109375" style="313"/>
    <col min="6401" max="6401" width="21.109375" style="313" bestFit="1" customWidth="1"/>
    <col min="6402" max="6402" width="16.88671875" style="313" bestFit="1" customWidth="1"/>
    <col min="6403" max="6404" width="16.33203125" style="313" bestFit="1" customWidth="1"/>
    <col min="6405" max="6405" width="17.44140625" style="313" bestFit="1" customWidth="1"/>
    <col min="6406" max="6406" width="24.109375" style="313" bestFit="1" customWidth="1"/>
    <col min="6407" max="6407" width="21.109375" style="313" bestFit="1" customWidth="1"/>
    <col min="6408" max="6409" width="14.88671875" style="313" customWidth="1"/>
    <col min="6410" max="6656" width="9.109375" style="313"/>
    <col min="6657" max="6657" width="21.109375" style="313" bestFit="1" customWidth="1"/>
    <col min="6658" max="6658" width="16.88671875" style="313" bestFit="1" customWidth="1"/>
    <col min="6659" max="6660" width="16.33203125" style="313" bestFit="1" customWidth="1"/>
    <col min="6661" max="6661" width="17.44140625" style="313" bestFit="1" customWidth="1"/>
    <col min="6662" max="6662" width="24.109375" style="313" bestFit="1" customWidth="1"/>
    <col min="6663" max="6663" width="21.109375" style="313" bestFit="1" customWidth="1"/>
    <col min="6664" max="6665" width="14.88671875" style="313" customWidth="1"/>
    <col min="6666" max="6912" width="9.109375" style="313"/>
    <col min="6913" max="6913" width="21.109375" style="313" bestFit="1" customWidth="1"/>
    <col min="6914" max="6914" width="16.88671875" style="313" bestFit="1" customWidth="1"/>
    <col min="6915" max="6916" width="16.33203125" style="313" bestFit="1" customWidth="1"/>
    <col min="6917" max="6917" width="17.44140625" style="313" bestFit="1" customWidth="1"/>
    <col min="6918" max="6918" width="24.109375" style="313" bestFit="1" customWidth="1"/>
    <col min="6919" max="6919" width="21.109375" style="313" bestFit="1" customWidth="1"/>
    <col min="6920" max="6921" width="14.88671875" style="313" customWidth="1"/>
    <col min="6922" max="7168" width="9.109375" style="313"/>
    <col min="7169" max="7169" width="21.109375" style="313" bestFit="1" customWidth="1"/>
    <col min="7170" max="7170" width="16.88671875" style="313" bestFit="1" customWidth="1"/>
    <col min="7171" max="7172" width="16.33203125" style="313" bestFit="1" customWidth="1"/>
    <col min="7173" max="7173" width="17.44140625" style="313" bestFit="1" customWidth="1"/>
    <col min="7174" max="7174" width="24.109375" style="313" bestFit="1" customWidth="1"/>
    <col min="7175" max="7175" width="21.109375" style="313" bestFit="1" customWidth="1"/>
    <col min="7176" max="7177" width="14.88671875" style="313" customWidth="1"/>
    <col min="7178" max="7424" width="9.109375" style="313"/>
    <col min="7425" max="7425" width="21.109375" style="313" bestFit="1" customWidth="1"/>
    <col min="7426" max="7426" width="16.88671875" style="313" bestFit="1" customWidth="1"/>
    <col min="7427" max="7428" width="16.33203125" style="313" bestFit="1" customWidth="1"/>
    <col min="7429" max="7429" width="17.44140625" style="313" bestFit="1" customWidth="1"/>
    <col min="7430" max="7430" width="24.109375" style="313" bestFit="1" customWidth="1"/>
    <col min="7431" max="7431" width="21.109375" style="313" bestFit="1" customWidth="1"/>
    <col min="7432" max="7433" width="14.88671875" style="313" customWidth="1"/>
    <col min="7434" max="7680" width="9.109375" style="313"/>
    <col min="7681" max="7681" width="21.109375" style="313" bestFit="1" customWidth="1"/>
    <col min="7682" max="7682" width="16.88671875" style="313" bestFit="1" customWidth="1"/>
    <col min="7683" max="7684" width="16.33203125" style="313" bestFit="1" customWidth="1"/>
    <col min="7685" max="7685" width="17.44140625" style="313" bestFit="1" customWidth="1"/>
    <col min="7686" max="7686" width="24.109375" style="313" bestFit="1" customWidth="1"/>
    <col min="7687" max="7687" width="21.109375" style="313" bestFit="1" customWidth="1"/>
    <col min="7688" max="7689" width="14.88671875" style="313" customWidth="1"/>
    <col min="7690" max="7936" width="9.109375" style="313"/>
    <col min="7937" max="7937" width="21.109375" style="313" bestFit="1" customWidth="1"/>
    <col min="7938" max="7938" width="16.88671875" style="313" bestFit="1" customWidth="1"/>
    <col min="7939" max="7940" width="16.33203125" style="313" bestFit="1" customWidth="1"/>
    <col min="7941" max="7941" width="17.44140625" style="313" bestFit="1" customWidth="1"/>
    <col min="7942" max="7942" width="24.109375" style="313" bestFit="1" customWidth="1"/>
    <col min="7943" max="7943" width="21.109375" style="313" bestFit="1" customWidth="1"/>
    <col min="7944" max="7945" width="14.88671875" style="313" customWidth="1"/>
    <col min="7946" max="8192" width="9.109375" style="313"/>
    <col min="8193" max="8193" width="21.109375" style="313" bestFit="1" customWidth="1"/>
    <col min="8194" max="8194" width="16.88671875" style="313" bestFit="1" customWidth="1"/>
    <col min="8195" max="8196" width="16.33203125" style="313" bestFit="1" customWidth="1"/>
    <col min="8197" max="8197" width="17.44140625" style="313" bestFit="1" customWidth="1"/>
    <col min="8198" max="8198" width="24.109375" style="313" bestFit="1" customWidth="1"/>
    <col min="8199" max="8199" width="21.109375" style="313" bestFit="1" customWidth="1"/>
    <col min="8200" max="8201" width="14.88671875" style="313" customWidth="1"/>
    <col min="8202" max="8448" width="9.109375" style="313"/>
    <col min="8449" max="8449" width="21.109375" style="313" bestFit="1" customWidth="1"/>
    <col min="8450" max="8450" width="16.88671875" style="313" bestFit="1" customWidth="1"/>
    <col min="8451" max="8452" width="16.33203125" style="313" bestFit="1" customWidth="1"/>
    <col min="8453" max="8453" width="17.44140625" style="313" bestFit="1" customWidth="1"/>
    <col min="8454" max="8454" width="24.109375" style="313" bestFit="1" customWidth="1"/>
    <col min="8455" max="8455" width="21.109375" style="313" bestFit="1" customWidth="1"/>
    <col min="8456" max="8457" width="14.88671875" style="313" customWidth="1"/>
    <col min="8458" max="8704" width="9.109375" style="313"/>
    <col min="8705" max="8705" width="21.109375" style="313" bestFit="1" customWidth="1"/>
    <col min="8706" max="8706" width="16.88671875" style="313" bestFit="1" customWidth="1"/>
    <col min="8707" max="8708" width="16.33203125" style="313" bestFit="1" customWidth="1"/>
    <col min="8709" max="8709" width="17.44140625" style="313" bestFit="1" customWidth="1"/>
    <col min="8710" max="8710" width="24.109375" style="313" bestFit="1" customWidth="1"/>
    <col min="8711" max="8711" width="21.109375" style="313" bestFit="1" customWidth="1"/>
    <col min="8712" max="8713" width="14.88671875" style="313" customWidth="1"/>
    <col min="8714" max="8960" width="9.109375" style="313"/>
    <col min="8961" max="8961" width="21.109375" style="313" bestFit="1" customWidth="1"/>
    <col min="8962" max="8962" width="16.88671875" style="313" bestFit="1" customWidth="1"/>
    <col min="8963" max="8964" width="16.33203125" style="313" bestFit="1" customWidth="1"/>
    <col min="8965" max="8965" width="17.44140625" style="313" bestFit="1" customWidth="1"/>
    <col min="8966" max="8966" width="24.109375" style="313" bestFit="1" customWidth="1"/>
    <col min="8967" max="8967" width="21.109375" style="313" bestFit="1" customWidth="1"/>
    <col min="8968" max="8969" width="14.88671875" style="313" customWidth="1"/>
    <col min="8970" max="9216" width="9.109375" style="313"/>
    <col min="9217" max="9217" width="21.109375" style="313" bestFit="1" customWidth="1"/>
    <col min="9218" max="9218" width="16.88671875" style="313" bestFit="1" customWidth="1"/>
    <col min="9219" max="9220" width="16.33203125" style="313" bestFit="1" customWidth="1"/>
    <col min="9221" max="9221" width="17.44140625" style="313" bestFit="1" customWidth="1"/>
    <col min="9222" max="9222" width="24.109375" style="313" bestFit="1" customWidth="1"/>
    <col min="9223" max="9223" width="21.109375" style="313" bestFit="1" customWidth="1"/>
    <col min="9224" max="9225" width="14.88671875" style="313" customWidth="1"/>
    <col min="9226" max="9472" width="9.109375" style="313"/>
    <col min="9473" max="9473" width="21.109375" style="313" bestFit="1" customWidth="1"/>
    <col min="9474" max="9474" width="16.88671875" style="313" bestFit="1" customWidth="1"/>
    <col min="9475" max="9476" width="16.33203125" style="313" bestFit="1" customWidth="1"/>
    <col min="9477" max="9477" width="17.44140625" style="313" bestFit="1" customWidth="1"/>
    <col min="9478" max="9478" width="24.109375" style="313" bestFit="1" customWidth="1"/>
    <col min="9479" max="9479" width="21.109375" style="313" bestFit="1" customWidth="1"/>
    <col min="9480" max="9481" width="14.88671875" style="313" customWidth="1"/>
    <col min="9482" max="9728" width="9.109375" style="313"/>
    <col min="9729" max="9729" width="21.109375" style="313" bestFit="1" customWidth="1"/>
    <col min="9730" max="9730" width="16.88671875" style="313" bestFit="1" customWidth="1"/>
    <col min="9731" max="9732" width="16.33203125" style="313" bestFit="1" customWidth="1"/>
    <col min="9733" max="9733" width="17.44140625" style="313" bestFit="1" customWidth="1"/>
    <col min="9734" max="9734" width="24.109375" style="313" bestFit="1" customWidth="1"/>
    <col min="9735" max="9735" width="21.109375" style="313" bestFit="1" customWidth="1"/>
    <col min="9736" max="9737" width="14.88671875" style="313" customWidth="1"/>
    <col min="9738" max="9984" width="9.109375" style="313"/>
    <col min="9985" max="9985" width="21.109375" style="313" bestFit="1" customWidth="1"/>
    <col min="9986" max="9986" width="16.88671875" style="313" bestFit="1" customWidth="1"/>
    <col min="9987" max="9988" width="16.33203125" style="313" bestFit="1" customWidth="1"/>
    <col min="9989" max="9989" width="17.44140625" style="313" bestFit="1" customWidth="1"/>
    <col min="9990" max="9990" width="24.109375" style="313" bestFit="1" customWidth="1"/>
    <col min="9991" max="9991" width="21.109375" style="313" bestFit="1" customWidth="1"/>
    <col min="9992" max="9993" width="14.88671875" style="313" customWidth="1"/>
    <col min="9994" max="10240" width="9.109375" style="313"/>
    <col min="10241" max="10241" width="21.109375" style="313" bestFit="1" customWidth="1"/>
    <col min="10242" max="10242" width="16.88671875" style="313" bestFit="1" customWidth="1"/>
    <col min="10243" max="10244" width="16.33203125" style="313" bestFit="1" customWidth="1"/>
    <col min="10245" max="10245" width="17.44140625" style="313" bestFit="1" customWidth="1"/>
    <col min="10246" max="10246" width="24.109375" style="313" bestFit="1" customWidth="1"/>
    <col min="10247" max="10247" width="21.109375" style="313" bestFit="1" customWidth="1"/>
    <col min="10248" max="10249" width="14.88671875" style="313" customWidth="1"/>
    <col min="10250" max="10496" width="9.109375" style="313"/>
    <col min="10497" max="10497" width="21.109375" style="313" bestFit="1" customWidth="1"/>
    <col min="10498" max="10498" width="16.88671875" style="313" bestFit="1" customWidth="1"/>
    <col min="10499" max="10500" width="16.33203125" style="313" bestFit="1" customWidth="1"/>
    <col min="10501" max="10501" width="17.44140625" style="313" bestFit="1" customWidth="1"/>
    <col min="10502" max="10502" width="24.109375" style="313" bestFit="1" customWidth="1"/>
    <col min="10503" max="10503" width="21.109375" style="313" bestFit="1" customWidth="1"/>
    <col min="10504" max="10505" width="14.88671875" style="313" customWidth="1"/>
    <col min="10506" max="10752" width="9.109375" style="313"/>
    <col min="10753" max="10753" width="21.109375" style="313" bestFit="1" customWidth="1"/>
    <col min="10754" max="10754" width="16.88671875" style="313" bestFit="1" customWidth="1"/>
    <col min="10755" max="10756" width="16.33203125" style="313" bestFit="1" customWidth="1"/>
    <col min="10757" max="10757" width="17.44140625" style="313" bestFit="1" customWidth="1"/>
    <col min="10758" max="10758" width="24.109375" style="313" bestFit="1" customWidth="1"/>
    <col min="10759" max="10759" width="21.109375" style="313" bestFit="1" customWidth="1"/>
    <col min="10760" max="10761" width="14.88671875" style="313" customWidth="1"/>
    <col min="10762" max="11008" width="9.109375" style="313"/>
    <col min="11009" max="11009" width="21.109375" style="313" bestFit="1" customWidth="1"/>
    <col min="11010" max="11010" width="16.88671875" style="313" bestFit="1" customWidth="1"/>
    <col min="11011" max="11012" width="16.33203125" style="313" bestFit="1" customWidth="1"/>
    <col min="11013" max="11013" width="17.44140625" style="313" bestFit="1" customWidth="1"/>
    <col min="11014" max="11014" width="24.109375" style="313" bestFit="1" customWidth="1"/>
    <col min="11015" max="11015" width="21.109375" style="313" bestFit="1" customWidth="1"/>
    <col min="11016" max="11017" width="14.88671875" style="313" customWidth="1"/>
    <col min="11018" max="11264" width="9.109375" style="313"/>
    <col min="11265" max="11265" width="21.109375" style="313" bestFit="1" customWidth="1"/>
    <col min="11266" max="11266" width="16.88671875" style="313" bestFit="1" customWidth="1"/>
    <col min="11267" max="11268" width="16.33203125" style="313" bestFit="1" customWidth="1"/>
    <col min="11269" max="11269" width="17.44140625" style="313" bestFit="1" customWidth="1"/>
    <col min="11270" max="11270" width="24.109375" style="313" bestFit="1" customWidth="1"/>
    <col min="11271" max="11271" width="21.109375" style="313" bestFit="1" customWidth="1"/>
    <col min="11272" max="11273" width="14.88671875" style="313" customWidth="1"/>
    <col min="11274" max="11520" width="9.109375" style="313"/>
    <col min="11521" max="11521" width="21.109375" style="313" bestFit="1" customWidth="1"/>
    <col min="11522" max="11522" width="16.88671875" style="313" bestFit="1" customWidth="1"/>
    <col min="11523" max="11524" width="16.33203125" style="313" bestFit="1" customWidth="1"/>
    <col min="11525" max="11525" width="17.44140625" style="313" bestFit="1" customWidth="1"/>
    <col min="11526" max="11526" width="24.109375" style="313" bestFit="1" customWidth="1"/>
    <col min="11527" max="11527" width="21.109375" style="313" bestFit="1" customWidth="1"/>
    <col min="11528" max="11529" width="14.88671875" style="313" customWidth="1"/>
    <col min="11530" max="11776" width="9.109375" style="313"/>
    <col min="11777" max="11777" width="21.109375" style="313" bestFit="1" customWidth="1"/>
    <col min="11778" max="11778" width="16.88671875" style="313" bestFit="1" customWidth="1"/>
    <col min="11779" max="11780" width="16.33203125" style="313" bestFit="1" customWidth="1"/>
    <col min="11781" max="11781" width="17.44140625" style="313" bestFit="1" customWidth="1"/>
    <col min="11782" max="11782" width="24.109375" style="313" bestFit="1" customWidth="1"/>
    <col min="11783" max="11783" width="21.109375" style="313" bestFit="1" customWidth="1"/>
    <col min="11784" max="11785" width="14.88671875" style="313" customWidth="1"/>
    <col min="11786" max="12032" width="9.109375" style="313"/>
    <col min="12033" max="12033" width="21.109375" style="313" bestFit="1" customWidth="1"/>
    <col min="12034" max="12034" width="16.88671875" style="313" bestFit="1" customWidth="1"/>
    <col min="12035" max="12036" width="16.33203125" style="313" bestFit="1" customWidth="1"/>
    <col min="12037" max="12037" width="17.44140625" style="313" bestFit="1" customWidth="1"/>
    <col min="12038" max="12038" width="24.109375" style="313" bestFit="1" customWidth="1"/>
    <col min="12039" max="12039" width="21.109375" style="313" bestFit="1" customWidth="1"/>
    <col min="12040" max="12041" width="14.88671875" style="313" customWidth="1"/>
    <col min="12042" max="12288" width="9.109375" style="313"/>
    <col min="12289" max="12289" width="21.109375" style="313" bestFit="1" customWidth="1"/>
    <col min="12290" max="12290" width="16.88671875" style="313" bestFit="1" customWidth="1"/>
    <col min="12291" max="12292" width="16.33203125" style="313" bestFit="1" customWidth="1"/>
    <col min="12293" max="12293" width="17.44140625" style="313" bestFit="1" customWidth="1"/>
    <col min="12294" max="12294" width="24.109375" style="313" bestFit="1" customWidth="1"/>
    <col min="12295" max="12295" width="21.109375" style="313" bestFit="1" customWidth="1"/>
    <col min="12296" max="12297" width="14.88671875" style="313" customWidth="1"/>
    <col min="12298" max="12544" width="9.109375" style="313"/>
    <col min="12545" max="12545" width="21.109375" style="313" bestFit="1" customWidth="1"/>
    <col min="12546" max="12546" width="16.88671875" style="313" bestFit="1" customWidth="1"/>
    <col min="12547" max="12548" width="16.33203125" style="313" bestFit="1" customWidth="1"/>
    <col min="12549" max="12549" width="17.44140625" style="313" bestFit="1" customWidth="1"/>
    <col min="12550" max="12550" width="24.109375" style="313" bestFit="1" customWidth="1"/>
    <col min="12551" max="12551" width="21.109375" style="313" bestFit="1" customWidth="1"/>
    <col min="12552" max="12553" width="14.88671875" style="313" customWidth="1"/>
    <col min="12554" max="12800" width="9.109375" style="313"/>
    <col min="12801" max="12801" width="21.109375" style="313" bestFit="1" customWidth="1"/>
    <col min="12802" max="12802" width="16.88671875" style="313" bestFit="1" customWidth="1"/>
    <col min="12803" max="12804" width="16.33203125" style="313" bestFit="1" customWidth="1"/>
    <col min="12805" max="12805" width="17.44140625" style="313" bestFit="1" customWidth="1"/>
    <col min="12806" max="12806" width="24.109375" style="313" bestFit="1" customWidth="1"/>
    <col min="12807" max="12807" width="21.109375" style="313" bestFit="1" customWidth="1"/>
    <col min="12808" max="12809" width="14.88671875" style="313" customWidth="1"/>
    <col min="12810" max="13056" width="9.109375" style="313"/>
    <col min="13057" max="13057" width="21.109375" style="313" bestFit="1" customWidth="1"/>
    <col min="13058" max="13058" width="16.88671875" style="313" bestFit="1" customWidth="1"/>
    <col min="13059" max="13060" width="16.33203125" style="313" bestFit="1" customWidth="1"/>
    <col min="13061" max="13061" width="17.44140625" style="313" bestFit="1" customWidth="1"/>
    <col min="13062" max="13062" width="24.109375" style="313" bestFit="1" customWidth="1"/>
    <col min="13063" max="13063" width="21.109375" style="313" bestFit="1" customWidth="1"/>
    <col min="13064" max="13065" width="14.88671875" style="313" customWidth="1"/>
    <col min="13066" max="13312" width="9.109375" style="313"/>
    <col min="13313" max="13313" width="21.109375" style="313" bestFit="1" customWidth="1"/>
    <col min="13314" max="13314" width="16.88671875" style="313" bestFit="1" customWidth="1"/>
    <col min="13315" max="13316" width="16.33203125" style="313" bestFit="1" customWidth="1"/>
    <col min="13317" max="13317" width="17.44140625" style="313" bestFit="1" customWidth="1"/>
    <col min="13318" max="13318" width="24.109375" style="313" bestFit="1" customWidth="1"/>
    <col min="13319" max="13319" width="21.109375" style="313" bestFit="1" customWidth="1"/>
    <col min="13320" max="13321" width="14.88671875" style="313" customWidth="1"/>
    <col min="13322" max="13568" width="9.109375" style="313"/>
    <col min="13569" max="13569" width="21.109375" style="313" bestFit="1" customWidth="1"/>
    <col min="13570" max="13570" width="16.88671875" style="313" bestFit="1" customWidth="1"/>
    <col min="13571" max="13572" width="16.33203125" style="313" bestFit="1" customWidth="1"/>
    <col min="13573" max="13573" width="17.44140625" style="313" bestFit="1" customWidth="1"/>
    <col min="13574" max="13574" width="24.109375" style="313" bestFit="1" customWidth="1"/>
    <col min="13575" max="13575" width="21.109375" style="313" bestFit="1" customWidth="1"/>
    <col min="13576" max="13577" width="14.88671875" style="313" customWidth="1"/>
    <col min="13578" max="13824" width="9.109375" style="313"/>
    <col min="13825" max="13825" width="21.109375" style="313" bestFit="1" customWidth="1"/>
    <col min="13826" max="13826" width="16.88671875" style="313" bestFit="1" customWidth="1"/>
    <col min="13827" max="13828" width="16.33203125" style="313" bestFit="1" customWidth="1"/>
    <col min="13829" max="13829" width="17.44140625" style="313" bestFit="1" customWidth="1"/>
    <col min="13830" max="13830" width="24.109375" style="313" bestFit="1" customWidth="1"/>
    <col min="13831" max="13831" width="21.109375" style="313" bestFit="1" customWidth="1"/>
    <col min="13832" max="13833" width="14.88671875" style="313" customWidth="1"/>
    <col min="13834" max="14080" width="9.109375" style="313"/>
    <col min="14081" max="14081" width="21.109375" style="313" bestFit="1" customWidth="1"/>
    <col min="14082" max="14082" width="16.88671875" style="313" bestFit="1" customWidth="1"/>
    <col min="14083" max="14084" width="16.33203125" style="313" bestFit="1" customWidth="1"/>
    <col min="14085" max="14085" width="17.44140625" style="313" bestFit="1" customWidth="1"/>
    <col min="14086" max="14086" width="24.109375" style="313" bestFit="1" customWidth="1"/>
    <col min="14087" max="14087" width="21.109375" style="313" bestFit="1" customWidth="1"/>
    <col min="14088" max="14089" width="14.88671875" style="313" customWidth="1"/>
    <col min="14090" max="14336" width="9.109375" style="313"/>
    <col min="14337" max="14337" width="21.109375" style="313" bestFit="1" customWidth="1"/>
    <col min="14338" max="14338" width="16.88671875" style="313" bestFit="1" customWidth="1"/>
    <col min="14339" max="14340" width="16.33203125" style="313" bestFit="1" customWidth="1"/>
    <col min="14341" max="14341" width="17.44140625" style="313" bestFit="1" customWidth="1"/>
    <col min="14342" max="14342" width="24.109375" style="313" bestFit="1" customWidth="1"/>
    <col min="14343" max="14343" width="21.109375" style="313" bestFit="1" customWidth="1"/>
    <col min="14344" max="14345" width="14.88671875" style="313" customWidth="1"/>
    <col min="14346" max="14592" width="9.109375" style="313"/>
    <col min="14593" max="14593" width="21.109375" style="313" bestFit="1" customWidth="1"/>
    <col min="14594" max="14594" width="16.88671875" style="313" bestFit="1" customWidth="1"/>
    <col min="14595" max="14596" width="16.33203125" style="313" bestFit="1" customWidth="1"/>
    <col min="14597" max="14597" width="17.44140625" style="313" bestFit="1" customWidth="1"/>
    <col min="14598" max="14598" width="24.109375" style="313" bestFit="1" customWidth="1"/>
    <col min="14599" max="14599" width="21.109375" style="313" bestFit="1" customWidth="1"/>
    <col min="14600" max="14601" width="14.88671875" style="313" customWidth="1"/>
    <col min="14602" max="14848" width="9.109375" style="313"/>
    <col min="14849" max="14849" width="21.109375" style="313" bestFit="1" customWidth="1"/>
    <col min="14850" max="14850" width="16.88671875" style="313" bestFit="1" customWidth="1"/>
    <col min="14851" max="14852" width="16.33203125" style="313" bestFit="1" customWidth="1"/>
    <col min="14853" max="14853" width="17.44140625" style="313" bestFit="1" customWidth="1"/>
    <col min="14854" max="14854" width="24.109375" style="313" bestFit="1" customWidth="1"/>
    <col min="14855" max="14855" width="21.109375" style="313" bestFit="1" customWidth="1"/>
    <col min="14856" max="14857" width="14.88671875" style="313" customWidth="1"/>
    <col min="14858" max="15104" width="9.109375" style="313"/>
    <col min="15105" max="15105" width="21.109375" style="313" bestFit="1" customWidth="1"/>
    <col min="15106" max="15106" width="16.88671875" style="313" bestFit="1" customWidth="1"/>
    <col min="15107" max="15108" width="16.33203125" style="313" bestFit="1" customWidth="1"/>
    <col min="15109" max="15109" width="17.44140625" style="313" bestFit="1" customWidth="1"/>
    <col min="15110" max="15110" width="24.109375" style="313" bestFit="1" customWidth="1"/>
    <col min="15111" max="15111" width="21.109375" style="313" bestFit="1" customWidth="1"/>
    <col min="15112" max="15113" width="14.88671875" style="313" customWidth="1"/>
    <col min="15114" max="15360" width="9.109375" style="313"/>
    <col min="15361" max="15361" width="21.109375" style="313" bestFit="1" customWidth="1"/>
    <col min="15362" max="15362" width="16.88671875" style="313" bestFit="1" customWidth="1"/>
    <col min="15363" max="15364" width="16.33203125" style="313" bestFit="1" customWidth="1"/>
    <col min="15365" max="15365" width="17.44140625" style="313" bestFit="1" customWidth="1"/>
    <col min="15366" max="15366" width="24.109375" style="313" bestFit="1" customWidth="1"/>
    <col min="15367" max="15367" width="21.109375" style="313" bestFit="1" customWidth="1"/>
    <col min="15368" max="15369" width="14.88671875" style="313" customWidth="1"/>
    <col min="15370" max="15616" width="9.109375" style="313"/>
    <col min="15617" max="15617" width="21.109375" style="313" bestFit="1" customWidth="1"/>
    <col min="15618" max="15618" width="16.88671875" style="313" bestFit="1" customWidth="1"/>
    <col min="15619" max="15620" width="16.33203125" style="313" bestFit="1" customWidth="1"/>
    <col min="15621" max="15621" width="17.44140625" style="313" bestFit="1" customWidth="1"/>
    <col min="15622" max="15622" width="24.109375" style="313" bestFit="1" customWidth="1"/>
    <col min="15623" max="15623" width="21.109375" style="313" bestFit="1" customWidth="1"/>
    <col min="15624" max="15625" width="14.88671875" style="313" customWidth="1"/>
    <col min="15626" max="15872" width="9.109375" style="313"/>
    <col min="15873" max="15873" width="21.109375" style="313" bestFit="1" customWidth="1"/>
    <col min="15874" max="15874" width="16.88671875" style="313" bestFit="1" customWidth="1"/>
    <col min="15875" max="15876" width="16.33203125" style="313" bestFit="1" customWidth="1"/>
    <col min="15877" max="15877" width="17.44140625" style="313" bestFit="1" customWidth="1"/>
    <col min="15878" max="15878" width="24.109375" style="313" bestFit="1" customWidth="1"/>
    <col min="15879" max="15879" width="21.109375" style="313" bestFit="1" customWidth="1"/>
    <col min="15880" max="15881" width="14.88671875" style="313" customWidth="1"/>
    <col min="15882" max="16128" width="9.109375" style="313"/>
    <col min="16129" max="16129" width="21.109375" style="313" bestFit="1" customWidth="1"/>
    <col min="16130" max="16130" width="16.88671875" style="313" bestFit="1" customWidth="1"/>
    <col min="16131" max="16132" width="16.33203125" style="313" bestFit="1" customWidth="1"/>
    <col min="16133" max="16133" width="17.44140625" style="313" bestFit="1" customWidth="1"/>
    <col min="16134" max="16134" width="24.109375" style="313" bestFit="1" customWidth="1"/>
    <col min="16135" max="16135" width="21.109375" style="313" bestFit="1" customWidth="1"/>
    <col min="16136" max="16137" width="14.88671875" style="313" customWidth="1"/>
    <col min="16138" max="16384" width="9.109375" style="313"/>
  </cols>
  <sheetData>
    <row r="1" spans="1:11" ht="14.4" x14ac:dyDescent="0.3">
      <c r="A1" s="310" t="s">
        <v>634</v>
      </c>
      <c r="B1" s="311" t="s">
        <v>635</v>
      </c>
      <c r="C1" s="311" t="s">
        <v>636</v>
      </c>
      <c r="D1" s="311" t="s">
        <v>637</v>
      </c>
      <c r="E1" s="311" t="s">
        <v>157</v>
      </c>
      <c r="F1" s="311" t="s">
        <v>638</v>
      </c>
      <c r="G1" s="311" t="s">
        <v>639</v>
      </c>
      <c r="H1" s="311" t="s">
        <v>640</v>
      </c>
      <c r="I1" s="312" t="s">
        <v>516</v>
      </c>
      <c r="J1" s="311" t="s">
        <v>641</v>
      </c>
      <c r="K1" s="311" t="s">
        <v>642</v>
      </c>
    </row>
    <row r="2" spans="1:11" ht="14.4" x14ac:dyDescent="0.3">
      <c r="A2" s="314" t="str">
        <f>SUBSTITUTE(Certificado!O7,"/","-")</f>
        <v>19012733</v>
      </c>
      <c r="B2" s="314" t="str">
        <f>Certificado!G16</f>
        <v>Micropipeta de Volume Variável</v>
      </c>
      <c r="C2" s="314" t="str">
        <f>Certificado!G19</f>
        <v>MCP079</v>
      </c>
      <c r="D2" s="314" t="str">
        <f>Certificado!G20</f>
        <v>24F14768</v>
      </c>
      <c r="E2" s="315">
        <f>Certificado!G22</f>
        <v>46076</v>
      </c>
      <c r="F2" s="317" t="str">
        <f>Certificado!G23</f>
        <v>Determinado pelo Cliente</v>
      </c>
      <c r="G2" s="314" t="str">
        <f ca="1">IF(Dados!Z9=3,"Conforme escala",CONCATENATE(Certificado!AV59," ",Certificado!AG59))</f>
        <v>2,77 µL</v>
      </c>
      <c r="H2" s="316" t="str">
        <f ca="1">IF(Dados!Z9=3,"Conforme escala",CONCATENATE(Certificado!AY59," ",Certificado!AG59))</f>
        <v>0,1 µL</v>
      </c>
      <c r="I2" s="315">
        <f>Certificado!G24</f>
        <v>46076</v>
      </c>
      <c r="J2" s="313" t="str">
        <f>Dados!W3</f>
        <v>00745/26</v>
      </c>
      <c r="K2" s="313" t="str">
        <f>IF(Dados!Z9=3,"Conforme escala",Certificado!S17)</f>
        <v>(100~1000) µL</v>
      </c>
    </row>
  </sheetData>
  <sheetProtection algorithmName="SHA-512" hashValue="IXvR/0YOXPAjq18QXHiAWO5MXkyaF6w7jzLEWiHYfgDgYfZA3udL++Cv57XpgI7IEVN5V0JNbDHbuzCHK3xyYw==" saltValue="EpzkQuENWfGaX+aFN5pN8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59C73-E0F9-4C74-A312-EE5D6DA54F1D}">
  <sheetPr codeName="Folha12"/>
  <dimension ref="A1:BM257"/>
  <sheetViews>
    <sheetView tabSelected="1" zoomScaleNormal="100" workbookViewId="0">
      <selection activeCell="O7" sqref="O7:R9"/>
    </sheetView>
  </sheetViews>
  <sheetFormatPr defaultColWidth="4.33203125" defaultRowHeight="15" customHeight="1" x14ac:dyDescent="0.3"/>
  <cols>
    <col min="1" max="2" width="4.33203125" style="5" customWidth="1"/>
    <col min="3" max="6" width="4.33203125" style="5"/>
    <col min="7" max="7" width="4.44140625" style="5" bestFit="1" customWidth="1"/>
    <col min="8" max="12" width="4.33203125" style="5"/>
    <col min="13" max="13" width="4.33203125" style="5" customWidth="1"/>
    <col min="14" max="22" width="4.33203125" style="5"/>
    <col min="23" max="26" width="4.33203125" style="5" customWidth="1"/>
    <col min="27" max="27" width="4.33203125" style="189" customWidth="1"/>
    <col min="28" max="28" width="4.44140625" style="189" customWidth="1"/>
    <col min="29" max="38" width="4.33203125" style="189" customWidth="1"/>
    <col min="39" max="46" width="4.33203125" style="5" customWidth="1"/>
    <col min="47" max="47" width="6" style="5" bestFit="1" customWidth="1"/>
    <col min="48" max="48" width="6.6640625" style="5" bestFit="1" customWidth="1"/>
    <col min="49" max="50" width="4.33203125" style="5" customWidth="1"/>
    <col min="51" max="51" width="13.6640625" style="5" bestFit="1" customWidth="1"/>
    <col min="52" max="57" width="4.33203125" style="5" customWidth="1"/>
    <col min="58" max="16384" width="4.33203125" style="5"/>
  </cols>
  <sheetData>
    <row r="1" spans="1:65" ht="15" customHeight="1" x14ac:dyDescent="0.3">
      <c r="A1" s="230"/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1">
        <v>1</v>
      </c>
      <c r="AB1" s="189" t="str">
        <f>Dados!AA1</f>
        <v>Resultados - 1</v>
      </c>
    </row>
    <row r="2" spans="1:65" ht="15" customHeight="1" x14ac:dyDescent="0.3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1">
        <v>1</v>
      </c>
      <c r="X2" s="231"/>
      <c r="Y2" s="231"/>
      <c r="Z2" s="231"/>
      <c r="AA2" s="232"/>
      <c r="AE2" s="353" t="s">
        <v>500</v>
      </c>
      <c r="AF2" s="354"/>
      <c r="AG2" s="354"/>
      <c r="AH2" s="354"/>
      <c r="AI2" s="355"/>
      <c r="AJ2" s="356" t="str">
        <f>'Histórico de revisões'!C3</f>
        <v>CVM-VOL-001</v>
      </c>
      <c r="AK2" s="361"/>
      <c r="AL2" s="361"/>
      <c r="AM2" s="361"/>
      <c r="AN2" s="361"/>
      <c r="AO2" s="361"/>
      <c r="AP2" s="361"/>
      <c r="AQ2" s="361"/>
      <c r="AR2" s="361"/>
      <c r="AS2" s="361"/>
      <c r="AT2" s="361"/>
      <c r="AU2" s="361"/>
      <c r="AV2" s="361"/>
      <c r="AW2" s="361"/>
      <c r="AX2" s="357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</row>
    <row r="3" spans="1:65" ht="15" customHeight="1" x14ac:dyDescent="0.3">
      <c r="A3" s="230"/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R3" s="230"/>
      <c r="S3" s="230"/>
      <c r="T3" s="230"/>
      <c r="U3" s="230"/>
      <c r="V3" s="230"/>
      <c r="W3" s="231">
        <v>1</v>
      </c>
      <c r="X3" s="231"/>
      <c r="Y3" s="231"/>
      <c r="Z3" s="231"/>
      <c r="AA3" s="232"/>
      <c r="AE3" s="353" t="s">
        <v>501</v>
      </c>
      <c r="AF3" s="354"/>
      <c r="AG3" s="354"/>
      <c r="AH3" s="354"/>
      <c r="AI3" s="355"/>
      <c r="AJ3" s="356">
        <f>'Histórico de revisões'!C4</f>
        <v>0</v>
      </c>
      <c r="AK3" s="357"/>
      <c r="AL3" s="358">
        <f>'Histórico de revisões'!D4</f>
        <v>41094</v>
      </c>
      <c r="AM3" s="359"/>
      <c r="AN3" s="359"/>
      <c r="AO3" s="360"/>
      <c r="AP3" s="356" t="s">
        <v>502</v>
      </c>
      <c r="AQ3" s="357"/>
      <c r="AR3" s="353" t="str">
        <f>'Histórico de revisões'!F4</f>
        <v>Rodrigo G. Cordeiro</v>
      </c>
      <c r="AS3" s="354"/>
      <c r="AT3" s="354"/>
      <c r="AU3" s="354"/>
      <c r="AV3" s="354"/>
      <c r="AW3" s="354"/>
      <c r="AX3" s="355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</row>
    <row r="4" spans="1:65" ht="15" customHeight="1" x14ac:dyDescent="0.3">
      <c r="A4" s="230"/>
      <c r="B4" s="230"/>
      <c r="C4" s="230"/>
      <c r="D4" s="230"/>
      <c r="E4" s="230"/>
      <c r="F4" s="230"/>
      <c r="G4" s="342" t="s">
        <v>601</v>
      </c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43"/>
      <c r="U4" s="343"/>
      <c r="V4" s="343"/>
      <c r="W4" s="231">
        <v>1</v>
      </c>
      <c r="X4" s="231"/>
      <c r="Y4" s="231"/>
      <c r="Z4" s="231"/>
      <c r="AA4" s="232"/>
      <c r="AE4" s="353" t="s">
        <v>503</v>
      </c>
      <c r="AF4" s="354"/>
      <c r="AG4" s="354"/>
      <c r="AH4" s="354"/>
      <c r="AI4" s="355"/>
      <c r="AJ4" s="356">
        <f>'Histórico de revisões'!C5</f>
        <v>73</v>
      </c>
      <c r="AK4" s="357"/>
      <c r="AL4" s="358">
        <f>'Histórico de revisões'!D5</f>
        <v>45761</v>
      </c>
      <c r="AM4" s="359"/>
      <c r="AN4" s="359"/>
      <c r="AO4" s="360"/>
      <c r="AP4" s="356" t="s">
        <v>502</v>
      </c>
      <c r="AQ4" s="357"/>
      <c r="AR4" s="353" t="str">
        <f>'Histórico de revisões'!F5</f>
        <v>Caio C.</v>
      </c>
      <c r="AS4" s="354"/>
      <c r="AT4" s="354"/>
      <c r="AU4" s="354"/>
      <c r="AV4" s="354"/>
      <c r="AW4" s="354"/>
      <c r="AX4" s="355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</row>
    <row r="5" spans="1:65" ht="15" customHeight="1" x14ac:dyDescent="0.3">
      <c r="A5" s="230"/>
      <c r="B5" s="230"/>
      <c r="C5" s="230"/>
      <c r="D5" s="230"/>
      <c r="E5" s="230"/>
      <c r="F5" s="230"/>
      <c r="G5" s="343"/>
      <c r="H5" s="343"/>
      <c r="I5" s="343"/>
      <c r="J5" s="343"/>
      <c r="K5" s="343"/>
      <c r="L5" s="343"/>
      <c r="M5" s="343"/>
      <c r="N5" s="343"/>
      <c r="O5" s="343"/>
      <c r="P5" s="343"/>
      <c r="Q5" s="343"/>
      <c r="R5" s="343"/>
      <c r="S5" s="343"/>
      <c r="T5" s="343"/>
      <c r="U5" s="343"/>
      <c r="V5" s="343"/>
      <c r="W5" s="231">
        <v>1</v>
      </c>
      <c r="X5" s="231"/>
      <c r="Y5" s="231"/>
      <c r="Z5" s="231"/>
      <c r="AA5" s="232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"/>
      <c r="AQ5" s="2"/>
      <c r="AR5" s="2"/>
      <c r="AS5" s="2"/>
      <c r="AT5" s="2"/>
      <c r="AU5" s="2"/>
      <c r="AV5" s="2"/>
      <c r="AW5" s="2"/>
      <c r="AX5" s="234"/>
      <c r="AY5" s="235"/>
      <c r="AZ5" s="235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</row>
    <row r="6" spans="1:65" ht="15" customHeight="1" x14ac:dyDescent="0.2">
      <c r="A6" s="230"/>
      <c r="B6" s="230"/>
      <c r="C6" s="230"/>
      <c r="D6" s="230"/>
      <c r="E6" s="230"/>
      <c r="F6" s="230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3"/>
      <c r="R6" s="343"/>
      <c r="S6" s="343"/>
      <c r="T6" s="343"/>
      <c r="U6" s="343"/>
      <c r="V6" s="343"/>
      <c r="W6" s="231">
        <v>1</v>
      </c>
      <c r="X6" s="231"/>
      <c r="Y6" s="231"/>
      <c r="Z6" s="231"/>
      <c r="AA6" s="232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6"/>
      <c r="BF6" s="236"/>
      <c r="BG6" s="236"/>
      <c r="BH6" s="236"/>
      <c r="BI6" s="236"/>
      <c r="BJ6" s="236"/>
      <c r="BK6" s="236"/>
      <c r="BL6" s="236"/>
      <c r="BM6" s="236"/>
    </row>
    <row r="7" spans="1:65" ht="15" customHeight="1" x14ac:dyDescent="0.2">
      <c r="A7" s="230"/>
      <c r="B7" s="230"/>
      <c r="C7" s="230"/>
      <c r="D7" s="230"/>
      <c r="E7" s="230"/>
      <c r="F7" s="230"/>
      <c r="G7" s="339" t="s">
        <v>504</v>
      </c>
      <c r="H7" s="339"/>
      <c r="I7" s="339"/>
      <c r="J7" s="339"/>
      <c r="K7" s="339"/>
      <c r="L7" s="339"/>
      <c r="M7" s="339"/>
      <c r="N7" s="339"/>
      <c r="O7" s="340" t="str">
        <f>CONCATENATE(Dados!V2,Dados!W2)</f>
        <v>19012733</v>
      </c>
      <c r="P7" s="340"/>
      <c r="Q7" s="340"/>
      <c r="R7" s="340"/>
      <c r="S7" s="339" t="str">
        <f>CONCATENATE("Folha 1/",X7)</f>
        <v>Folha 1/1</v>
      </c>
      <c r="T7" s="339"/>
      <c r="U7" s="339"/>
      <c r="V7" s="339"/>
      <c r="W7" s="231">
        <v>1</v>
      </c>
      <c r="X7" s="231">
        <f>MAX(X8,X90,X199)</f>
        <v>1</v>
      </c>
      <c r="Y7" s="231"/>
      <c r="Z7" s="231"/>
      <c r="AA7" s="232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6"/>
      <c r="BF7" s="236"/>
      <c r="BG7" s="236"/>
      <c r="BH7" s="236"/>
      <c r="BI7" s="236"/>
      <c r="BJ7" s="236"/>
      <c r="BK7" s="236"/>
      <c r="BL7" s="236"/>
      <c r="BM7" s="236"/>
    </row>
    <row r="8" spans="1:65" ht="15" customHeight="1" x14ac:dyDescent="0.2">
      <c r="A8" s="230"/>
      <c r="B8" s="230"/>
      <c r="C8" s="230"/>
      <c r="D8" s="230"/>
      <c r="E8" s="230"/>
      <c r="F8" s="230"/>
      <c r="G8" s="339"/>
      <c r="H8" s="339"/>
      <c r="I8" s="339"/>
      <c r="J8" s="339"/>
      <c r="K8" s="339"/>
      <c r="L8" s="339"/>
      <c r="M8" s="339"/>
      <c r="N8" s="339"/>
      <c r="O8" s="340"/>
      <c r="P8" s="340"/>
      <c r="Q8" s="340"/>
      <c r="R8" s="340"/>
      <c r="S8" s="339"/>
      <c r="T8" s="339"/>
      <c r="U8" s="339"/>
      <c r="V8" s="339"/>
      <c r="W8" s="231">
        <v>1</v>
      </c>
      <c r="X8" s="231">
        <v>1</v>
      </c>
      <c r="Y8" s="231"/>
      <c r="Z8" s="231"/>
      <c r="AA8" s="232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36"/>
      <c r="BJ8" s="236"/>
      <c r="BK8" s="236"/>
      <c r="BL8" s="236"/>
      <c r="BM8" s="236"/>
    </row>
    <row r="9" spans="1:65" ht="15" customHeight="1" x14ac:dyDescent="0.2">
      <c r="A9" s="230"/>
      <c r="B9" s="230"/>
      <c r="C9" s="230"/>
      <c r="D9" s="230"/>
      <c r="E9" s="230"/>
      <c r="F9" s="230"/>
      <c r="G9" s="339"/>
      <c r="H9" s="339"/>
      <c r="I9" s="339"/>
      <c r="J9" s="339"/>
      <c r="K9" s="339"/>
      <c r="L9" s="339"/>
      <c r="M9" s="339"/>
      <c r="N9" s="339"/>
      <c r="O9" s="340"/>
      <c r="P9" s="340"/>
      <c r="Q9" s="340"/>
      <c r="R9" s="340"/>
      <c r="S9" s="339"/>
      <c r="T9" s="339"/>
      <c r="U9" s="339"/>
      <c r="V9" s="339"/>
      <c r="W9" s="231">
        <v>1</v>
      </c>
      <c r="X9" s="231"/>
      <c r="Y9" s="231"/>
      <c r="Z9" s="231"/>
      <c r="AA9" s="232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</row>
    <row r="10" spans="1:65" ht="7.5" customHeight="1" x14ac:dyDescent="0.2">
      <c r="A10" s="237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1">
        <v>1</v>
      </c>
      <c r="X10" s="231"/>
      <c r="Y10" s="231"/>
      <c r="Z10" s="231"/>
      <c r="AA10" s="232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</row>
    <row r="11" spans="1:65" ht="12.75" customHeight="1" x14ac:dyDescent="0.2">
      <c r="A11" s="238" t="s">
        <v>6</v>
      </c>
      <c r="B11" s="271"/>
      <c r="C11" s="271"/>
      <c r="D11" s="271"/>
      <c r="E11" s="271"/>
      <c r="F11" s="271"/>
      <c r="G11" s="270" t="str">
        <f>Dados!F4</f>
        <v>-</v>
      </c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31">
        <v>1</v>
      </c>
      <c r="X11" s="231"/>
      <c r="Y11" s="231"/>
      <c r="Z11" s="231"/>
      <c r="AA11" s="232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</row>
    <row r="12" spans="1:65" ht="12.75" customHeight="1" x14ac:dyDescent="0.2">
      <c r="A12" s="238" t="s">
        <v>8</v>
      </c>
      <c r="B12" s="271"/>
      <c r="C12" s="271"/>
      <c r="D12" s="271"/>
      <c r="E12" s="271"/>
      <c r="F12" s="271"/>
      <c r="G12" s="270" t="str">
        <f>Dados!F5</f>
        <v>-</v>
      </c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31">
        <v>1</v>
      </c>
      <c r="X12" s="231"/>
      <c r="Y12" s="231"/>
      <c r="Z12" s="231"/>
      <c r="AA12" s="232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</row>
    <row r="13" spans="1:65" ht="12.75" customHeight="1" x14ac:dyDescent="0.2">
      <c r="A13" s="238" t="s">
        <v>10</v>
      </c>
      <c r="B13" s="271"/>
      <c r="C13" s="271"/>
      <c r="D13" s="271"/>
      <c r="E13" s="271"/>
      <c r="F13" s="271"/>
      <c r="G13" s="270" t="str">
        <f>IF(Dados!F6="","O mesmo",Dados!F6)</f>
        <v>O mesmo</v>
      </c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31">
        <v>1</v>
      </c>
      <c r="X13" s="231"/>
      <c r="Y13" s="231"/>
      <c r="Z13" s="231"/>
      <c r="AA13" s="232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</row>
    <row r="14" spans="1:65" ht="12.75" customHeight="1" x14ac:dyDescent="0.2">
      <c r="A14" s="238" t="s">
        <v>8</v>
      </c>
      <c r="B14" s="271"/>
      <c r="C14" s="271"/>
      <c r="D14" s="271"/>
      <c r="E14" s="271"/>
      <c r="F14" s="271"/>
      <c r="G14" s="270" t="str">
        <f>IF(Dados!F7="","O mesmo",Dados!F7)</f>
        <v>O mesmo</v>
      </c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31">
        <v>1</v>
      </c>
      <c r="X14" s="231"/>
      <c r="Y14" s="231"/>
      <c r="Z14" s="231"/>
      <c r="AA14" s="232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</row>
    <row r="15" spans="1:65" ht="7.5" customHeight="1" x14ac:dyDescent="0.2">
      <c r="A15" s="273"/>
      <c r="B15" s="273"/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31">
        <v>1</v>
      </c>
      <c r="X15" s="231"/>
      <c r="Y15" s="231"/>
      <c r="Z15" s="231"/>
      <c r="AA15" s="232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</row>
    <row r="16" spans="1:65" ht="12.75" customHeight="1" x14ac:dyDescent="0.2">
      <c r="A16" s="239" t="s">
        <v>34</v>
      </c>
      <c r="B16" s="271"/>
      <c r="C16" s="271"/>
      <c r="D16" s="271"/>
      <c r="E16" s="271"/>
      <c r="F16" s="271"/>
      <c r="G16" s="274" t="str">
        <f>Dados!F9</f>
        <v>Micropipeta de Volume Variável</v>
      </c>
      <c r="H16" s="271"/>
      <c r="I16" s="271"/>
      <c r="J16" s="271"/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31">
        <v>1</v>
      </c>
      <c r="X16" s="231"/>
      <c r="Y16" s="231"/>
      <c r="Z16" s="231"/>
      <c r="AA16" s="232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</row>
    <row r="17" spans="1:65" ht="12.75" customHeight="1" x14ac:dyDescent="0.2">
      <c r="A17" s="239" t="s">
        <v>71</v>
      </c>
      <c r="B17" s="271"/>
      <c r="C17" s="271"/>
      <c r="D17" s="271"/>
      <c r="E17" s="271"/>
      <c r="F17" s="271"/>
      <c r="G17" s="351" t="str">
        <f>IF(Dados!F11="","Não especificado",Dados!F11)</f>
        <v>Brand</v>
      </c>
      <c r="H17" s="351"/>
      <c r="I17" s="351"/>
      <c r="J17" s="351"/>
      <c r="K17" s="351"/>
      <c r="L17" s="351"/>
      <c r="M17" s="239" t="str">
        <f>IF(S17="","","Faixa Nominal/Total :")</f>
        <v>Faixa Nominal/Total :</v>
      </c>
      <c r="N17" s="239"/>
      <c r="O17" s="239"/>
      <c r="P17" s="239"/>
      <c r="Q17" s="239"/>
      <c r="R17" s="271"/>
      <c r="S17" s="351" t="str">
        <f>IF(Z17=1,CONCATENATE(AB17," ",AC17),IF(Z17=2,CONCATENATE("(",AA17,"~",AB17,") ",AC17),""))</f>
        <v>(100~1000) µL</v>
      </c>
      <c r="T17" s="351"/>
      <c r="U17" s="351"/>
      <c r="V17" s="351"/>
      <c r="W17" s="231">
        <v>1</v>
      </c>
      <c r="X17" s="231"/>
      <c r="Y17" s="231"/>
      <c r="Z17" s="231">
        <f>Dados!Z9</f>
        <v>2</v>
      </c>
      <c r="AA17" s="232">
        <f>Dados!R12</f>
        <v>100</v>
      </c>
      <c r="AB17" s="189">
        <f>Dados!U12</f>
        <v>1000</v>
      </c>
      <c r="AC17" s="189" t="str">
        <f>Dados!W12</f>
        <v>µL</v>
      </c>
      <c r="AE17" s="236"/>
      <c r="AF17" s="236"/>
      <c r="AG17" s="236"/>
      <c r="AH17" s="236"/>
      <c r="AI17" s="236"/>
      <c r="AJ17" s="236"/>
      <c r="AK17" s="236"/>
      <c r="AL17" s="236"/>
      <c r="AM17" s="236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236"/>
      <c r="AY17" s="236"/>
      <c r="AZ17" s="236"/>
      <c r="BA17" s="236"/>
      <c r="BB17" s="236"/>
      <c r="BC17" s="236"/>
      <c r="BD17" s="236"/>
      <c r="BE17" s="236"/>
      <c r="BF17" s="236"/>
      <c r="BG17" s="236"/>
      <c r="BH17" s="236"/>
      <c r="BI17" s="236"/>
      <c r="BJ17" s="236"/>
      <c r="BK17" s="236"/>
      <c r="BL17" s="236"/>
      <c r="BM17" s="236"/>
    </row>
    <row r="18" spans="1:65" ht="12.75" customHeight="1" x14ac:dyDescent="0.2">
      <c r="A18" s="239" t="s">
        <v>72</v>
      </c>
      <c r="B18" s="271"/>
      <c r="C18" s="271"/>
      <c r="D18" s="271"/>
      <c r="E18" s="271"/>
      <c r="F18" s="271"/>
      <c r="G18" s="351" t="str">
        <f>IF(Dados!F12="","Não especificado",Dados!F12)</f>
        <v>Transferpette S</v>
      </c>
      <c r="H18" s="351"/>
      <c r="I18" s="351"/>
      <c r="J18" s="351"/>
      <c r="K18" s="351"/>
      <c r="L18" s="351"/>
      <c r="M18" s="239" t="str">
        <f>IF(S18="","","Valor de Uma Divisão :")</f>
        <v>Valor de Uma Divisão :</v>
      </c>
      <c r="N18" s="239"/>
      <c r="O18" s="239"/>
      <c r="P18" s="239"/>
      <c r="Q18" s="239"/>
      <c r="R18" s="270"/>
      <c r="S18" s="351" t="str">
        <f>IF(Z18=0,"",IF(Z17=3,"",IF(Z18=1,CONCATENATE(AA18," ",AC17),IF(Z18=2,CONCATENATE(AA18,"/",AA19," ",AC17),IF(Z18=3,CONCATENATE(AA18,"/",AA19,"/",AA20," ",AC17),"-")))))</f>
        <v>1 µL</v>
      </c>
      <c r="T18" s="351"/>
      <c r="U18" s="351"/>
      <c r="V18" s="351"/>
      <c r="W18" s="231">
        <v>1</v>
      </c>
      <c r="X18" s="231"/>
      <c r="Y18" s="231"/>
      <c r="Z18" s="269">
        <f>'Controle dos padrões'!T120</f>
        <v>1</v>
      </c>
      <c r="AA18" s="268">
        <f>'Controle dos padrões'!V121</f>
        <v>1</v>
      </c>
      <c r="AE18" s="236"/>
      <c r="AF18" s="236"/>
      <c r="AG18" s="236"/>
      <c r="AH18" s="236"/>
      <c r="AI18" s="236"/>
      <c r="AJ18" s="236"/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36"/>
      <c r="BJ18" s="236"/>
      <c r="BK18" s="236"/>
      <c r="BL18" s="236"/>
      <c r="BM18" s="236"/>
    </row>
    <row r="19" spans="1:65" ht="12.75" customHeight="1" x14ac:dyDescent="0.2">
      <c r="A19" s="239" t="s">
        <v>73</v>
      </c>
      <c r="B19" s="271"/>
      <c r="C19" s="271"/>
      <c r="D19" s="271"/>
      <c r="E19" s="271"/>
      <c r="F19" s="271"/>
      <c r="G19" s="351" t="str">
        <f>IF(Dados!F13="","Não especificado",Dados!F13)</f>
        <v>MCP079</v>
      </c>
      <c r="H19" s="351"/>
      <c r="I19" s="351"/>
      <c r="J19" s="351"/>
      <c r="K19" s="351"/>
      <c r="L19" s="351"/>
      <c r="M19" s="239" t="str">
        <f>IF(S19="","","Tipo da indicação :")</f>
        <v>Tipo da indicação :</v>
      </c>
      <c r="N19" s="239"/>
      <c r="O19" s="239"/>
      <c r="P19" s="239"/>
      <c r="Q19" s="239"/>
      <c r="R19" s="239"/>
      <c r="S19" s="270" t="str">
        <f>IF(Z17=3,"",IF(OR(Dados!F15="n/a",Dados!F15=""),"",Dados!F15))</f>
        <v>Analógica</v>
      </c>
      <c r="T19" s="239"/>
      <c r="U19" s="239"/>
      <c r="V19" s="239"/>
      <c r="W19" s="231">
        <v>1</v>
      </c>
      <c r="X19" s="231"/>
      <c r="Y19" s="231"/>
      <c r="Z19" s="231"/>
      <c r="AA19" s="268" t="str">
        <f>'Controle dos padrões'!V122</f>
        <v/>
      </c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36"/>
      <c r="BJ19" s="236"/>
      <c r="BK19" s="236"/>
      <c r="BL19" s="236"/>
      <c r="BM19" s="236"/>
    </row>
    <row r="20" spans="1:65" ht="12.75" customHeight="1" x14ac:dyDescent="0.2">
      <c r="A20" s="239" t="s">
        <v>74</v>
      </c>
      <c r="B20" s="271"/>
      <c r="C20" s="271"/>
      <c r="D20" s="271"/>
      <c r="E20" s="271"/>
      <c r="F20" s="271"/>
      <c r="G20" s="351" t="str">
        <f>IF(Dados!F14="","Não especificado",Dados!F14)</f>
        <v>24F14768</v>
      </c>
      <c r="H20" s="351"/>
      <c r="I20" s="351"/>
      <c r="J20" s="351"/>
      <c r="K20" s="351"/>
      <c r="L20" s="351"/>
      <c r="M20" s="238"/>
      <c r="N20" s="271"/>
      <c r="O20" s="271"/>
      <c r="P20" s="271"/>
      <c r="Q20" s="271"/>
      <c r="R20" s="271"/>
      <c r="S20" s="239"/>
      <c r="T20" s="271"/>
      <c r="U20" s="271"/>
      <c r="V20" s="271"/>
      <c r="W20" s="231">
        <v>1</v>
      </c>
      <c r="X20" s="231"/>
      <c r="Y20" s="231"/>
      <c r="Z20" s="231"/>
      <c r="AA20" s="268" t="str">
        <f>'Controle dos padrões'!V123</f>
        <v/>
      </c>
      <c r="AE20" s="236"/>
      <c r="AF20" s="236"/>
      <c r="AG20" s="236"/>
      <c r="AH20" s="236"/>
      <c r="AI20" s="236"/>
      <c r="AT20" s="236"/>
      <c r="AU20" s="236"/>
      <c r="AV20" s="236"/>
      <c r="AW20" s="236"/>
      <c r="AX20" s="236"/>
      <c r="AY20" s="236"/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</row>
    <row r="21" spans="1:65" ht="7.5" customHeight="1" x14ac:dyDescent="0.2">
      <c r="A21" s="238"/>
      <c r="B21" s="271"/>
      <c r="C21" s="271"/>
      <c r="D21" s="271"/>
      <c r="E21" s="271"/>
      <c r="F21" s="271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1"/>
      <c r="R21" s="271"/>
      <c r="S21" s="271"/>
      <c r="T21" s="271"/>
      <c r="U21" s="271"/>
      <c r="V21" s="271"/>
      <c r="W21" s="231">
        <v>1</v>
      </c>
      <c r="X21" s="231"/>
      <c r="Y21" s="231"/>
      <c r="Z21" s="231"/>
      <c r="AA21" s="232"/>
      <c r="AE21" s="236"/>
      <c r="AF21" s="236"/>
      <c r="AG21" s="236"/>
      <c r="AH21" s="236"/>
      <c r="AI21" s="236"/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6"/>
      <c r="BE21" s="236"/>
      <c r="BF21" s="236"/>
      <c r="BG21" s="236"/>
      <c r="BH21" s="236"/>
      <c r="BI21" s="236"/>
      <c r="BJ21" s="236"/>
      <c r="BK21" s="236"/>
      <c r="BL21" s="236"/>
      <c r="BM21" s="236"/>
    </row>
    <row r="22" spans="1:65" ht="12.75" customHeight="1" x14ac:dyDescent="0.2">
      <c r="A22" s="240" t="s">
        <v>118</v>
      </c>
      <c r="B22" s="271"/>
      <c r="C22" s="271"/>
      <c r="D22" s="271"/>
      <c r="E22" s="271"/>
      <c r="F22" s="271"/>
      <c r="G22" s="348">
        <f>Dados!F18</f>
        <v>46076</v>
      </c>
      <c r="H22" s="348"/>
      <c r="I22" s="348"/>
      <c r="J22" s="348"/>
      <c r="K22" s="348"/>
      <c r="L22" s="348"/>
      <c r="M22" s="349" t="s">
        <v>625</v>
      </c>
      <c r="N22" s="349"/>
      <c r="O22" s="349"/>
      <c r="P22" s="349"/>
      <c r="Q22" s="349"/>
      <c r="R22" s="349"/>
      <c r="S22" s="349"/>
      <c r="T22" s="349"/>
      <c r="U22" s="349"/>
      <c r="V22" s="349"/>
      <c r="W22" s="231">
        <v>1</v>
      </c>
      <c r="X22" s="231"/>
      <c r="Y22" s="231"/>
      <c r="Z22" s="231"/>
      <c r="AA22" s="232"/>
      <c r="AE22" s="236"/>
      <c r="AF22" s="236"/>
      <c r="AG22" s="236"/>
      <c r="AH22" s="236"/>
      <c r="AI22" s="236"/>
      <c r="AJ22" s="236"/>
      <c r="AK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6"/>
      <c r="BF22" s="236"/>
      <c r="BG22" s="236"/>
      <c r="BH22" s="236"/>
      <c r="BI22" s="236"/>
      <c r="BJ22" s="236"/>
      <c r="BK22" s="236"/>
      <c r="BL22" s="236"/>
      <c r="BM22" s="236"/>
    </row>
    <row r="23" spans="1:65" ht="12.75" customHeight="1" x14ac:dyDescent="0.2">
      <c r="A23" s="240" t="s">
        <v>506</v>
      </c>
      <c r="B23" s="271"/>
      <c r="C23" s="271"/>
      <c r="D23" s="271"/>
      <c r="E23" s="271"/>
      <c r="F23" s="271"/>
      <c r="G23" s="350" t="str">
        <f>IF(Dados!P18="","Determinado pelo cliente",Dados!P18)</f>
        <v>Determinado pelo Cliente</v>
      </c>
      <c r="H23" s="350"/>
      <c r="I23" s="350"/>
      <c r="J23" s="350"/>
      <c r="K23" s="350"/>
      <c r="L23" s="350"/>
      <c r="M23" s="352" t="str">
        <f ca="1">CONCATENATE(AR23," | ",AY23)</f>
        <v>0,998181 g/mL ± 0,000036 g/mL | 20,1 °C ± 0,1 °C</v>
      </c>
      <c r="N23" s="352"/>
      <c r="O23" s="352"/>
      <c r="P23" s="352"/>
      <c r="Q23" s="352"/>
      <c r="R23" s="352"/>
      <c r="S23" s="352"/>
      <c r="T23" s="352"/>
      <c r="U23" s="352"/>
      <c r="V23" s="352"/>
      <c r="W23" s="231">
        <v>1</v>
      </c>
      <c r="X23" s="231"/>
      <c r="Y23" s="231"/>
      <c r="Z23" s="265"/>
      <c r="AA23" s="265" t="str">
        <f ca="1">CONCATENATE("(",AA24," ± ",AA25,")°C")</f>
        <v>(19,7 ± 0,2)°C</v>
      </c>
      <c r="AD23" s="265" t="str">
        <f ca="1">CONCATENATE("(",AD24," ± ",AD25,")%ur")</f>
        <v>(57,1 ± 1,3)%ur</v>
      </c>
      <c r="AG23" s="265" t="str">
        <f ca="1">CONCATENATE("(",AG24," ± ",AG25,")hPa")</f>
        <v>(927,8 ± 0,7)hPa</v>
      </c>
      <c r="AH23" s="244"/>
      <c r="AI23" s="279"/>
      <c r="AK23" s="265" t="str">
        <f ca="1">CONCATENATE(FIXED(AK24,AK26)," g/mL ± ",FIXED(AK25,AK26)," g/mL")</f>
        <v>0,001098 g/mL ± 0,000011 g/mL</v>
      </c>
      <c r="AR23" s="265" t="str">
        <f ca="1">CONCATENATE(FIXED(AR24,AR26)," g/mL ± ",FIXED(AR25,AR26)," g/mL")</f>
        <v>0,998181 g/mL ± 0,000036 g/mL</v>
      </c>
      <c r="AV23" s="236"/>
      <c r="AW23" s="236"/>
      <c r="AX23" s="236"/>
      <c r="AY23" s="265" t="str">
        <f ca="1">CONCATENATE(FIXED(AY24,AY26)," °C ± ",FIXED(AY25,AY26)," °C")</f>
        <v>20,1 °C ± 0,1 °C</v>
      </c>
      <c r="AZ23" s="236"/>
      <c r="BA23" s="236"/>
      <c r="BB23" s="236"/>
      <c r="BC23" s="236"/>
      <c r="BD23" s="236"/>
      <c r="BE23" s="236"/>
      <c r="BF23" s="236"/>
      <c r="BG23" s="236"/>
      <c r="BH23" s="236"/>
      <c r="BI23" s="236"/>
      <c r="BJ23" s="236"/>
      <c r="BK23" s="236"/>
      <c r="BL23" s="236"/>
      <c r="BM23" s="236"/>
    </row>
    <row r="24" spans="1:65" ht="12.75" customHeight="1" x14ac:dyDescent="0.2">
      <c r="A24" s="240" t="s">
        <v>119</v>
      </c>
      <c r="B24" s="271"/>
      <c r="C24" s="271"/>
      <c r="D24" s="271"/>
      <c r="E24" s="271"/>
      <c r="F24" s="271"/>
      <c r="G24" s="348">
        <f>Dados!K18</f>
        <v>46076</v>
      </c>
      <c r="H24" s="348"/>
      <c r="I24" s="348"/>
      <c r="J24" s="348"/>
      <c r="K24" s="348"/>
      <c r="L24" s="348"/>
      <c r="M24" s="349" t="s">
        <v>605</v>
      </c>
      <c r="N24" s="349"/>
      <c r="O24" s="349"/>
      <c r="P24" s="349"/>
      <c r="Q24" s="349"/>
      <c r="R24" s="349"/>
      <c r="S24" s="349"/>
      <c r="T24" s="349"/>
      <c r="U24" s="349"/>
      <c r="V24" s="349"/>
      <c r="W24" s="231">
        <v>1</v>
      </c>
      <c r="X24" s="231"/>
      <c r="Y24" s="231"/>
      <c r="Z24" s="265"/>
      <c r="AA24" s="265" t="str">
        <f ca="1">Dados!G36</f>
        <v>19,7</v>
      </c>
      <c r="AB24" s="5"/>
      <c r="AC24" s="5"/>
      <c r="AD24" s="265" t="str">
        <f ca="1">Dados!O36</f>
        <v>57,1</v>
      </c>
      <c r="AE24" s="5"/>
      <c r="AF24" s="5"/>
      <c r="AG24" s="265" t="str">
        <f ca="1">Dados!W36</f>
        <v>927,8</v>
      </c>
      <c r="AH24" s="265"/>
      <c r="AI24" s="265"/>
      <c r="AJ24" s="5"/>
      <c r="AK24" s="265">
        <f>'Resultados - 1'!AU5</f>
        <v>1.0984011836896383E-3</v>
      </c>
      <c r="AL24" s="232"/>
      <c r="AM24" s="236"/>
      <c r="AN24" s="236"/>
      <c r="AO24" s="236"/>
      <c r="AP24" s="236"/>
      <c r="AQ24" s="236"/>
      <c r="AR24" s="265">
        <f ca="1">'Controle dos padrões'!Y121</f>
        <v>0.99818118273772038</v>
      </c>
      <c r="AS24" s="236"/>
      <c r="AT24" s="236"/>
      <c r="AU24" s="236"/>
      <c r="AV24" s="236"/>
      <c r="AW24" s="236"/>
      <c r="AX24" s="236"/>
      <c r="AY24" s="265">
        <f ca="1">'Controle dos padrões'!AG121</f>
        <v>20.099999999999998</v>
      </c>
      <c r="AZ24" s="236"/>
      <c r="BA24" s="236"/>
      <c r="BB24" s="236"/>
      <c r="BC24" s="236"/>
      <c r="BD24" s="236"/>
      <c r="BE24" s="236"/>
      <c r="BF24" s="236"/>
      <c r="BG24" s="236"/>
      <c r="BH24" s="236"/>
      <c r="BI24" s="236"/>
      <c r="BJ24" s="236"/>
      <c r="BK24" s="236"/>
      <c r="BL24" s="236"/>
      <c r="BM24" s="236"/>
    </row>
    <row r="25" spans="1:65" ht="12.75" customHeight="1" x14ac:dyDescent="0.2">
      <c r="A25" s="238" t="s">
        <v>505</v>
      </c>
      <c r="B25" s="271"/>
      <c r="C25" s="271"/>
      <c r="D25" s="271"/>
      <c r="E25" s="271"/>
      <c r="F25" s="271"/>
      <c r="G25" s="270" t="str">
        <f>IF(Dados!AD1=1,CONCATENATE("Laboratório ",Dados!F2),IF(Dados!AD1&gt;1,Dados!R16,"-"))</f>
        <v>Laboratório Elus</v>
      </c>
      <c r="H25" s="272"/>
      <c r="I25" s="272"/>
      <c r="J25" s="272"/>
      <c r="K25" s="272"/>
      <c r="L25" s="272"/>
      <c r="M25" s="352" t="str">
        <f ca="1">AK23</f>
        <v>0,001098 g/mL ± 0,000011 g/mL</v>
      </c>
      <c r="N25" s="352"/>
      <c r="O25" s="352"/>
      <c r="P25" s="352"/>
      <c r="Q25" s="352"/>
      <c r="R25" s="352"/>
      <c r="S25" s="352"/>
      <c r="T25" s="352"/>
      <c r="U25" s="352"/>
      <c r="V25" s="352"/>
      <c r="W25" s="231">
        <v>1</v>
      </c>
      <c r="X25" s="231"/>
      <c r="Y25" s="231"/>
      <c r="Z25" s="265"/>
      <c r="AA25" s="265" t="str">
        <f ca="1">Dados!G42</f>
        <v>0,2</v>
      </c>
      <c r="AB25" s="5"/>
      <c r="AC25" s="5"/>
      <c r="AD25" s="265" t="str">
        <f ca="1">Dados!O42</f>
        <v>1,3</v>
      </c>
      <c r="AE25" s="5"/>
      <c r="AF25" s="5"/>
      <c r="AG25" s="265" t="str">
        <f ca="1">Dados!W42</f>
        <v>0,7</v>
      </c>
      <c r="AH25" s="265"/>
      <c r="AI25" s="265"/>
      <c r="AJ25" s="5"/>
      <c r="AK25" s="265" t="str">
        <f ca="1">'Incerteza (Par)'!L23</f>
        <v>0,000011</v>
      </c>
      <c r="AL25" s="232"/>
      <c r="AM25" s="236"/>
      <c r="AN25" s="236"/>
      <c r="AO25" s="236"/>
      <c r="AP25" s="236"/>
      <c r="AQ25" s="236"/>
      <c r="AR25" s="265">
        <f>'Incerteza - R1'!C14</f>
        <v>3.5999999999999994E-5</v>
      </c>
      <c r="AS25" s="236"/>
      <c r="AT25" s="236"/>
      <c r="AU25" s="236"/>
      <c r="AV25" s="236"/>
      <c r="AW25" s="236"/>
      <c r="AX25" s="236"/>
      <c r="AY25" s="265">
        <f ca="1">'Controle dos padrões'!AH121</f>
        <v>0.1</v>
      </c>
      <c r="AZ25" s="236"/>
      <c r="BA25" s="236"/>
      <c r="BB25" s="236"/>
      <c r="BC25" s="236"/>
      <c r="BD25" s="236"/>
      <c r="BE25" s="236"/>
      <c r="BF25" s="236"/>
      <c r="BG25" s="236"/>
      <c r="BH25" s="236"/>
      <c r="BI25" s="236"/>
      <c r="BJ25" s="236"/>
      <c r="BK25" s="236"/>
      <c r="BL25" s="236"/>
      <c r="BM25" s="236"/>
    </row>
    <row r="26" spans="1:65" ht="12.75" customHeight="1" x14ac:dyDescent="0.2">
      <c r="A26" s="278" t="s">
        <v>604</v>
      </c>
      <c r="B26" s="278"/>
      <c r="C26" s="278"/>
      <c r="D26" s="278"/>
      <c r="E26" s="278"/>
      <c r="F26" s="278"/>
      <c r="G26" s="241" t="str">
        <f ca="1">CONCATENATE(AA23," | ",AD23," | ",AG23)</f>
        <v>(19,7 ± 0,2)°C | (57,1 ± 1,3)%ur | (927,8 ± 0,7)hPa</v>
      </c>
      <c r="H26" s="241"/>
      <c r="I26" s="241"/>
      <c r="J26" s="241"/>
      <c r="K26" s="241"/>
      <c r="L26" s="241"/>
      <c r="M26" s="241"/>
      <c r="N26" s="241"/>
      <c r="O26" s="241"/>
      <c r="P26" s="241"/>
      <c r="Q26" s="271"/>
      <c r="R26" s="271"/>
      <c r="S26" s="270"/>
      <c r="T26" s="271"/>
      <c r="U26" s="271"/>
      <c r="V26" s="271"/>
      <c r="W26" s="231">
        <v>1</v>
      </c>
      <c r="X26" s="231"/>
      <c r="Y26" s="231"/>
      <c r="Z26" s="265"/>
      <c r="AA26" s="265"/>
      <c r="AB26" s="5"/>
      <c r="AC26" s="5"/>
      <c r="AD26" s="244"/>
      <c r="AE26" s="5"/>
      <c r="AF26" s="5"/>
      <c r="AG26" s="244"/>
      <c r="AH26" s="244"/>
      <c r="AI26" s="279"/>
      <c r="AJ26" s="5"/>
      <c r="AK26" s="265">
        <f ca="1">'Incerteza (Par)'!Q19</f>
        <v>6</v>
      </c>
      <c r="AL26" s="236"/>
      <c r="AM26" s="236"/>
      <c r="AN26" s="236"/>
      <c r="AO26" s="236"/>
      <c r="AP26" s="236"/>
      <c r="AQ26" s="236"/>
      <c r="AR26" s="265">
        <f>IF(AR25="","",IF(AR25&gt;=1,0,LEN(AR25)-2))</f>
        <v>6</v>
      </c>
      <c r="AS26" s="236"/>
      <c r="AT26" s="236"/>
      <c r="AU26" s="236"/>
      <c r="AV26" s="236"/>
      <c r="AW26" s="236"/>
      <c r="AX26" s="236"/>
      <c r="AY26" s="265">
        <f ca="1">'Controle dos padrões'!AG122</f>
        <v>1</v>
      </c>
      <c r="AZ26" s="236"/>
      <c r="BA26" s="236"/>
      <c r="BB26" s="236"/>
      <c r="BC26" s="236"/>
      <c r="BD26" s="236"/>
      <c r="BE26" s="236"/>
      <c r="BF26" s="236"/>
      <c r="BG26" s="236"/>
      <c r="BH26" s="236"/>
      <c r="BI26" s="236"/>
      <c r="BJ26" s="236"/>
      <c r="BK26" s="236"/>
      <c r="BL26" s="236"/>
      <c r="BM26" s="236"/>
    </row>
    <row r="27" spans="1:65" ht="7.5" customHeight="1" x14ac:dyDescent="0.2">
      <c r="A27" s="240"/>
      <c r="B27" s="271"/>
      <c r="C27" s="271"/>
      <c r="D27" s="271"/>
      <c r="E27" s="271"/>
      <c r="F27" s="271"/>
      <c r="G27" s="272"/>
      <c r="H27" s="272"/>
      <c r="I27" s="272"/>
      <c r="J27" s="272"/>
      <c r="K27" s="272"/>
      <c r="L27" s="272"/>
      <c r="M27" s="238"/>
      <c r="N27" s="271"/>
      <c r="O27" s="271"/>
      <c r="P27" s="271"/>
      <c r="Q27" s="271"/>
      <c r="R27" s="271"/>
      <c r="S27" s="270"/>
      <c r="T27" s="271"/>
      <c r="U27" s="271"/>
      <c r="V27" s="271"/>
      <c r="W27" s="231">
        <v>1</v>
      </c>
      <c r="X27" s="231"/>
      <c r="Y27" s="231"/>
      <c r="Z27" s="231"/>
      <c r="AA27" s="232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6"/>
      <c r="AS27" s="236"/>
      <c r="AT27" s="236"/>
      <c r="AU27" s="236"/>
      <c r="AV27" s="236"/>
      <c r="AW27" s="236"/>
      <c r="AX27" s="236"/>
      <c r="AY27" s="236"/>
      <c r="AZ27" s="236"/>
      <c r="BA27" s="236"/>
      <c r="BB27" s="236"/>
      <c r="BC27" s="236"/>
      <c r="BD27" s="236"/>
      <c r="BE27" s="236"/>
      <c r="BF27" s="236"/>
      <c r="BG27" s="236"/>
      <c r="BH27" s="236"/>
      <c r="BI27" s="236"/>
      <c r="BJ27" s="236"/>
      <c r="BK27" s="236"/>
      <c r="BL27" s="236"/>
      <c r="BM27" s="236"/>
    </row>
    <row r="28" spans="1:65" ht="12.75" customHeight="1" x14ac:dyDescent="0.2">
      <c r="A28" s="240" t="s">
        <v>606</v>
      </c>
      <c r="B28" s="273"/>
      <c r="C28" s="273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  <c r="O28" s="273"/>
      <c r="P28" s="273"/>
      <c r="Q28" s="273"/>
      <c r="R28" s="273"/>
      <c r="S28" s="273"/>
      <c r="T28" s="273"/>
      <c r="U28" s="273"/>
      <c r="V28" s="273"/>
      <c r="W28" s="231">
        <v>1</v>
      </c>
      <c r="X28" s="231"/>
      <c r="Y28" s="231"/>
      <c r="Z28" s="231"/>
      <c r="AA28" s="232"/>
      <c r="AE28" s="236"/>
      <c r="AF28" s="236"/>
      <c r="AG28" s="236"/>
      <c r="AH28" s="236"/>
      <c r="AI28" s="236"/>
      <c r="AJ28" s="236"/>
      <c r="AK28" s="236"/>
      <c r="AL28" s="236"/>
      <c r="AM28" s="236"/>
      <c r="AN28" s="236"/>
      <c r="AO28" s="236"/>
      <c r="AP28" s="236"/>
      <c r="AQ28" s="236"/>
      <c r="AR28" s="236"/>
      <c r="AS28" s="236"/>
      <c r="AT28" s="236"/>
      <c r="AU28" s="236"/>
      <c r="AV28" s="236"/>
      <c r="AW28" s="236"/>
      <c r="AX28" s="236"/>
      <c r="AY28" s="236"/>
      <c r="AZ28" s="236"/>
      <c r="BA28" s="236"/>
      <c r="BB28" s="236"/>
      <c r="BC28" s="236"/>
      <c r="BD28" s="236"/>
      <c r="BE28" s="236"/>
      <c r="BF28" s="236"/>
      <c r="BG28" s="236"/>
      <c r="BH28" s="236"/>
      <c r="BI28" s="236"/>
      <c r="BJ28" s="236"/>
      <c r="BK28" s="236"/>
      <c r="BL28" s="236"/>
      <c r="BM28" s="236"/>
    </row>
    <row r="29" spans="1:65" ht="12.75" customHeight="1" x14ac:dyDescent="0.2">
      <c r="A29" s="347" t="str">
        <f ca="1">AA29</f>
        <v>Balança Analítica, id. E.MS.LQ-006, calibrado por RBC - CAL 0439 em 09/01/2026, certificado n° E0014/26, válido até janeiro/2027.</v>
      </c>
      <c r="B29" s="347"/>
      <c r="C29" s="347"/>
      <c r="D29" s="347"/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  <c r="P29" s="347"/>
      <c r="Q29" s="347"/>
      <c r="R29" s="347"/>
      <c r="S29" s="347"/>
      <c r="T29" s="347"/>
      <c r="U29" s="347"/>
      <c r="V29" s="347"/>
      <c r="W29" s="231">
        <v>1</v>
      </c>
      <c r="X29" s="231"/>
      <c r="Y29" s="231"/>
      <c r="Z29" s="231">
        <v>1</v>
      </c>
      <c r="AA29" s="265" t="str">
        <f ca="1">VLOOKUP(Z29,'Controle dos padrões'!$A$308:$B$313,2,FALSE)</f>
        <v>Balança Analítica, id. E.MS.LQ-006, calibrado por RBC - CAL 0439 em 09/01/2026, certificado n° E0014/26, válido até janeiro/2027.</v>
      </c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/>
      <c r="AS29" s="236"/>
      <c r="AT29" s="236"/>
      <c r="AU29" s="236"/>
      <c r="AV29" s="236"/>
      <c r="AW29" s="236"/>
      <c r="AX29" s="236"/>
      <c r="AY29" s="236"/>
      <c r="AZ29" s="236"/>
      <c r="BA29" s="236"/>
      <c r="BB29" s="236"/>
      <c r="BC29" s="236"/>
      <c r="BD29" s="236"/>
      <c r="BE29" s="236"/>
      <c r="BF29" s="236"/>
      <c r="BG29" s="236"/>
      <c r="BH29" s="236"/>
      <c r="BI29" s="236"/>
      <c r="BJ29" s="236"/>
      <c r="BK29" s="236"/>
      <c r="BL29" s="236"/>
      <c r="BM29" s="236"/>
    </row>
    <row r="30" spans="1:65" ht="12.75" customHeight="1" x14ac:dyDescent="0.2">
      <c r="A30" s="347"/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7"/>
      <c r="W30" s="231">
        <v>1</v>
      </c>
      <c r="X30" s="231"/>
      <c r="Y30" s="231"/>
      <c r="Z30" s="231"/>
      <c r="AA30" s="232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/>
      <c r="AS30" s="236"/>
      <c r="AT30" s="236"/>
      <c r="AU30" s="236"/>
      <c r="AV30" s="236"/>
      <c r="AW30" s="236"/>
      <c r="AX30" s="236"/>
      <c r="AY30" s="236"/>
      <c r="AZ30" s="236"/>
      <c r="BA30" s="236"/>
      <c r="BB30" s="236"/>
      <c r="BC30" s="236"/>
      <c r="BD30" s="236"/>
      <c r="BE30" s="236"/>
      <c r="BF30" s="236"/>
      <c r="BG30" s="236"/>
      <c r="BH30" s="236"/>
      <c r="BI30" s="236"/>
      <c r="BJ30" s="236"/>
      <c r="BK30" s="236"/>
      <c r="BL30" s="236"/>
      <c r="BM30" s="236"/>
    </row>
    <row r="31" spans="1:65" ht="12.75" customHeight="1" x14ac:dyDescent="0.2">
      <c r="A31" s="347" t="str">
        <f ca="1">AA31</f>
        <v>Termômetro Digital, id. E.TH.LQ-010, calibrado por RBC - CAL 0439 em 15/08/2025, certificado n° E0530/25, válido até agosto/2026.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231">
        <v>1</v>
      </c>
      <c r="X31" s="231"/>
      <c r="Y31" s="231"/>
      <c r="Z31" s="231">
        <v>2</v>
      </c>
      <c r="AA31" s="265" t="str">
        <f ca="1">VLOOKUP(Z31,'Controle dos padrões'!$A$308:$B$313,2,FALSE)</f>
        <v>Termômetro Digital, id. E.TH.LQ-010, calibrado por RBC - CAL 0439 em 15/08/2025, certificado n° E0530/25, válido até agosto/2026.</v>
      </c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/>
      <c r="AS31" s="236"/>
      <c r="AT31" s="236"/>
      <c r="AU31" s="236"/>
      <c r="AV31" s="236"/>
      <c r="AW31" s="236"/>
      <c r="AX31" s="236"/>
      <c r="AY31" s="236"/>
      <c r="AZ31" s="236"/>
      <c r="BA31" s="236"/>
      <c r="BB31" s="236"/>
      <c r="BC31" s="236"/>
      <c r="BD31" s="236"/>
      <c r="BE31" s="236"/>
      <c r="BF31" s="236"/>
      <c r="BG31" s="236"/>
      <c r="BH31" s="236"/>
      <c r="BI31" s="236"/>
      <c r="BJ31" s="236"/>
      <c r="BK31" s="236"/>
      <c r="BL31" s="236"/>
      <c r="BM31" s="236"/>
    </row>
    <row r="32" spans="1:65" ht="12.75" customHeight="1" x14ac:dyDescent="0.2">
      <c r="A32" s="347"/>
      <c r="B32" s="347"/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231">
        <v>1</v>
      </c>
      <c r="X32" s="231"/>
      <c r="Y32" s="231"/>
      <c r="Z32" s="231"/>
      <c r="AA32" s="232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</row>
    <row r="33" spans="1:65" ht="12.75" customHeight="1" x14ac:dyDescent="0.2">
      <c r="A33" s="347" t="str">
        <f ca="1">AA33</f>
        <v>Termohigrômetro Digital, id. E.TH.LQ-001, calibrado por RBC - CAL 0439 em 28/06/2025, certificado n° E0397A/25, válido até junho/2026.</v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231">
        <v>1</v>
      </c>
      <c r="X33" s="231"/>
      <c r="Y33" s="231"/>
      <c r="Z33" s="231">
        <v>3</v>
      </c>
      <c r="AA33" s="265" t="str">
        <f ca="1">VLOOKUP(Z33,'Controle dos padrões'!$A$308:$B$313,2,FALSE)</f>
        <v>Termohigrômetro Digital, id. E.TH.LQ-001, calibrado por RBC - CAL 0439 em 28/06/2025, certificado n° E0397A/25, válido até junho/2026.</v>
      </c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</row>
    <row r="34" spans="1:65" ht="12.75" customHeight="1" x14ac:dyDescent="0.2">
      <c r="A34" s="347"/>
      <c r="B34" s="347"/>
      <c r="C34" s="347"/>
      <c r="D34" s="347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7"/>
      <c r="W34" s="231">
        <v>1</v>
      </c>
      <c r="X34" s="231"/>
      <c r="Y34" s="231"/>
      <c r="Z34" s="231"/>
      <c r="AA34" s="232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</row>
    <row r="35" spans="1:65" ht="12.75" customHeight="1" x14ac:dyDescent="0.2">
      <c r="A35" s="347" t="str">
        <f ca="1">AA35</f>
        <v>Barômetro Digital, id. E.TH.LQ-001, calibrado por RBC - CAL 0439 em 14/06/2025, certificado n° E0397B/25, válido até junho/2026.</v>
      </c>
      <c r="B35" s="347"/>
      <c r="C35" s="347"/>
      <c r="D35" s="347"/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7"/>
      <c r="V35" s="347"/>
      <c r="W35" s="281">
        <f ca="1">IF(A35="",0,1)</f>
        <v>1</v>
      </c>
      <c r="X35" s="231"/>
      <c r="Y35" s="231"/>
      <c r="Z35" s="231">
        <v>4</v>
      </c>
      <c r="AA35" s="265" t="str">
        <f ca="1">VLOOKUP(Z35,'Controle dos padrões'!$A$308:$B$313,2,FALSE)</f>
        <v>Barômetro Digital, id. E.TH.LQ-001, calibrado por RBC - CAL 0439 em 14/06/2025, certificado n° E0397B/25, válido até junho/2026.</v>
      </c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6"/>
      <c r="BF35" s="236"/>
      <c r="BG35" s="236"/>
      <c r="BH35" s="236"/>
      <c r="BI35" s="236"/>
      <c r="BJ35" s="236"/>
      <c r="BK35" s="236"/>
      <c r="BL35" s="236"/>
      <c r="BM35" s="236"/>
    </row>
    <row r="36" spans="1:65" ht="12.75" customHeight="1" x14ac:dyDescent="0.2">
      <c r="A36" s="347"/>
      <c r="B36" s="347"/>
      <c r="C36" s="347"/>
      <c r="D36" s="347"/>
      <c r="E36" s="347"/>
      <c r="F36" s="347"/>
      <c r="G36" s="347"/>
      <c r="H36" s="347"/>
      <c r="I36" s="347"/>
      <c r="J36" s="347"/>
      <c r="K36" s="347"/>
      <c r="L36" s="347"/>
      <c r="M36" s="347"/>
      <c r="N36" s="347"/>
      <c r="O36" s="347"/>
      <c r="P36" s="347"/>
      <c r="Q36" s="347"/>
      <c r="R36" s="347"/>
      <c r="S36" s="347"/>
      <c r="T36" s="347"/>
      <c r="U36" s="347"/>
      <c r="V36" s="347"/>
      <c r="W36" s="281">
        <f ca="1">W35</f>
        <v>1</v>
      </c>
      <c r="X36" s="231"/>
      <c r="Y36" s="231"/>
      <c r="Z36" s="231"/>
      <c r="AA36" s="232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6"/>
      <c r="BF36" s="236"/>
      <c r="BG36" s="236"/>
      <c r="BH36" s="236"/>
      <c r="BI36" s="236"/>
      <c r="BJ36" s="236"/>
      <c r="BK36" s="236"/>
      <c r="BL36" s="236"/>
      <c r="BM36" s="236"/>
    </row>
    <row r="37" spans="1:65" ht="12.75" hidden="1" customHeight="1" x14ac:dyDescent="0.2">
      <c r="A37" s="347" t="str">
        <f ca="1">AA37</f>
        <v/>
      </c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281">
        <f ca="1">IF(A37="",0,1)</f>
        <v>0</v>
      </c>
      <c r="X37" s="231"/>
      <c r="Y37" s="231"/>
      <c r="Z37" s="231">
        <v>5</v>
      </c>
      <c r="AA37" s="265" t="str">
        <f ca="1">VLOOKUP(Z37,'Controle dos padrões'!$A$308:$B$313,2,FALSE)</f>
        <v/>
      </c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6"/>
      <c r="BF37" s="236"/>
      <c r="BG37" s="236"/>
      <c r="BH37" s="236"/>
      <c r="BI37" s="236"/>
      <c r="BJ37" s="236"/>
      <c r="BK37" s="236"/>
      <c r="BL37" s="236"/>
      <c r="BM37" s="236"/>
    </row>
    <row r="38" spans="1:65" ht="12.75" hidden="1" customHeight="1" x14ac:dyDescent="0.2">
      <c r="A38" s="347"/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7"/>
      <c r="W38" s="281">
        <f ca="1">W37</f>
        <v>0</v>
      </c>
      <c r="X38" s="231"/>
      <c r="Y38" s="231"/>
      <c r="Z38" s="231"/>
      <c r="AA38" s="232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</row>
    <row r="39" spans="1:65" ht="12.75" hidden="1" customHeight="1" x14ac:dyDescent="0.2">
      <c r="A39" s="347" t="str">
        <f ca="1">AA39</f>
        <v/>
      </c>
      <c r="B39" s="347"/>
      <c r="C39" s="347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7"/>
      <c r="W39" s="281">
        <f ca="1">IF(A39="",0,1)</f>
        <v>0</v>
      </c>
      <c r="X39" s="231"/>
      <c r="Y39" s="231"/>
      <c r="Z39" s="231">
        <v>6</v>
      </c>
      <c r="AA39" s="265" t="str">
        <f ca="1">VLOOKUP(Z39,'Controle dos padrões'!$A$308:$B$313,2,FALSE)</f>
        <v/>
      </c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6"/>
      <c r="BF39" s="236"/>
      <c r="BG39" s="236"/>
      <c r="BH39" s="236"/>
      <c r="BI39" s="236"/>
      <c r="BJ39" s="236"/>
      <c r="BK39" s="236"/>
      <c r="BL39" s="236"/>
      <c r="BM39" s="236"/>
    </row>
    <row r="40" spans="1:65" ht="12.75" hidden="1" customHeight="1" x14ac:dyDescent="0.2">
      <c r="A40" s="347"/>
      <c r="B40" s="347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7"/>
      <c r="V40" s="347"/>
      <c r="W40" s="281">
        <f ca="1">W39</f>
        <v>0</v>
      </c>
      <c r="X40" s="231"/>
      <c r="Y40" s="231"/>
      <c r="Z40" s="231"/>
      <c r="AA40" s="232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6"/>
      <c r="BK40" s="236"/>
      <c r="BL40" s="236"/>
      <c r="BM40" s="236"/>
    </row>
    <row r="41" spans="1:65" ht="7.5" customHeight="1" x14ac:dyDescent="0.2">
      <c r="A41" s="271"/>
      <c r="B41" s="271"/>
      <c r="C41" s="271"/>
      <c r="D41" s="271"/>
      <c r="E41" s="271"/>
      <c r="F41" s="271"/>
      <c r="G41" s="271"/>
      <c r="H41" s="271"/>
      <c r="I41" s="271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31">
        <v>1</v>
      </c>
      <c r="X41" s="231"/>
      <c r="Y41" s="231"/>
      <c r="Z41" s="231"/>
      <c r="AA41" s="232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6"/>
      <c r="BK41" s="236"/>
      <c r="BL41" s="236"/>
      <c r="BM41" s="236"/>
    </row>
    <row r="42" spans="1:65" ht="12.75" customHeight="1" x14ac:dyDescent="0.2">
      <c r="A42" s="240" t="s">
        <v>507</v>
      </c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31">
        <v>1</v>
      </c>
      <c r="X42" s="231"/>
      <c r="Y42" s="231"/>
      <c r="Z42" s="231"/>
      <c r="AA42" s="232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6"/>
      <c r="BK42" s="236"/>
      <c r="BL42" s="236"/>
      <c r="BM42" s="236"/>
    </row>
    <row r="43" spans="1:65" ht="12.75" customHeight="1" x14ac:dyDescent="0.2">
      <c r="A43" s="344" t="str">
        <f ca="1">IF(OR(AA44=0,AA44="Não aplicável"),CONCATENATE("A calibração foi realizada pelo método gravimétrico, baseado no Procedimento PCVM-002. Os valores obtidos foram herdados pela média de ",AA43," medições."),CONCATENATE("A calibração foi realizada pelo método gravimétrico, baseado no Procedimento PCVM-002. Os valores obtidos foram herdados pela média de ",AA43," medições, e operação pelo metodo ",LOWER(AA44),"."))</f>
        <v>A calibração foi realizada pelo método gravimétrico, baseado no Procedimento PCVM-002. Os valores obtidos foram herdados pela média de 10 medições, e operação pelo metodo normal.</v>
      </c>
      <c r="B43" s="344"/>
      <c r="C43" s="344"/>
      <c r="D43" s="344"/>
      <c r="E43" s="344"/>
      <c r="F43" s="344"/>
      <c r="G43" s="344"/>
      <c r="H43" s="344"/>
      <c r="I43" s="344"/>
      <c r="J43" s="344"/>
      <c r="K43" s="344"/>
      <c r="L43" s="344"/>
      <c r="M43" s="344"/>
      <c r="N43" s="344"/>
      <c r="O43" s="344"/>
      <c r="P43" s="344"/>
      <c r="Q43" s="344"/>
      <c r="R43" s="344"/>
      <c r="S43" s="344"/>
      <c r="T43" s="344"/>
      <c r="U43" s="344"/>
      <c r="V43" s="344"/>
      <c r="W43" s="231">
        <v>1</v>
      </c>
      <c r="X43" s="231"/>
      <c r="Y43" s="231"/>
      <c r="Z43" s="231"/>
      <c r="AA43" s="265">
        <f ca="1">'Controle dos padrões'!AB121</f>
        <v>10</v>
      </c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</row>
    <row r="44" spans="1:65" ht="12.75" customHeight="1" x14ac:dyDescent="0.2">
      <c r="A44" s="344"/>
      <c r="B44" s="344"/>
      <c r="C44" s="344"/>
      <c r="D44" s="344"/>
      <c r="E44" s="344"/>
      <c r="F44" s="344"/>
      <c r="G44" s="344"/>
      <c r="H44" s="344"/>
      <c r="I44" s="344"/>
      <c r="J44" s="344"/>
      <c r="K44" s="344"/>
      <c r="L44" s="344"/>
      <c r="M44" s="344"/>
      <c r="N44" s="344"/>
      <c r="O44" s="344"/>
      <c r="P44" s="344"/>
      <c r="Q44" s="344"/>
      <c r="R44" s="344"/>
      <c r="S44" s="344"/>
      <c r="T44" s="344"/>
      <c r="U44" s="344"/>
      <c r="V44" s="344"/>
      <c r="W44" s="231">
        <v>1</v>
      </c>
      <c r="X44" s="231"/>
      <c r="Y44" s="231"/>
      <c r="Z44" s="231"/>
      <c r="AA44" s="265" t="str">
        <f>Dados!R14</f>
        <v>Normal</v>
      </c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6"/>
      <c r="BF44" s="236"/>
      <c r="BG44" s="236"/>
      <c r="BH44" s="236"/>
      <c r="BI44" s="236"/>
      <c r="BJ44" s="236"/>
      <c r="BK44" s="236"/>
      <c r="BL44" s="236"/>
      <c r="BM44" s="236"/>
    </row>
    <row r="45" spans="1:65" ht="7.5" customHeight="1" x14ac:dyDescent="0.2">
      <c r="A45" s="271"/>
      <c r="B45" s="271"/>
      <c r="C45" s="271"/>
      <c r="D45" s="271"/>
      <c r="E45" s="271"/>
      <c r="F45" s="271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31">
        <v>1</v>
      </c>
      <c r="X45" s="231"/>
      <c r="Y45" s="231"/>
      <c r="Z45" s="231"/>
      <c r="AA45" s="232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6"/>
      <c r="BF45" s="236"/>
      <c r="BG45" s="236"/>
      <c r="BH45" s="236"/>
      <c r="BI45" s="236"/>
      <c r="BJ45" s="236"/>
      <c r="BK45" s="236"/>
      <c r="BL45" s="236"/>
      <c r="BM45" s="236"/>
    </row>
    <row r="46" spans="1:65" ht="12.75" customHeight="1" x14ac:dyDescent="0.2">
      <c r="A46" s="240" t="s">
        <v>508</v>
      </c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2"/>
      <c r="S46" s="242"/>
      <c r="T46" s="242"/>
      <c r="U46" s="242"/>
      <c r="V46" s="242"/>
      <c r="W46" s="231">
        <v>1</v>
      </c>
      <c r="X46" s="231"/>
      <c r="Y46" s="231"/>
      <c r="Z46" s="231"/>
      <c r="AA46" s="232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6"/>
      <c r="BF46" s="236"/>
      <c r="BG46" s="236"/>
      <c r="BH46" s="236"/>
      <c r="BI46" s="236"/>
      <c r="BJ46" s="236"/>
      <c r="BK46" s="236"/>
      <c r="BL46" s="236"/>
      <c r="BM46" s="236"/>
    </row>
    <row r="47" spans="1:65" ht="12.75" customHeight="1" x14ac:dyDescent="0.2">
      <c r="A47" s="346" t="str">
        <f>IF(OR(Dados!N2="Acreditado Interno",Dados!N2="Acreditado Externo"),"- Este certificado atende aos requisitos de acreditação pela Cgcre, o qual avaliou a competência do laboratório e comprovou sua rastreabilidade a padrões nacionais de medida.","")</f>
        <v>- Este certificado atende aos requisitos de acreditação pela Cgcre, o qual avaliou a competência do laboratório e comprovou sua rastreabilidade a padrões nacionais de medida.</v>
      </c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  <c r="O47" s="346"/>
      <c r="P47" s="346"/>
      <c r="Q47" s="346"/>
      <c r="R47" s="346"/>
      <c r="S47" s="346"/>
      <c r="T47" s="346"/>
      <c r="U47" s="346"/>
      <c r="V47" s="346"/>
      <c r="W47" s="243">
        <f>IF(A47="",0,1)</f>
        <v>1</v>
      </c>
      <c r="X47" s="231"/>
      <c r="Y47" s="231"/>
      <c r="Z47" s="231"/>
      <c r="AA47" s="232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6"/>
      <c r="BF47" s="236"/>
      <c r="BG47" s="236"/>
      <c r="BH47" s="236"/>
      <c r="BI47" s="236"/>
      <c r="BJ47" s="236"/>
      <c r="BK47" s="236"/>
      <c r="BL47" s="236"/>
      <c r="BM47" s="236"/>
    </row>
    <row r="48" spans="1:65" ht="12.75" customHeight="1" x14ac:dyDescent="0.2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  <c r="O48" s="346"/>
      <c r="P48" s="346"/>
      <c r="Q48" s="346"/>
      <c r="R48" s="346"/>
      <c r="S48" s="346"/>
      <c r="T48" s="346"/>
      <c r="U48" s="346"/>
      <c r="V48" s="346"/>
      <c r="W48" s="243">
        <f>W47</f>
        <v>1</v>
      </c>
      <c r="X48" s="231"/>
      <c r="Y48" s="231"/>
      <c r="Z48" s="231"/>
      <c r="AA48" s="232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6"/>
      <c r="BF48" s="236"/>
      <c r="BG48" s="236"/>
      <c r="BH48" s="236"/>
      <c r="BI48" s="236"/>
      <c r="BJ48" s="236"/>
      <c r="BK48" s="236"/>
      <c r="BL48" s="236"/>
      <c r="BM48" s="236"/>
    </row>
    <row r="49" spans="1:65" ht="12.75" customHeight="1" x14ac:dyDescent="0.2">
      <c r="A49" s="347" t="s">
        <v>617</v>
      </c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/>
      <c r="U49" s="346"/>
      <c r="V49" s="346"/>
      <c r="W49" s="231">
        <v>1</v>
      </c>
      <c r="X49" s="231"/>
      <c r="Y49" s="231"/>
      <c r="Z49" s="231"/>
      <c r="AA49" s="232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6"/>
      <c r="BF49" s="236"/>
      <c r="BG49" s="236"/>
      <c r="BH49" s="236"/>
      <c r="BI49" s="236"/>
      <c r="BJ49" s="236"/>
      <c r="BK49" s="236"/>
      <c r="BL49" s="236"/>
      <c r="BM49" s="236"/>
    </row>
    <row r="50" spans="1:65" ht="12.75" customHeight="1" x14ac:dyDescent="0.2">
      <c r="A50" s="347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346"/>
      <c r="Q50" s="346"/>
      <c r="R50" s="346"/>
      <c r="S50" s="346"/>
      <c r="T50" s="346"/>
      <c r="U50" s="346"/>
      <c r="V50" s="346"/>
      <c r="W50" s="231">
        <v>1</v>
      </c>
      <c r="X50" s="231"/>
      <c r="Y50" s="231"/>
      <c r="Z50" s="231"/>
      <c r="AA50" s="232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6"/>
      <c r="BF50" s="236"/>
      <c r="BG50" s="236"/>
      <c r="BH50" s="236"/>
      <c r="BI50" s="236"/>
      <c r="BJ50" s="236"/>
      <c r="BK50" s="236"/>
      <c r="BL50" s="236"/>
      <c r="BM50" s="236"/>
    </row>
    <row r="51" spans="1:65" ht="12.75" customHeight="1" x14ac:dyDescent="0.2">
      <c r="A51" s="347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  <c r="O51" s="346"/>
      <c r="P51" s="346"/>
      <c r="Q51" s="346"/>
      <c r="R51" s="346"/>
      <c r="S51" s="346"/>
      <c r="T51" s="346"/>
      <c r="U51" s="346"/>
      <c r="V51" s="346"/>
      <c r="W51" s="231">
        <v>1</v>
      </c>
      <c r="X51" s="231"/>
      <c r="Y51" s="231"/>
      <c r="Z51" s="231"/>
      <c r="AA51" s="232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  <c r="BM51" s="236"/>
    </row>
    <row r="52" spans="1:65" ht="12.75" customHeight="1" x14ac:dyDescent="0.2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  <c r="O52" s="346"/>
      <c r="P52" s="346"/>
      <c r="Q52" s="346"/>
      <c r="R52" s="346"/>
      <c r="S52" s="346"/>
      <c r="T52" s="346"/>
      <c r="U52" s="346"/>
      <c r="V52" s="346"/>
      <c r="W52" s="231">
        <v>1</v>
      </c>
      <c r="X52" s="231"/>
      <c r="Y52" s="231"/>
      <c r="Z52" s="231"/>
      <c r="AA52" s="232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6"/>
      <c r="BF52" s="236"/>
      <c r="BG52" s="236"/>
      <c r="BH52" s="236"/>
      <c r="BI52" s="236"/>
      <c r="BJ52" s="236"/>
      <c r="BK52" s="236"/>
      <c r="BL52" s="236"/>
      <c r="BM52" s="236"/>
    </row>
    <row r="53" spans="1:65" ht="12.75" hidden="1" customHeight="1" x14ac:dyDescent="0.2">
      <c r="A53" s="345" t="str">
        <f>IF(Dados!B27="","",CONCATENATE("- ",Dados!B27,"."))</f>
        <v/>
      </c>
      <c r="B53" s="345"/>
      <c r="C53" s="345"/>
      <c r="D53" s="345"/>
      <c r="E53" s="345"/>
      <c r="F53" s="345"/>
      <c r="G53" s="345"/>
      <c r="H53" s="345"/>
      <c r="I53" s="345"/>
      <c r="J53" s="345"/>
      <c r="K53" s="345"/>
      <c r="L53" s="345"/>
      <c r="M53" s="345"/>
      <c r="N53" s="345"/>
      <c r="O53" s="345"/>
      <c r="P53" s="345"/>
      <c r="Q53" s="345"/>
      <c r="R53" s="345"/>
      <c r="S53" s="345"/>
      <c r="T53" s="345"/>
      <c r="U53" s="345"/>
      <c r="V53" s="345"/>
      <c r="W53" s="284">
        <f>IF(A53="",0,1)</f>
        <v>0</v>
      </c>
      <c r="X53" s="231"/>
      <c r="Y53" s="231"/>
      <c r="Z53" s="231"/>
      <c r="AA53" s="232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6"/>
      <c r="BF53" s="236"/>
      <c r="BG53" s="236"/>
      <c r="BH53" s="236"/>
      <c r="BI53" s="236"/>
      <c r="BJ53" s="236"/>
      <c r="BK53" s="236"/>
      <c r="BL53" s="236"/>
      <c r="BM53" s="236"/>
    </row>
    <row r="54" spans="1:65" ht="12.75" hidden="1" customHeight="1" x14ac:dyDescent="0.2">
      <c r="A54" s="345"/>
      <c r="B54" s="345"/>
      <c r="C54" s="345"/>
      <c r="D54" s="345"/>
      <c r="E54" s="345"/>
      <c r="F54" s="345"/>
      <c r="G54" s="345"/>
      <c r="H54" s="345"/>
      <c r="I54" s="345"/>
      <c r="J54" s="345"/>
      <c r="K54" s="345"/>
      <c r="L54" s="345"/>
      <c r="M54" s="345"/>
      <c r="N54" s="345"/>
      <c r="O54" s="345"/>
      <c r="P54" s="345"/>
      <c r="Q54" s="345"/>
      <c r="R54" s="345"/>
      <c r="S54" s="345"/>
      <c r="T54" s="345"/>
      <c r="U54" s="345"/>
      <c r="V54" s="345"/>
      <c r="W54" s="284">
        <f>W53</f>
        <v>0</v>
      </c>
      <c r="X54" s="231"/>
      <c r="Y54" s="231"/>
      <c r="Z54" s="231"/>
      <c r="AA54" s="232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6"/>
      <c r="BF54" s="236"/>
      <c r="BG54" s="236"/>
      <c r="BH54" s="236"/>
      <c r="BI54" s="236"/>
      <c r="BJ54" s="236"/>
      <c r="BK54" s="236"/>
      <c r="BL54" s="236"/>
      <c r="BM54" s="236"/>
    </row>
    <row r="55" spans="1:65" ht="7.5" customHeight="1" x14ac:dyDescent="0.2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273"/>
      <c r="R55" s="273"/>
      <c r="S55" s="273"/>
      <c r="T55" s="273"/>
      <c r="U55" s="273"/>
      <c r="V55" s="273"/>
      <c r="W55" s="231">
        <v>1</v>
      </c>
      <c r="X55" s="231"/>
      <c r="Y55" s="231"/>
      <c r="Z55" s="231"/>
      <c r="AA55" s="232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6"/>
      <c r="BF55" s="236"/>
      <c r="BG55" s="236"/>
      <c r="BH55" s="236"/>
      <c r="BI55" s="236"/>
      <c r="BJ55" s="236"/>
      <c r="BK55" s="236"/>
      <c r="BL55" s="236"/>
      <c r="BM55" s="236"/>
    </row>
    <row r="56" spans="1:65" ht="12.75" customHeight="1" x14ac:dyDescent="0.2">
      <c r="A56" s="240" t="s">
        <v>607</v>
      </c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273"/>
      <c r="R56" s="273"/>
      <c r="S56" s="273"/>
      <c r="T56" s="273"/>
      <c r="U56" s="273"/>
      <c r="V56" s="273"/>
      <c r="W56" s="283">
        <f>X56</f>
        <v>1</v>
      </c>
      <c r="X56" s="231">
        <f>IF(OR(Z56&gt;1,AC56&gt;3),0,1)</f>
        <v>1</v>
      </c>
      <c r="Y56" s="231"/>
      <c r="Z56" s="231">
        <f>Dados!R15</f>
        <v>1</v>
      </c>
      <c r="AA56" s="231"/>
      <c r="AB56" s="231"/>
      <c r="AC56" s="231">
        <f>Dados!W15</f>
        <v>3</v>
      </c>
      <c r="AD56" s="231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6"/>
      <c r="AW56" s="236"/>
      <c r="AX56" s="236"/>
      <c r="AY56" s="236"/>
      <c r="AZ56" s="236"/>
      <c r="BA56" s="236"/>
      <c r="BB56" s="236"/>
      <c r="BC56" s="236"/>
      <c r="BD56" s="236"/>
      <c r="BE56" s="236"/>
      <c r="BF56" s="236"/>
      <c r="BG56" s="236"/>
      <c r="BH56" s="236"/>
      <c r="BI56" s="236"/>
      <c r="BJ56" s="236"/>
      <c r="BK56" s="236"/>
      <c r="BL56" s="236"/>
      <c r="BM56" s="236"/>
    </row>
    <row r="57" spans="1:65" ht="7.5" customHeight="1" x14ac:dyDescent="0.2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273"/>
      <c r="R57" s="273"/>
      <c r="S57" s="273"/>
      <c r="T57" s="273"/>
      <c r="U57" s="273"/>
      <c r="V57" s="273"/>
      <c r="W57" s="283">
        <f>W56</f>
        <v>1</v>
      </c>
      <c r="X57" s="231"/>
      <c r="Y57" s="231"/>
      <c r="Z57" s="231"/>
      <c r="AA57" s="232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6"/>
      <c r="BF57" s="236"/>
      <c r="BG57" s="236"/>
      <c r="BH57" s="236"/>
      <c r="BI57" s="236"/>
      <c r="BJ57" s="236"/>
      <c r="BK57" s="236"/>
      <c r="BL57" s="236"/>
      <c r="BM57" s="236"/>
    </row>
    <row r="58" spans="1:65" ht="12.75" customHeight="1" x14ac:dyDescent="0.2">
      <c r="A58" s="273"/>
      <c r="B58" s="330" t="s">
        <v>608</v>
      </c>
      <c r="C58" s="331"/>
      <c r="D58" s="331"/>
      <c r="E58" s="331" t="s">
        <v>633</v>
      </c>
      <c r="F58" s="331"/>
      <c r="G58" s="331"/>
      <c r="H58" s="331" t="s">
        <v>609</v>
      </c>
      <c r="I58" s="331"/>
      <c r="J58" s="331"/>
      <c r="K58" s="331"/>
      <c r="L58" s="334" t="s">
        <v>510</v>
      </c>
      <c r="M58" s="334"/>
      <c r="N58" s="334"/>
      <c r="O58" s="334" t="s">
        <v>511</v>
      </c>
      <c r="P58" s="334"/>
      <c r="Q58" s="334"/>
      <c r="R58" s="334" t="s">
        <v>293</v>
      </c>
      <c r="S58" s="334"/>
      <c r="T58" s="334" t="s">
        <v>167</v>
      </c>
      <c r="U58" s="336"/>
      <c r="V58" s="273"/>
      <c r="W58" s="283">
        <f>W57</f>
        <v>1</v>
      </c>
      <c r="X58" s="231"/>
      <c r="Y58" s="231"/>
      <c r="Z58" s="231"/>
      <c r="AA58" s="232">
        <v>5</v>
      </c>
      <c r="AE58" s="232">
        <v>5</v>
      </c>
      <c r="AF58" s="236"/>
      <c r="AG58" s="236"/>
      <c r="AH58" s="236"/>
      <c r="AI58" s="232">
        <v>5</v>
      </c>
      <c r="AJ58" s="236"/>
      <c r="AK58" s="236"/>
      <c r="AL58" s="232">
        <v>5</v>
      </c>
      <c r="AM58" s="236"/>
      <c r="AN58" s="236"/>
      <c r="AO58" s="232">
        <v>5</v>
      </c>
      <c r="AP58" s="236"/>
      <c r="AQ58" s="236"/>
      <c r="AR58" s="232">
        <v>5</v>
      </c>
      <c r="AS58" s="236"/>
      <c r="AT58" s="236"/>
      <c r="AU58" s="236"/>
      <c r="AV58" s="236" t="s">
        <v>137</v>
      </c>
      <c r="AW58" s="236"/>
      <c r="AX58" s="236"/>
      <c r="AY58" s="236" t="s">
        <v>643</v>
      </c>
      <c r="AZ58" s="236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  <c r="BM58" s="236"/>
    </row>
    <row r="59" spans="1:65" ht="12.75" customHeight="1" x14ac:dyDescent="0.2">
      <c r="A59" s="273"/>
      <c r="B59" s="332"/>
      <c r="C59" s="333"/>
      <c r="D59" s="333"/>
      <c r="E59" s="333"/>
      <c r="F59" s="333"/>
      <c r="G59" s="333"/>
      <c r="H59" s="333"/>
      <c r="I59" s="333"/>
      <c r="J59" s="333"/>
      <c r="K59" s="333"/>
      <c r="L59" s="335"/>
      <c r="M59" s="335"/>
      <c r="N59" s="335"/>
      <c r="O59" s="335"/>
      <c r="P59" s="335"/>
      <c r="Q59" s="335"/>
      <c r="R59" s="335"/>
      <c r="S59" s="335"/>
      <c r="T59" s="335"/>
      <c r="U59" s="337"/>
      <c r="V59" s="273"/>
      <c r="W59" s="283">
        <f>W58</f>
        <v>1</v>
      </c>
      <c r="X59" s="231"/>
      <c r="Y59" s="231"/>
      <c r="Z59" s="231"/>
      <c r="AA59" s="232" t="s">
        <v>610</v>
      </c>
      <c r="AE59" s="232" t="s">
        <v>611</v>
      </c>
      <c r="AF59" s="236"/>
      <c r="AG59" s="290" t="str">
        <f>'Resultados - 1'!$G$12</f>
        <v>µL</v>
      </c>
      <c r="AH59" s="236"/>
      <c r="AI59" s="232" t="s">
        <v>612</v>
      </c>
      <c r="AJ59" s="236"/>
      <c r="AK59" s="236"/>
      <c r="AL59" s="232" t="s">
        <v>613</v>
      </c>
      <c r="AM59" s="236"/>
      <c r="AN59" s="236"/>
      <c r="AO59" s="232" t="s">
        <v>616</v>
      </c>
      <c r="AP59" s="236"/>
      <c r="AQ59" s="236"/>
      <c r="AR59" s="232" t="s">
        <v>512</v>
      </c>
      <c r="AS59" s="236"/>
      <c r="AT59" s="236"/>
      <c r="AU59" s="232">
        <f ca="1">MAX(AU60:AU255)</f>
        <v>2.77</v>
      </c>
      <c r="AV59" s="232">
        <f ca="1">VLOOKUP(AU59,AU60:AV255,2,FALSE)</f>
        <v>2.77</v>
      </c>
      <c r="AW59" s="236"/>
      <c r="AX59" s="236"/>
      <c r="AY59" s="232">
        <f ca="1">MAX(AY60:AY255)</f>
        <v>0.1</v>
      </c>
      <c r="AZ59" s="236"/>
      <c r="BA59" s="236"/>
      <c r="BB59" s="236"/>
      <c r="BC59" s="236"/>
      <c r="BD59" s="236"/>
      <c r="BE59" s="236"/>
      <c r="BF59" s="236"/>
      <c r="BG59" s="236"/>
      <c r="BH59" s="236"/>
      <c r="BI59" s="236"/>
      <c r="BJ59" s="236"/>
      <c r="BK59" s="236"/>
      <c r="BL59" s="236"/>
      <c r="BM59" s="236"/>
    </row>
    <row r="60" spans="1:65" ht="12.75" customHeight="1" x14ac:dyDescent="0.2">
      <c r="A60" s="273"/>
      <c r="B60" s="327" t="str">
        <f ca="1">AA60</f>
        <v>100</v>
      </c>
      <c r="C60" s="328"/>
      <c r="D60" s="328"/>
      <c r="E60" s="328" t="str">
        <f ca="1">IF(B60="","",AG59)</f>
        <v>µL</v>
      </c>
      <c r="F60" s="328"/>
      <c r="G60" s="328"/>
      <c r="H60" s="328" t="str">
        <f ca="1">AE60</f>
        <v>100,382</v>
      </c>
      <c r="I60" s="328"/>
      <c r="J60" s="328"/>
      <c r="K60" s="328"/>
      <c r="L60" s="328" t="str">
        <f ca="1">AI60</f>
        <v>-0,382</v>
      </c>
      <c r="M60" s="328"/>
      <c r="N60" s="328"/>
      <c r="O60" s="328" t="str">
        <f ca="1">AL60</f>
        <v>0,050</v>
      </c>
      <c r="P60" s="328"/>
      <c r="Q60" s="328"/>
      <c r="R60" s="328" t="str">
        <f ca="1">AO60</f>
        <v>2,01</v>
      </c>
      <c r="S60" s="328"/>
      <c r="T60" s="328" t="str">
        <f ca="1">AR60</f>
        <v>277</v>
      </c>
      <c r="U60" s="329"/>
      <c r="V60" s="273"/>
      <c r="W60" s="283">
        <f>W59</f>
        <v>1</v>
      </c>
      <c r="X60" s="231"/>
      <c r="Y60" s="231"/>
      <c r="Z60" s="231">
        <v>1</v>
      </c>
      <c r="AA60" s="232" t="str">
        <f ca="1">IF(AE60="","",VLOOKUP(CONCATENATE($Z60,AA$59),'Resultados - 1'!$A$10:$G$155,AA$58,FALSE))</f>
        <v>100</v>
      </c>
      <c r="AE60" s="232" t="str">
        <f ca="1">VLOOKUP(CONCATENATE($Z60,AE$59),'Resultados - 1'!$A$10:$G$155,AE$58,FALSE)</f>
        <v>100,382</v>
      </c>
      <c r="AF60" s="236"/>
      <c r="AG60" s="236"/>
      <c r="AH60" s="236"/>
      <c r="AI60" s="232" t="str">
        <f ca="1">VLOOKUP(CONCATENATE($Z60,AI$59),'Resultados - 1'!$A$10:$G$155,AI$58,FALSE)</f>
        <v>-0,382</v>
      </c>
      <c r="AJ60" s="236"/>
      <c r="AK60" s="236"/>
      <c r="AL60" s="232" t="str">
        <f ca="1">VLOOKUP(CONCATENATE($Z60,AL$59),'Resultados - 1'!$A$10:$G$155,AL$58,FALSE)</f>
        <v>0,050</v>
      </c>
      <c r="AM60" s="236"/>
      <c r="AN60" s="236"/>
      <c r="AO60" s="232" t="str">
        <f ca="1">VLOOKUP(CONCATENATE($Z60,AO$59),'Resultados - 1'!$A$10:$G$155,AO$58,FALSE)</f>
        <v>2,01</v>
      </c>
      <c r="AP60" s="236"/>
      <c r="AQ60" s="236"/>
      <c r="AR60" s="232" t="str">
        <f ca="1">VLOOKUP(CONCATENATE($Z60,AR$59),'Resultados - 1'!$A$10:$G$155,AR$58,FALSE)</f>
        <v>277</v>
      </c>
      <c r="AS60" s="236"/>
      <c r="AT60" s="236"/>
      <c r="AU60" s="232">
        <f ca="1">ABS(AV60)</f>
        <v>0.38200000000000001</v>
      </c>
      <c r="AV60" s="232">
        <f ca="1">IF(AI60="",0,AI60*1)</f>
        <v>-0.38200000000000001</v>
      </c>
      <c r="AW60" s="236"/>
      <c r="AX60" s="236"/>
      <c r="AY60" s="232">
        <f ca="1">IF(AL60="",0,AL60*1)</f>
        <v>0.05</v>
      </c>
      <c r="AZ60" s="236"/>
      <c r="BA60" s="236"/>
      <c r="BB60" s="236"/>
      <c r="BC60" s="236"/>
      <c r="BD60" s="236"/>
      <c r="BE60" s="236"/>
      <c r="BF60" s="236"/>
      <c r="BG60" s="236"/>
      <c r="BH60" s="236"/>
      <c r="BI60" s="236"/>
      <c r="BJ60" s="236"/>
      <c r="BK60" s="236"/>
      <c r="BL60" s="236"/>
      <c r="BM60" s="236"/>
    </row>
    <row r="61" spans="1:65" ht="12.75" customHeight="1" x14ac:dyDescent="0.2">
      <c r="A61" s="273"/>
      <c r="B61" s="327" t="str">
        <f t="shared" ref="B61:B62" ca="1" si="0">AA61</f>
        <v>500</v>
      </c>
      <c r="C61" s="328"/>
      <c r="D61" s="328"/>
      <c r="E61" s="328" t="str">
        <f ca="1">IF(B61="","",E60)</f>
        <v>µL</v>
      </c>
      <c r="F61" s="328"/>
      <c r="G61" s="328"/>
      <c r="H61" s="328" t="str">
        <f t="shared" ref="H61:H62" ca="1" si="1">AE61</f>
        <v>497,560</v>
      </c>
      <c r="I61" s="328"/>
      <c r="J61" s="328"/>
      <c r="K61" s="328"/>
      <c r="L61" s="328" t="str">
        <f t="shared" ref="L61:L62" ca="1" si="2">AI61</f>
        <v>2,440</v>
      </c>
      <c r="M61" s="328"/>
      <c r="N61" s="328"/>
      <c r="O61" s="328" t="str">
        <f t="shared" ref="O61:O62" ca="1" si="3">AL61</f>
        <v>0,060</v>
      </c>
      <c r="P61" s="328"/>
      <c r="Q61" s="328"/>
      <c r="R61" s="328" t="str">
        <f t="shared" ref="R61:R62" ca="1" si="4">AO61</f>
        <v>2,00</v>
      </c>
      <c r="S61" s="328"/>
      <c r="T61" s="328" t="str">
        <f t="shared" ref="T61:T62" ca="1" si="5">AR61</f>
        <v>∞</v>
      </c>
      <c r="U61" s="329"/>
      <c r="V61" s="273"/>
      <c r="W61" s="282">
        <f ca="1">IF($X$56=0,0,IF(B61="",0,1))</f>
        <v>1</v>
      </c>
      <c r="X61" s="231"/>
      <c r="Y61" s="231"/>
      <c r="Z61" s="231">
        <v>2</v>
      </c>
      <c r="AA61" s="232" t="str">
        <f ca="1">IF(AE61="","",VLOOKUP(CONCATENATE($Z61,AA$59),'Resultados - 1'!$A$10:$G$155,AA$58,FALSE))</f>
        <v>500</v>
      </c>
      <c r="AE61" s="232" t="str">
        <f ca="1">VLOOKUP(CONCATENATE($Z61,AE$59),'Resultados - 1'!$A$10:$G$155,AE$58,FALSE)</f>
        <v>497,560</v>
      </c>
      <c r="AF61" s="236"/>
      <c r="AG61" s="236"/>
      <c r="AH61" s="236"/>
      <c r="AI61" s="232" t="str">
        <f ca="1">VLOOKUP(CONCATENATE($Z61,AI$59),'Resultados - 1'!$A$10:$G$155,AI$58,FALSE)</f>
        <v>2,440</v>
      </c>
      <c r="AJ61" s="236"/>
      <c r="AK61" s="236"/>
      <c r="AL61" s="232" t="str">
        <f ca="1">VLOOKUP(CONCATENATE($Z61,AL$59),'Resultados - 1'!$A$10:$G$155,AL$58,FALSE)</f>
        <v>0,060</v>
      </c>
      <c r="AM61" s="236"/>
      <c r="AN61" s="236"/>
      <c r="AO61" s="232" t="str">
        <f ca="1">VLOOKUP(CONCATENATE($Z61,AO$59),'Resultados - 1'!$A$10:$G$155,AO$58,FALSE)</f>
        <v>2,00</v>
      </c>
      <c r="AP61" s="236"/>
      <c r="AQ61" s="236"/>
      <c r="AR61" s="232" t="str">
        <f ca="1">VLOOKUP(CONCATENATE($Z61,AR$59),'Resultados - 1'!$A$10:$G$155,AR$58,FALSE)</f>
        <v>∞</v>
      </c>
      <c r="AS61" s="236"/>
      <c r="AT61" s="236"/>
      <c r="AU61" s="232">
        <f t="shared" ref="AU61:AU62" ca="1" si="6">ABS(AV61)</f>
        <v>2.44</v>
      </c>
      <c r="AV61" s="232">
        <f t="shared" ref="AV61:AV62" ca="1" si="7">IF(AI61="",0,AI61*1)</f>
        <v>2.44</v>
      </c>
      <c r="AW61" s="236"/>
      <c r="AX61" s="236"/>
      <c r="AY61" s="232">
        <f t="shared" ref="AY61:AY62" ca="1" si="8">IF(AL61="",0,AL61*1)</f>
        <v>0.06</v>
      </c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  <c r="BM61" s="236"/>
    </row>
    <row r="62" spans="1:65" ht="12.75" customHeight="1" x14ac:dyDescent="0.2">
      <c r="A62" s="273"/>
      <c r="B62" s="327" t="str">
        <f t="shared" ca="1" si="0"/>
        <v>1.000</v>
      </c>
      <c r="C62" s="328"/>
      <c r="D62" s="328"/>
      <c r="E62" s="328" t="str">
        <f t="shared" ref="E62" ca="1" si="9">IF(B62="","",E61)</f>
        <v>µL</v>
      </c>
      <c r="F62" s="328"/>
      <c r="G62" s="328"/>
      <c r="H62" s="328" t="str">
        <f t="shared" ca="1" si="1"/>
        <v>997,23</v>
      </c>
      <c r="I62" s="328"/>
      <c r="J62" s="328"/>
      <c r="K62" s="328"/>
      <c r="L62" s="328" t="str">
        <f t="shared" ca="1" si="2"/>
        <v>2,77</v>
      </c>
      <c r="M62" s="328"/>
      <c r="N62" s="328"/>
      <c r="O62" s="328" t="str">
        <f t="shared" ca="1" si="3"/>
        <v>0,10</v>
      </c>
      <c r="P62" s="328"/>
      <c r="Q62" s="328"/>
      <c r="R62" s="328" t="str">
        <f t="shared" ca="1" si="4"/>
        <v>2,00</v>
      </c>
      <c r="S62" s="328"/>
      <c r="T62" s="328" t="str">
        <f t="shared" ca="1" si="5"/>
        <v>∞</v>
      </c>
      <c r="U62" s="329"/>
      <c r="V62" s="273"/>
      <c r="W62" s="282">
        <f ca="1">IF($X$56=0,0,IF(B62="",0,1))</f>
        <v>1</v>
      </c>
      <c r="X62" s="231"/>
      <c r="Y62" s="231"/>
      <c r="Z62" s="231">
        <v>3</v>
      </c>
      <c r="AA62" s="232" t="str">
        <f ca="1">IF(AE62="","",VLOOKUP(CONCATENATE($Z62,AA$59),'Resultados - 1'!$A$10:$G$155,AA$58,FALSE))</f>
        <v>1.000</v>
      </c>
      <c r="AE62" s="232" t="str">
        <f ca="1">VLOOKUP(CONCATENATE($Z62,AE$59),'Resultados - 1'!$A$10:$G$155,AE$58,FALSE)</f>
        <v>997,23</v>
      </c>
      <c r="AF62" s="236"/>
      <c r="AG62" s="236"/>
      <c r="AH62" s="236"/>
      <c r="AI62" s="232" t="str">
        <f ca="1">VLOOKUP(CONCATENATE($Z62,AI$59),'Resultados - 1'!$A$10:$G$155,AI$58,FALSE)</f>
        <v>2,77</v>
      </c>
      <c r="AJ62" s="236"/>
      <c r="AK62" s="236"/>
      <c r="AL62" s="232" t="str">
        <f ca="1">VLOOKUP(CONCATENATE($Z62,AL$59),'Resultados - 1'!$A$10:$G$155,AL$58,FALSE)</f>
        <v>0,10</v>
      </c>
      <c r="AM62" s="236"/>
      <c r="AN62" s="236"/>
      <c r="AO62" s="232" t="str">
        <f ca="1">VLOOKUP(CONCATENATE($Z62,AO$59),'Resultados - 1'!$A$10:$G$155,AO$58,FALSE)</f>
        <v>2,00</v>
      </c>
      <c r="AP62" s="236"/>
      <c r="AQ62" s="236"/>
      <c r="AR62" s="232" t="str">
        <f ca="1">VLOOKUP(CONCATENATE($Z62,AR$59),'Resultados - 1'!$A$10:$G$155,AR$58,FALSE)</f>
        <v>∞</v>
      </c>
      <c r="AS62" s="236"/>
      <c r="AT62" s="236"/>
      <c r="AU62" s="232">
        <f t="shared" ca="1" si="6"/>
        <v>2.77</v>
      </c>
      <c r="AV62" s="232">
        <f t="shared" ca="1" si="7"/>
        <v>2.77</v>
      </c>
      <c r="AW62" s="236"/>
      <c r="AX62" s="236"/>
      <c r="AY62" s="232">
        <f t="shared" ca="1" si="8"/>
        <v>0.1</v>
      </c>
      <c r="AZ62" s="236"/>
      <c r="BA62" s="236"/>
      <c r="BB62" s="236"/>
      <c r="BC62" s="236"/>
      <c r="BD62" s="236"/>
      <c r="BE62" s="236"/>
      <c r="BF62" s="236"/>
      <c r="BG62" s="236"/>
      <c r="BH62" s="236"/>
      <c r="BI62" s="236"/>
      <c r="BJ62" s="236"/>
      <c r="BK62" s="236"/>
      <c r="BL62" s="236"/>
      <c r="BM62" s="236"/>
    </row>
    <row r="63" spans="1:65" ht="7.5" customHeight="1" x14ac:dyDescent="0.2">
      <c r="A63" s="273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/>
      <c r="Q63" s="280"/>
      <c r="R63" s="280"/>
      <c r="S63" s="280"/>
      <c r="T63" s="280"/>
      <c r="U63" s="280"/>
      <c r="V63" s="273"/>
      <c r="W63" s="231">
        <v>1</v>
      </c>
      <c r="X63" s="231"/>
      <c r="Y63" s="231"/>
      <c r="Z63" s="231"/>
      <c r="AA63" s="232"/>
      <c r="AE63" s="236"/>
      <c r="AF63" s="236"/>
      <c r="AG63" s="236"/>
      <c r="AH63" s="236"/>
      <c r="AI63" s="236"/>
      <c r="AJ63" s="236"/>
      <c r="AK63" s="236"/>
      <c r="AL63" s="236"/>
      <c r="AM63" s="236"/>
      <c r="AN63" s="236"/>
      <c r="AO63" s="236"/>
      <c r="AP63" s="236"/>
      <c r="AQ63" s="236"/>
      <c r="AR63" s="236"/>
      <c r="AS63" s="236"/>
      <c r="AT63" s="236"/>
      <c r="AU63" s="236"/>
      <c r="AV63" s="236"/>
      <c r="AW63" s="236"/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  <c r="BM63" s="236"/>
    </row>
    <row r="64" spans="1:65" ht="12.75" hidden="1" customHeight="1" x14ac:dyDescent="0.2">
      <c r="A64" s="273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73"/>
      <c r="W64" s="281">
        <f t="shared" ref="W64:W69" ca="1" si="10">IF(W35=1,0,1)</f>
        <v>0</v>
      </c>
      <c r="X64" s="231"/>
      <c r="Y64" s="231"/>
      <c r="Z64" s="231"/>
      <c r="AA64" s="232"/>
      <c r="AE64" s="236"/>
      <c r="AF64" s="236"/>
      <c r="AG64" s="236"/>
      <c r="AH64" s="236"/>
      <c r="AI64" s="236"/>
      <c r="AJ64" s="236"/>
      <c r="AK64" s="236"/>
      <c r="AL64" s="236"/>
      <c r="AM64" s="236"/>
      <c r="AN64" s="236"/>
      <c r="AO64" s="236"/>
      <c r="AP64" s="236"/>
      <c r="AQ64" s="236"/>
      <c r="AR64" s="236"/>
      <c r="AS64" s="236"/>
      <c r="AT64" s="236"/>
      <c r="AU64" s="236"/>
      <c r="AV64" s="236"/>
      <c r="AW64" s="236"/>
      <c r="AX64" s="236"/>
      <c r="AY64" s="236"/>
      <c r="AZ64" s="236"/>
      <c r="BA64" s="236"/>
      <c r="BB64" s="236"/>
      <c r="BC64" s="236"/>
      <c r="BD64" s="236"/>
      <c r="BE64" s="236"/>
      <c r="BF64" s="236"/>
      <c r="BG64" s="236"/>
      <c r="BH64" s="236"/>
      <c r="BI64" s="236"/>
      <c r="BJ64" s="236"/>
      <c r="BK64" s="236"/>
      <c r="BL64" s="236"/>
      <c r="BM64" s="236"/>
    </row>
    <row r="65" spans="1:65" ht="12.75" hidden="1" customHeight="1" x14ac:dyDescent="0.2">
      <c r="A65" s="273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V65" s="273"/>
      <c r="W65" s="281">
        <f t="shared" ca="1" si="10"/>
        <v>0</v>
      </c>
      <c r="X65" s="231"/>
      <c r="Y65" s="231"/>
      <c r="Z65" s="231"/>
      <c r="AA65" s="232"/>
      <c r="AE65" s="236"/>
      <c r="AF65" s="236"/>
      <c r="AG65" s="236"/>
      <c r="AH65" s="236"/>
      <c r="AI65" s="236"/>
      <c r="AJ65" s="236"/>
      <c r="AK65" s="236"/>
      <c r="AL65" s="236"/>
      <c r="AM65" s="236"/>
      <c r="AN65" s="236"/>
      <c r="AO65" s="236"/>
      <c r="AP65" s="236"/>
      <c r="AQ65" s="236"/>
      <c r="AR65" s="236"/>
      <c r="AS65" s="236"/>
      <c r="AT65" s="236"/>
      <c r="AU65" s="236"/>
      <c r="AV65" s="236"/>
      <c r="AW65" s="236"/>
      <c r="AX65" s="236"/>
      <c r="AY65" s="236"/>
      <c r="AZ65" s="236"/>
      <c r="BA65" s="236"/>
      <c r="BB65" s="236"/>
      <c r="BC65" s="236"/>
      <c r="BD65" s="236"/>
      <c r="BE65" s="236"/>
      <c r="BF65" s="236"/>
      <c r="BG65" s="236"/>
      <c r="BH65" s="236"/>
      <c r="BI65" s="236"/>
      <c r="BJ65" s="236"/>
      <c r="BK65" s="236"/>
      <c r="BL65" s="236"/>
      <c r="BM65" s="236"/>
    </row>
    <row r="66" spans="1:65" ht="12.75" customHeight="1" x14ac:dyDescent="0.2">
      <c r="A66" s="273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280"/>
      <c r="T66" s="280"/>
      <c r="U66" s="280"/>
      <c r="V66" s="273"/>
      <c r="W66" s="281">
        <f t="shared" ca="1" si="10"/>
        <v>1</v>
      </c>
      <c r="X66" s="231"/>
      <c r="Y66" s="231"/>
      <c r="Z66" s="231"/>
      <c r="AA66" s="232"/>
      <c r="AE66" s="236"/>
      <c r="AF66" s="236"/>
      <c r="AG66" s="236"/>
      <c r="AH66" s="236"/>
      <c r="AI66" s="236"/>
      <c r="AJ66" s="236"/>
      <c r="AK66" s="236"/>
      <c r="AL66" s="236"/>
      <c r="AM66" s="236"/>
      <c r="AN66" s="236"/>
      <c r="AO66" s="236"/>
      <c r="AP66" s="236"/>
      <c r="AQ66" s="236"/>
      <c r="AR66" s="236"/>
      <c r="AS66" s="236"/>
      <c r="AT66" s="236"/>
      <c r="AU66" s="236"/>
      <c r="AV66" s="236"/>
      <c r="AW66" s="236"/>
      <c r="AX66" s="236"/>
      <c r="AY66" s="236"/>
      <c r="AZ66" s="236"/>
      <c r="BA66" s="236"/>
      <c r="BB66" s="236"/>
      <c r="BC66" s="236"/>
      <c r="BD66" s="236"/>
      <c r="BE66" s="236"/>
      <c r="BF66" s="236"/>
      <c r="BG66" s="236"/>
      <c r="BH66" s="236"/>
      <c r="BI66" s="236"/>
      <c r="BJ66" s="236"/>
      <c r="BK66" s="236"/>
      <c r="BL66" s="236"/>
      <c r="BM66" s="236"/>
    </row>
    <row r="67" spans="1:65" ht="12.75" customHeight="1" x14ac:dyDescent="0.2">
      <c r="A67" s="273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/>
      <c r="R67" s="280"/>
      <c r="S67" s="280"/>
      <c r="T67" s="280"/>
      <c r="U67" s="280"/>
      <c r="V67" s="273"/>
      <c r="W67" s="281">
        <f t="shared" ca="1" si="10"/>
        <v>1</v>
      </c>
      <c r="X67" s="231"/>
      <c r="Y67" s="231"/>
      <c r="Z67" s="231"/>
      <c r="AA67" s="232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236"/>
      <c r="AP67" s="236"/>
      <c r="AQ67" s="236"/>
      <c r="AR67" s="236"/>
      <c r="AS67" s="236"/>
      <c r="AT67" s="236"/>
      <c r="AU67" s="236"/>
      <c r="AV67" s="236"/>
      <c r="AW67" s="236"/>
      <c r="AX67" s="236"/>
      <c r="AY67" s="236"/>
      <c r="AZ67" s="236"/>
      <c r="BA67" s="236"/>
      <c r="BB67" s="236"/>
      <c r="BC67" s="236"/>
      <c r="BD67" s="236"/>
      <c r="BE67" s="236"/>
      <c r="BF67" s="236"/>
      <c r="BG67" s="236"/>
      <c r="BH67" s="236"/>
      <c r="BI67" s="236"/>
      <c r="BJ67" s="236"/>
      <c r="BK67" s="236"/>
      <c r="BL67" s="236"/>
      <c r="BM67" s="236"/>
    </row>
    <row r="68" spans="1:65" ht="12.75" customHeight="1" x14ac:dyDescent="0.2">
      <c r="A68" s="273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73"/>
      <c r="W68" s="281">
        <f t="shared" ca="1" si="10"/>
        <v>1</v>
      </c>
      <c r="X68" s="231"/>
      <c r="Y68" s="231"/>
      <c r="Z68" s="231"/>
      <c r="AA68" s="232"/>
      <c r="AE68" s="236"/>
      <c r="AF68" s="236"/>
      <c r="AG68" s="236"/>
      <c r="AH68" s="236"/>
      <c r="AI68" s="236"/>
      <c r="AJ68" s="236"/>
      <c r="AK68" s="236"/>
      <c r="AL68" s="236"/>
      <c r="AM68" s="236"/>
      <c r="AN68" s="236"/>
      <c r="AO68" s="236"/>
      <c r="AP68" s="236"/>
      <c r="AQ68" s="236"/>
      <c r="AR68" s="236"/>
      <c r="AS68" s="236"/>
      <c r="AT68" s="236"/>
      <c r="AU68" s="236"/>
      <c r="AV68" s="236"/>
      <c r="AW68" s="236"/>
      <c r="AX68" s="236"/>
      <c r="AY68" s="236"/>
      <c r="AZ68" s="236"/>
      <c r="BA68" s="236"/>
      <c r="BB68" s="236"/>
      <c r="BC68" s="236"/>
      <c r="BD68" s="236"/>
      <c r="BE68" s="236"/>
      <c r="BF68" s="236"/>
      <c r="BG68" s="236"/>
      <c r="BH68" s="236"/>
      <c r="BI68" s="236"/>
      <c r="BJ68" s="236"/>
      <c r="BK68" s="236"/>
      <c r="BL68" s="236"/>
      <c r="BM68" s="236"/>
    </row>
    <row r="69" spans="1:65" ht="12.75" customHeight="1" x14ac:dyDescent="0.2">
      <c r="A69" s="273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73"/>
      <c r="W69" s="281">
        <f t="shared" ca="1" si="10"/>
        <v>1</v>
      </c>
      <c r="X69" s="231"/>
      <c r="Y69" s="231"/>
      <c r="Z69" s="231"/>
      <c r="AA69" s="232"/>
      <c r="AE69" s="236"/>
      <c r="AF69" s="236"/>
      <c r="AG69" s="236"/>
      <c r="AH69" s="236"/>
      <c r="AI69" s="236"/>
      <c r="AJ69" s="236"/>
      <c r="AK69" s="236"/>
      <c r="AL69" s="236"/>
      <c r="AM69" s="236"/>
      <c r="AN69" s="236"/>
      <c r="AO69" s="236"/>
      <c r="AP69" s="236"/>
      <c r="AQ69" s="236"/>
      <c r="AR69" s="236"/>
      <c r="AS69" s="236"/>
      <c r="AT69" s="236"/>
      <c r="AU69" s="236"/>
      <c r="AV69" s="236"/>
      <c r="AW69" s="236"/>
      <c r="AX69" s="236"/>
      <c r="AY69" s="236"/>
      <c r="AZ69" s="236"/>
      <c r="BA69" s="236"/>
      <c r="BB69" s="236"/>
      <c r="BC69" s="236"/>
      <c r="BD69" s="236"/>
      <c r="BE69" s="236"/>
      <c r="BF69" s="236"/>
      <c r="BG69" s="236"/>
      <c r="BH69" s="236"/>
      <c r="BI69" s="236"/>
      <c r="BJ69" s="236"/>
      <c r="BK69" s="236"/>
      <c r="BL69" s="236"/>
      <c r="BM69" s="236"/>
    </row>
    <row r="70" spans="1:65" ht="12.75" hidden="1" customHeight="1" x14ac:dyDescent="0.2">
      <c r="A70" s="273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73"/>
      <c r="W70" s="282">
        <f ca="1">IF(W61=1,0,1)</f>
        <v>0</v>
      </c>
      <c r="X70" s="231"/>
      <c r="Y70" s="231"/>
      <c r="Z70" s="231"/>
      <c r="AA70" s="232"/>
      <c r="AE70" s="236"/>
      <c r="AF70" s="236"/>
      <c r="AG70" s="236"/>
      <c r="AH70" s="236"/>
      <c r="AI70" s="236"/>
      <c r="AJ70" s="236"/>
      <c r="AK70" s="236"/>
      <c r="AL70" s="236"/>
      <c r="AM70" s="236"/>
      <c r="AN70" s="236"/>
      <c r="AO70" s="236"/>
      <c r="AP70" s="236"/>
      <c r="AQ70" s="236"/>
      <c r="AR70" s="236"/>
      <c r="AS70" s="236"/>
      <c r="AT70" s="236"/>
      <c r="AU70" s="236"/>
      <c r="AV70" s="236"/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</row>
    <row r="71" spans="1:65" ht="12.75" hidden="1" customHeight="1" x14ac:dyDescent="0.2">
      <c r="A71" s="273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73"/>
      <c r="W71" s="282">
        <f ca="1">IF(W62=1,0,1)</f>
        <v>0</v>
      </c>
      <c r="X71" s="231"/>
      <c r="Y71" s="231"/>
      <c r="Z71" s="231"/>
      <c r="AA71" s="232"/>
      <c r="AE71" s="236"/>
      <c r="AF71" s="236"/>
      <c r="AG71" s="236"/>
      <c r="AH71" s="236"/>
      <c r="AI71" s="236"/>
      <c r="AJ71" s="236"/>
      <c r="AK71" s="236"/>
      <c r="AL71" s="236"/>
      <c r="AM71" s="236"/>
      <c r="AN71" s="236"/>
      <c r="AO71" s="236"/>
      <c r="AP71" s="236"/>
      <c r="AQ71" s="236"/>
      <c r="AR71" s="236"/>
      <c r="AS71" s="236"/>
      <c r="AT71" s="236"/>
      <c r="AU71" s="236"/>
      <c r="AV71" s="236"/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</row>
    <row r="72" spans="1:65" ht="12.75" hidden="1" customHeight="1" x14ac:dyDescent="0.2">
      <c r="A72" s="273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/>
      <c r="R72" s="280"/>
      <c r="S72" s="280"/>
      <c r="T72" s="280"/>
      <c r="U72" s="280"/>
      <c r="V72" s="273"/>
      <c r="W72" s="243">
        <f>IF(W47=1,0,1)</f>
        <v>0</v>
      </c>
      <c r="X72" s="231"/>
      <c r="Y72" s="231"/>
      <c r="Z72" s="231"/>
      <c r="AA72" s="232"/>
      <c r="AE72" s="236"/>
      <c r="AF72" s="236"/>
      <c r="AG72" s="236"/>
      <c r="AH72" s="236"/>
      <c r="AI72" s="236"/>
      <c r="AJ72" s="236"/>
      <c r="AK72" s="236"/>
      <c r="AL72" s="236"/>
      <c r="AM72" s="236"/>
      <c r="AN72" s="236"/>
      <c r="AO72" s="236"/>
      <c r="AP72" s="236"/>
      <c r="AQ72" s="236"/>
      <c r="AR72" s="236"/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  <c r="BH72" s="236"/>
      <c r="BI72" s="236"/>
      <c r="BJ72" s="236"/>
      <c r="BK72" s="236"/>
      <c r="BL72" s="236"/>
      <c r="BM72" s="236"/>
    </row>
    <row r="73" spans="1:65" ht="12.75" hidden="1" customHeight="1" x14ac:dyDescent="0.2">
      <c r="A73" s="273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  <c r="P73" s="280"/>
      <c r="Q73" s="280"/>
      <c r="R73" s="280"/>
      <c r="S73" s="280"/>
      <c r="T73" s="280"/>
      <c r="U73" s="280"/>
      <c r="V73" s="273"/>
      <c r="W73" s="243">
        <f>IF(W48=1,0,1)</f>
        <v>0</v>
      </c>
      <c r="X73" s="231"/>
      <c r="Y73" s="231"/>
      <c r="Z73" s="231"/>
      <c r="AA73" s="232"/>
      <c r="AE73" s="236"/>
      <c r="AF73" s="236"/>
      <c r="AG73" s="236"/>
      <c r="AH73" s="236"/>
      <c r="AI73" s="236"/>
      <c r="AJ73" s="236"/>
      <c r="AK73" s="236"/>
      <c r="AL73" s="236"/>
      <c r="AM73" s="236"/>
      <c r="AN73" s="236"/>
      <c r="AO73" s="236"/>
      <c r="AP73" s="236"/>
      <c r="AQ73" s="236"/>
      <c r="AR73" s="236"/>
      <c r="AS73" s="236"/>
      <c r="AT73" s="236"/>
      <c r="AU73" s="236"/>
      <c r="AV73" s="236"/>
      <c r="AW73" s="236"/>
      <c r="AX73" s="236"/>
      <c r="AY73" s="236"/>
      <c r="AZ73" s="236"/>
      <c r="BA73" s="236"/>
      <c r="BB73" s="236"/>
      <c r="BC73" s="236"/>
      <c r="BD73" s="236"/>
      <c r="BE73" s="236"/>
      <c r="BF73" s="236"/>
      <c r="BG73" s="236"/>
      <c r="BH73" s="236"/>
      <c r="BI73" s="236"/>
      <c r="BJ73" s="236"/>
      <c r="BK73" s="236"/>
      <c r="BL73" s="236"/>
      <c r="BM73" s="236"/>
    </row>
    <row r="74" spans="1:65" ht="12.75" hidden="1" customHeight="1" x14ac:dyDescent="0.2">
      <c r="A74" s="273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  <c r="P74" s="280"/>
      <c r="Q74" s="280"/>
      <c r="R74" s="280"/>
      <c r="S74" s="280"/>
      <c r="T74" s="280"/>
      <c r="U74" s="280"/>
      <c r="V74" s="273"/>
      <c r="W74" s="283">
        <f>IF(W56=0,1,0)</f>
        <v>0</v>
      </c>
      <c r="X74" s="231"/>
      <c r="Y74" s="231"/>
      <c r="Z74" s="231"/>
      <c r="AA74" s="232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  <c r="AV74" s="236"/>
      <c r="AW74" s="236"/>
      <c r="AX74" s="236"/>
      <c r="AY74" s="236"/>
      <c r="AZ74" s="236"/>
      <c r="BA74" s="236"/>
      <c r="BB74" s="236"/>
      <c r="BC74" s="236"/>
      <c r="BD74" s="236"/>
      <c r="BE74" s="236"/>
      <c r="BF74" s="236"/>
      <c r="BG74" s="236"/>
      <c r="BH74" s="236"/>
      <c r="BI74" s="236"/>
      <c r="BJ74" s="236"/>
      <c r="BK74" s="236"/>
      <c r="BL74" s="236"/>
      <c r="BM74" s="236"/>
    </row>
    <row r="75" spans="1:65" ht="7.5" hidden="1" customHeight="1" x14ac:dyDescent="0.2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3"/>
      <c r="S75" s="273"/>
      <c r="T75" s="273"/>
      <c r="U75" s="273"/>
      <c r="V75" s="273"/>
      <c r="W75" s="283">
        <f t="shared" ref="W75:W78" si="11">IF(W57=0,1,0)</f>
        <v>0</v>
      </c>
      <c r="X75" s="231"/>
      <c r="Y75" s="231"/>
      <c r="Z75" s="231"/>
      <c r="AA75" s="232"/>
      <c r="AE75" s="236"/>
      <c r="AF75" s="236"/>
      <c r="AG75" s="236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  <c r="AV75" s="236"/>
      <c r="AW75" s="236"/>
      <c r="AX75" s="236"/>
      <c r="AY75" s="236"/>
      <c r="AZ75" s="236"/>
      <c r="BA75" s="236"/>
      <c r="BB75" s="236"/>
      <c r="BC75" s="236"/>
      <c r="BD75" s="236"/>
      <c r="BE75" s="236"/>
      <c r="BF75" s="236"/>
      <c r="BG75" s="236"/>
      <c r="BH75" s="236"/>
      <c r="BI75" s="236"/>
      <c r="BJ75" s="236"/>
      <c r="BK75" s="236"/>
      <c r="BL75" s="236"/>
      <c r="BM75" s="236"/>
    </row>
    <row r="76" spans="1:65" ht="12.75" hidden="1" customHeight="1" x14ac:dyDescent="0.2">
      <c r="A76" s="273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0"/>
      <c r="S76" s="280"/>
      <c r="T76" s="280"/>
      <c r="U76" s="280"/>
      <c r="V76" s="273"/>
      <c r="W76" s="283">
        <f t="shared" si="11"/>
        <v>0</v>
      </c>
      <c r="X76" s="231"/>
      <c r="Y76" s="231"/>
      <c r="Z76" s="231"/>
      <c r="AA76" s="232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</row>
    <row r="77" spans="1:65" ht="12.75" hidden="1" customHeight="1" x14ac:dyDescent="0.2">
      <c r="A77" s="273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0"/>
      <c r="S77" s="280"/>
      <c r="T77" s="280"/>
      <c r="U77" s="280"/>
      <c r="V77" s="273"/>
      <c r="W77" s="283">
        <f t="shared" si="11"/>
        <v>0</v>
      </c>
      <c r="X77" s="231"/>
      <c r="Y77" s="231"/>
      <c r="Z77" s="231"/>
      <c r="AA77" s="232"/>
      <c r="AE77" s="236"/>
      <c r="AF77" s="236"/>
      <c r="AG77" s="236"/>
      <c r="AH77" s="236"/>
      <c r="AI77" s="236"/>
      <c r="AJ77" s="236"/>
      <c r="AK77" s="236"/>
      <c r="AL77" s="236"/>
      <c r="AM77" s="236"/>
      <c r="AN77" s="236"/>
      <c r="AO77" s="236"/>
      <c r="AP77" s="236"/>
      <c r="AQ77" s="236"/>
      <c r="AR77" s="236"/>
      <c r="AS77" s="236"/>
      <c r="AT77" s="236"/>
      <c r="AU77" s="236"/>
      <c r="AV77" s="236"/>
      <c r="AW77" s="236"/>
      <c r="AX77" s="236"/>
      <c r="AY77" s="236"/>
      <c r="AZ77" s="236"/>
      <c r="BA77" s="236"/>
      <c r="BB77" s="236"/>
      <c r="BC77" s="236"/>
      <c r="BD77" s="236"/>
      <c r="BE77" s="236"/>
      <c r="BF77" s="236"/>
      <c r="BG77" s="236"/>
      <c r="BH77" s="236"/>
      <c r="BI77" s="236"/>
      <c r="BJ77" s="236"/>
      <c r="BK77" s="236"/>
      <c r="BL77" s="236"/>
      <c r="BM77" s="236"/>
    </row>
    <row r="78" spans="1:65" ht="12.75" hidden="1" customHeight="1" x14ac:dyDescent="0.2">
      <c r="A78" s="273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73"/>
      <c r="W78" s="283">
        <f t="shared" si="11"/>
        <v>0</v>
      </c>
      <c r="X78" s="231"/>
      <c r="Y78" s="231"/>
      <c r="Z78" s="231"/>
      <c r="AA78" s="232"/>
      <c r="AE78" s="236"/>
      <c r="AF78" s="236"/>
      <c r="AG78" s="236"/>
      <c r="AH78" s="236"/>
      <c r="AI78" s="236"/>
      <c r="AJ78" s="236"/>
      <c r="AK78" s="236"/>
      <c r="AL78" s="236"/>
      <c r="AM78" s="236"/>
      <c r="AN78" s="236"/>
      <c r="AO78" s="236"/>
      <c r="AP78" s="236"/>
      <c r="AQ78" s="236"/>
      <c r="AR78" s="236"/>
      <c r="AS78" s="236"/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6"/>
      <c r="BH78" s="236"/>
      <c r="BI78" s="236"/>
      <c r="BJ78" s="236"/>
      <c r="BK78" s="236"/>
      <c r="BL78" s="236"/>
      <c r="BM78" s="236"/>
    </row>
    <row r="79" spans="1:65" ht="12.75" customHeight="1" x14ac:dyDescent="0.2">
      <c r="A79" s="273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  <c r="P79" s="280"/>
      <c r="Q79" s="280"/>
      <c r="R79" s="280"/>
      <c r="S79" s="280"/>
      <c r="T79" s="280"/>
      <c r="U79" s="280"/>
      <c r="V79" s="273"/>
      <c r="W79" s="284">
        <f>IF(W53=1,0,1)</f>
        <v>1</v>
      </c>
      <c r="X79" s="231"/>
      <c r="Y79" s="231"/>
      <c r="Z79" s="231"/>
      <c r="AA79" s="232"/>
      <c r="AE79" s="236"/>
      <c r="AF79" s="236"/>
      <c r="AG79" s="236"/>
      <c r="AH79" s="236"/>
      <c r="AI79" s="236"/>
      <c r="AJ79" s="236"/>
      <c r="AK79" s="236"/>
      <c r="AL79" s="236"/>
      <c r="AM79" s="236"/>
      <c r="AN79" s="236"/>
      <c r="AO79" s="236"/>
      <c r="AP79" s="236"/>
      <c r="AQ79" s="236"/>
      <c r="AR79" s="236"/>
      <c r="AS79" s="236"/>
      <c r="AT79" s="236"/>
      <c r="AU79" s="236"/>
      <c r="AV79" s="236"/>
      <c r="AW79" s="236"/>
      <c r="AX79" s="236"/>
      <c r="AY79" s="236"/>
      <c r="AZ79" s="236"/>
      <c r="BA79" s="236"/>
      <c r="BB79" s="236"/>
      <c r="BC79" s="236"/>
      <c r="BD79" s="236"/>
      <c r="BE79" s="236"/>
      <c r="BF79" s="236"/>
      <c r="BG79" s="236"/>
      <c r="BH79" s="236"/>
      <c r="BI79" s="236"/>
      <c r="BJ79" s="236"/>
      <c r="BK79" s="236"/>
      <c r="BL79" s="236"/>
      <c r="BM79" s="236"/>
    </row>
    <row r="80" spans="1:65" ht="12.75" customHeight="1" x14ac:dyDescent="0.2">
      <c r="A80" s="273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73"/>
      <c r="W80" s="284">
        <f>IF(W54=1,0,1)</f>
        <v>1</v>
      </c>
      <c r="X80" s="231"/>
      <c r="Y80" s="231"/>
      <c r="Z80" s="231"/>
      <c r="AA80" s="232"/>
      <c r="AE80" s="236"/>
      <c r="AF80" s="236"/>
      <c r="AG80" s="236"/>
      <c r="AH80" s="236"/>
      <c r="AI80" s="236"/>
      <c r="AJ80" s="236"/>
      <c r="AK80" s="236"/>
      <c r="AL80" s="236"/>
      <c r="AM80" s="236"/>
      <c r="AN80" s="236"/>
      <c r="AO80" s="236"/>
      <c r="AP80" s="236"/>
      <c r="AQ80" s="236"/>
      <c r="AR80" s="236"/>
      <c r="AS80" s="236"/>
      <c r="AT80" s="236"/>
      <c r="AU80" s="236"/>
      <c r="AV80" s="236"/>
      <c r="AW80" s="236"/>
      <c r="AX80" s="236"/>
      <c r="AY80" s="236"/>
      <c r="AZ80" s="236"/>
      <c r="BA80" s="236"/>
      <c r="BB80" s="236"/>
      <c r="BC80" s="236"/>
      <c r="BD80" s="236"/>
      <c r="BE80" s="236"/>
      <c r="BF80" s="236"/>
      <c r="BG80" s="236"/>
      <c r="BH80" s="236"/>
      <c r="BI80" s="236"/>
      <c r="BJ80" s="236"/>
      <c r="BK80" s="236"/>
      <c r="BL80" s="236"/>
      <c r="BM80" s="236"/>
    </row>
    <row r="81" spans="1:65" ht="12.75" customHeight="1" x14ac:dyDescent="0.2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  <c r="O81" s="273"/>
      <c r="P81" s="273"/>
      <c r="Q81" s="273"/>
      <c r="R81" s="273"/>
      <c r="S81" s="273"/>
      <c r="T81" s="273"/>
      <c r="U81" s="273"/>
      <c r="V81" s="273"/>
      <c r="W81" s="231">
        <v>1</v>
      </c>
      <c r="X81" s="231"/>
      <c r="Y81" s="231"/>
      <c r="Z81" s="231"/>
      <c r="AA81" s="232"/>
      <c r="AE81" s="236"/>
      <c r="AF81" s="236"/>
      <c r="AG81" s="236"/>
      <c r="AH81" s="236"/>
      <c r="AI81" s="236"/>
      <c r="AJ81" s="236"/>
      <c r="AK81" s="236"/>
      <c r="AL81" s="236"/>
      <c r="AM81" s="236"/>
      <c r="AN81" s="236"/>
      <c r="AO81" s="236"/>
      <c r="AP81" s="236"/>
      <c r="AQ81" s="236"/>
      <c r="AR81" s="236"/>
      <c r="AS81" s="236"/>
      <c r="AT81" s="236"/>
      <c r="AU81" s="236"/>
      <c r="AV81" s="236"/>
      <c r="AW81" s="236"/>
      <c r="AX81" s="236"/>
      <c r="AY81" s="236"/>
      <c r="AZ81" s="236"/>
      <c r="BA81" s="236"/>
      <c r="BB81" s="236"/>
      <c r="BC81" s="236"/>
      <c r="BD81" s="236"/>
      <c r="BE81" s="236"/>
      <c r="BF81" s="236"/>
      <c r="BG81" s="236"/>
      <c r="BH81" s="236"/>
      <c r="BI81" s="236"/>
      <c r="BJ81" s="236"/>
      <c r="BK81" s="236"/>
      <c r="BL81" s="236"/>
      <c r="BM81" s="236"/>
    </row>
    <row r="82" spans="1:65" ht="12.75" customHeight="1" x14ac:dyDescent="0.3">
      <c r="A82" s="276" t="s">
        <v>509</v>
      </c>
      <c r="B82" s="271"/>
      <c r="C82" s="271"/>
      <c r="D82" s="271"/>
      <c r="E82" s="271"/>
      <c r="F82" s="271"/>
      <c r="G82" s="271"/>
      <c r="H82" s="271"/>
      <c r="I82" s="271"/>
      <c r="J82" s="271"/>
      <c r="K82" s="271"/>
      <c r="L82" s="271"/>
      <c r="M82" s="271"/>
      <c r="N82" s="271"/>
      <c r="O82" s="271"/>
      <c r="P82" s="277"/>
      <c r="Q82" s="277"/>
      <c r="R82" s="277"/>
      <c r="S82" s="277"/>
      <c r="T82" s="277"/>
      <c r="U82" s="277"/>
      <c r="V82" s="277"/>
      <c r="W82" s="231">
        <v>1</v>
      </c>
      <c r="X82" s="231"/>
      <c r="Y82" s="231"/>
      <c r="Z82" s="231"/>
      <c r="AA82" s="232"/>
    </row>
    <row r="83" spans="1:65" ht="12.75" customHeight="1" x14ac:dyDescent="0.3">
      <c r="A83" s="276" t="str">
        <f>CONCATENATE("Técnico Executante: ",Dados!V18)</f>
        <v>Técnico Executante: Matheus Pereira dos Santos</v>
      </c>
      <c r="B83" s="271"/>
      <c r="C83" s="271"/>
      <c r="D83" s="271"/>
      <c r="E83" s="271"/>
      <c r="F83" s="271"/>
      <c r="G83" s="271"/>
      <c r="H83" s="271"/>
      <c r="I83" s="271"/>
      <c r="J83" s="271"/>
      <c r="K83" s="271"/>
      <c r="L83" s="271"/>
      <c r="M83" s="271"/>
      <c r="N83" s="271"/>
      <c r="O83" s="271"/>
      <c r="P83" s="277"/>
      <c r="Q83" s="277"/>
      <c r="R83" s="277"/>
      <c r="S83" s="277"/>
      <c r="T83" s="277"/>
      <c r="U83" s="277"/>
      <c r="V83" s="277"/>
      <c r="W83" s="231">
        <v>1</v>
      </c>
      <c r="X83" s="231"/>
      <c r="Y83" s="231"/>
      <c r="Z83" s="231"/>
      <c r="AA83" s="232"/>
    </row>
    <row r="84" spans="1:65" ht="15" hidden="1" customHeight="1" x14ac:dyDescent="0.3">
      <c r="A84" s="230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30"/>
      <c r="S84" s="230"/>
      <c r="T84" s="230"/>
      <c r="U84" s="230"/>
      <c r="V84" s="230"/>
      <c r="W84" s="285">
        <f>IF(W56=0,1,0)</f>
        <v>0</v>
      </c>
      <c r="X84" s="285"/>
      <c r="Y84" s="285"/>
      <c r="Z84" s="285"/>
      <c r="AA84" s="286"/>
      <c r="AB84" s="286"/>
      <c r="AC84" s="286"/>
      <c r="AD84" s="286"/>
      <c r="AE84" s="286"/>
    </row>
    <row r="85" spans="1:65" ht="15" hidden="1" customHeight="1" x14ac:dyDescent="0.3">
      <c r="A85" s="230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1">
        <f t="shared" ref="W85:W98" si="12">W84</f>
        <v>0</v>
      </c>
    </row>
    <row r="86" spans="1:65" ht="15" hidden="1" customHeight="1" x14ac:dyDescent="0.3">
      <c r="A86" s="230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1">
        <f t="shared" si="12"/>
        <v>0</v>
      </c>
    </row>
    <row r="87" spans="1:65" ht="15" hidden="1" customHeight="1" x14ac:dyDescent="0.3">
      <c r="A87" s="230"/>
      <c r="B87" s="230"/>
      <c r="C87" s="230"/>
      <c r="D87" s="230"/>
      <c r="E87" s="230"/>
      <c r="F87" s="230"/>
      <c r="G87" s="342" t="s">
        <v>601</v>
      </c>
      <c r="H87" s="343"/>
      <c r="I87" s="343"/>
      <c r="J87" s="343"/>
      <c r="K87" s="343"/>
      <c r="L87" s="343"/>
      <c r="M87" s="343"/>
      <c r="N87" s="343"/>
      <c r="O87" s="343"/>
      <c r="P87" s="343"/>
      <c r="Q87" s="343"/>
      <c r="R87" s="343"/>
      <c r="S87" s="343"/>
      <c r="T87" s="343"/>
      <c r="U87" s="343"/>
      <c r="V87" s="343"/>
      <c r="W87" s="231">
        <f t="shared" si="12"/>
        <v>0</v>
      </c>
    </row>
    <row r="88" spans="1:65" ht="15" hidden="1" customHeight="1" x14ac:dyDescent="0.3">
      <c r="A88" s="230"/>
      <c r="B88" s="230"/>
      <c r="C88" s="230"/>
      <c r="D88" s="230"/>
      <c r="E88" s="230"/>
      <c r="F88" s="230"/>
      <c r="G88" s="343"/>
      <c r="H88" s="343"/>
      <c r="I88" s="343"/>
      <c r="J88" s="343"/>
      <c r="K88" s="343"/>
      <c r="L88" s="343"/>
      <c r="M88" s="343"/>
      <c r="N88" s="343"/>
      <c r="O88" s="343"/>
      <c r="P88" s="343"/>
      <c r="Q88" s="343"/>
      <c r="R88" s="343"/>
      <c r="S88" s="343"/>
      <c r="T88" s="343"/>
      <c r="U88" s="343"/>
      <c r="V88" s="343"/>
      <c r="W88" s="231">
        <f t="shared" si="12"/>
        <v>0</v>
      </c>
    </row>
    <row r="89" spans="1:65" ht="15" hidden="1" customHeight="1" x14ac:dyDescent="0.3">
      <c r="A89" s="230"/>
      <c r="B89" s="230"/>
      <c r="C89" s="230"/>
      <c r="D89" s="230"/>
      <c r="E89" s="230"/>
      <c r="F89" s="230"/>
      <c r="G89" s="343"/>
      <c r="H89" s="343"/>
      <c r="I89" s="343"/>
      <c r="J89" s="343"/>
      <c r="K89" s="343"/>
      <c r="L89" s="343"/>
      <c r="M89" s="343"/>
      <c r="N89" s="343"/>
      <c r="O89" s="343"/>
      <c r="P89" s="343"/>
      <c r="Q89" s="343"/>
      <c r="R89" s="343"/>
      <c r="S89" s="343"/>
      <c r="T89" s="343"/>
      <c r="U89" s="343"/>
      <c r="V89" s="343"/>
      <c r="W89" s="231">
        <f t="shared" si="12"/>
        <v>0</v>
      </c>
      <c r="AB89" s="189">
        <v>15</v>
      </c>
      <c r="AC89" s="189">
        <v>15</v>
      </c>
    </row>
    <row r="90" spans="1:65" ht="15" hidden="1" customHeight="1" x14ac:dyDescent="0.3">
      <c r="A90" s="230"/>
      <c r="B90" s="230"/>
      <c r="C90" s="230"/>
      <c r="D90" s="230"/>
      <c r="E90" s="230"/>
      <c r="F90" s="230"/>
      <c r="G90" s="339" t="s">
        <v>504</v>
      </c>
      <c r="H90" s="339"/>
      <c r="I90" s="339"/>
      <c r="J90" s="339"/>
      <c r="K90" s="339"/>
      <c r="L90" s="339"/>
      <c r="M90" s="339"/>
      <c r="N90" s="339"/>
      <c r="O90" s="340" t="str">
        <f>$O$7</f>
        <v>19012733</v>
      </c>
      <c r="P90" s="340"/>
      <c r="Q90" s="340"/>
      <c r="R90" s="340"/>
      <c r="S90" s="339" t="str">
        <f>CONCATENATE("Folha 2/",X90)</f>
        <v>Folha 2/0</v>
      </c>
      <c r="T90" s="339"/>
      <c r="U90" s="339"/>
      <c r="V90" s="339"/>
      <c r="W90" s="231">
        <f t="shared" si="12"/>
        <v>0</v>
      </c>
      <c r="X90" s="5">
        <f>IF(W90=1,2,0)</f>
        <v>0</v>
      </c>
      <c r="AA90" s="189">
        <f>Dados!R15</f>
        <v>1</v>
      </c>
      <c r="AB90" s="189">
        <f>AA90*(AA91+1)</f>
        <v>4</v>
      </c>
      <c r="AC90" s="189">
        <f>6*8</f>
        <v>48</v>
      </c>
    </row>
    <row r="91" spans="1:65" ht="15" hidden="1" customHeight="1" x14ac:dyDescent="0.3">
      <c r="A91" s="230"/>
      <c r="B91" s="230"/>
      <c r="C91" s="230"/>
      <c r="D91" s="230"/>
      <c r="E91" s="230"/>
      <c r="F91" s="230"/>
      <c r="G91" s="339"/>
      <c r="H91" s="339"/>
      <c r="I91" s="339"/>
      <c r="J91" s="339"/>
      <c r="K91" s="339"/>
      <c r="L91" s="339"/>
      <c r="M91" s="339"/>
      <c r="N91" s="339"/>
      <c r="O91" s="340"/>
      <c r="P91" s="340"/>
      <c r="Q91" s="340"/>
      <c r="R91" s="340"/>
      <c r="S91" s="339"/>
      <c r="T91" s="339"/>
      <c r="U91" s="339"/>
      <c r="V91" s="339"/>
      <c r="W91" s="231">
        <f t="shared" si="12"/>
        <v>0</v>
      </c>
      <c r="AA91" s="189">
        <f>Dados!W15</f>
        <v>3</v>
      </c>
      <c r="AB91" s="189">
        <f>AB90+AB89</f>
        <v>19</v>
      </c>
      <c r="AC91" s="189">
        <f>AC90+AC89</f>
        <v>63</v>
      </c>
    </row>
    <row r="92" spans="1:65" ht="15" hidden="1" customHeight="1" x14ac:dyDescent="0.3">
      <c r="A92" s="230"/>
      <c r="B92" s="230"/>
      <c r="C92" s="230"/>
      <c r="D92" s="230"/>
      <c r="E92" s="230"/>
      <c r="F92" s="230"/>
      <c r="G92" s="339"/>
      <c r="H92" s="339"/>
      <c r="I92" s="339"/>
      <c r="J92" s="339"/>
      <c r="K92" s="339"/>
      <c r="L92" s="339"/>
      <c r="M92" s="339"/>
      <c r="N92" s="339"/>
      <c r="O92" s="340"/>
      <c r="P92" s="340"/>
      <c r="Q92" s="340"/>
      <c r="R92" s="340"/>
      <c r="S92" s="339"/>
      <c r="T92" s="339"/>
      <c r="U92" s="339"/>
      <c r="V92" s="339"/>
      <c r="W92" s="231">
        <f t="shared" si="12"/>
        <v>0</v>
      </c>
    </row>
    <row r="93" spans="1:65" ht="12.75" hidden="1" customHeight="1" x14ac:dyDescent="0.2">
      <c r="A93" s="341" t="str">
        <f>IF($A$47="","",CONCATENATE("Laboratório de Calibração acreditado pela Cgcre de acordo com a ABNT NBR ISO/IEC 17025, sob o número ",AA93,"."))</f>
        <v>Laboratório de Calibração acreditado pela Cgcre de acordo com a ABNT NBR ISO/IEC 17025, sob o número CAL 0439.</v>
      </c>
      <c r="B93" s="341"/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  <c r="O93" s="341"/>
      <c r="P93" s="341"/>
      <c r="Q93" s="341"/>
      <c r="R93" s="341"/>
      <c r="S93" s="341"/>
      <c r="T93" s="341"/>
      <c r="U93" s="341"/>
      <c r="V93" s="341"/>
      <c r="W93" s="231">
        <f t="shared" si="12"/>
        <v>0</v>
      </c>
      <c r="X93" s="231"/>
      <c r="Y93" s="231"/>
      <c r="Z93" s="231"/>
      <c r="AA93" s="265" t="str">
        <f>VLOOKUP(Dados!$F$2,Dados!$AM$2:$AP$4,4,FALSE)</f>
        <v>CAL 0439</v>
      </c>
      <c r="AE93" s="236"/>
      <c r="AF93" s="236"/>
      <c r="AG93" s="236"/>
      <c r="AH93" s="236"/>
      <c r="AI93" s="236"/>
      <c r="AJ93" s="236"/>
      <c r="AK93" s="236"/>
      <c r="AV93" s="236"/>
      <c r="AW93" s="236"/>
      <c r="AX93" s="236"/>
      <c r="AY93" s="236"/>
      <c r="AZ93" s="236"/>
      <c r="BA93" s="236"/>
      <c r="BB93" s="236"/>
      <c r="BC93" s="236"/>
      <c r="BD93" s="236"/>
      <c r="BE93" s="236"/>
      <c r="BF93" s="236"/>
      <c r="BG93" s="236"/>
      <c r="BH93" s="236"/>
      <c r="BI93" s="236"/>
      <c r="BJ93" s="236"/>
      <c r="BK93" s="236"/>
      <c r="BL93" s="236"/>
      <c r="BM93" s="236"/>
    </row>
    <row r="94" spans="1:65" ht="15" hidden="1" customHeight="1" x14ac:dyDescent="0.3">
      <c r="A94" s="230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30"/>
      <c r="S94" s="230"/>
      <c r="T94" s="230"/>
      <c r="U94" s="230"/>
      <c r="V94" s="230"/>
      <c r="W94" s="5">
        <f t="shared" si="12"/>
        <v>0</v>
      </c>
    </row>
    <row r="95" spans="1:65" ht="12.75" hidden="1" customHeight="1" x14ac:dyDescent="0.3">
      <c r="A95" s="240" t="s">
        <v>607</v>
      </c>
      <c r="B95" s="273"/>
      <c r="C95" s="273"/>
      <c r="D95" s="273"/>
      <c r="E95" s="273"/>
      <c r="F95" s="273"/>
      <c r="G95" s="273"/>
      <c r="H95" s="273"/>
      <c r="I95" s="273"/>
      <c r="J95" s="273"/>
      <c r="K95" s="273"/>
      <c r="L95" s="273"/>
      <c r="M95" s="273"/>
      <c r="N95" s="273"/>
      <c r="O95" s="273"/>
      <c r="P95" s="273"/>
      <c r="Q95" s="273"/>
      <c r="R95" s="273"/>
      <c r="S95" s="273"/>
      <c r="T95" s="273"/>
      <c r="U95" s="273"/>
      <c r="V95" s="273"/>
      <c r="W95" s="5">
        <f t="shared" si="12"/>
        <v>0</v>
      </c>
    </row>
    <row r="96" spans="1:65" ht="15" hidden="1" customHeight="1" x14ac:dyDescent="0.3">
      <c r="A96" s="273"/>
      <c r="B96" s="273"/>
      <c r="C96" s="273"/>
      <c r="D96" s="273"/>
      <c r="E96" s="273"/>
      <c r="F96" s="273"/>
      <c r="G96" s="273"/>
      <c r="H96" s="273"/>
      <c r="I96" s="273"/>
      <c r="J96" s="273"/>
      <c r="K96" s="273"/>
      <c r="L96" s="273"/>
      <c r="M96" s="273"/>
      <c r="N96" s="273"/>
      <c r="O96" s="273"/>
      <c r="P96" s="273"/>
      <c r="Q96" s="273"/>
      <c r="R96" s="273"/>
      <c r="S96" s="273"/>
      <c r="T96" s="273"/>
      <c r="U96" s="273"/>
      <c r="V96" s="273"/>
      <c r="W96" s="5">
        <f t="shared" si="12"/>
        <v>0</v>
      </c>
    </row>
    <row r="97" spans="1:51" ht="12.75" hidden="1" customHeight="1" x14ac:dyDescent="0.3">
      <c r="A97" s="273"/>
      <c r="B97" s="330" t="s">
        <v>608</v>
      </c>
      <c r="C97" s="331"/>
      <c r="D97" s="331"/>
      <c r="E97" s="331" t="s">
        <v>633</v>
      </c>
      <c r="F97" s="331"/>
      <c r="G97" s="331"/>
      <c r="H97" s="331" t="s">
        <v>609</v>
      </c>
      <c r="I97" s="331"/>
      <c r="J97" s="331"/>
      <c r="K97" s="331"/>
      <c r="L97" s="334" t="s">
        <v>510</v>
      </c>
      <c r="M97" s="334"/>
      <c r="N97" s="334"/>
      <c r="O97" s="334" t="s">
        <v>511</v>
      </c>
      <c r="P97" s="334"/>
      <c r="Q97" s="334"/>
      <c r="R97" s="334" t="s">
        <v>293</v>
      </c>
      <c r="S97" s="334"/>
      <c r="T97" s="334" t="s">
        <v>167</v>
      </c>
      <c r="U97" s="336"/>
      <c r="V97" s="273"/>
      <c r="W97" s="5">
        <f t="shared" si="12"/>
        <v>0</v>
      </c>
    </row>
    <row r="98" spans="1:51" ht="12.75" hidden="1" customHeight="1" x14ac:dyDescent="0.2">
      <c r="A98" s="273"/>
      <c r="B98" s="332"/>
      <c r="C98" s="333"/>
      <c r="D98" s="333"/>
      <c r="E98" s="333"/>
      <c r="F98" s="333"/>
      <c r="G98" s="333"/>
      <c r="H98" s="333"/>
      <c r="I98" s="333"/>
      <c r="J98" s="333"/>
      <c r="K98" s="333"/>
      <c r="L98" s="335"/>
      <c r="M98" s="335"/>
      <c r="N98" s="335"/>
      <c r="O98" s="335"/>
      <c r="P98" s="335"/>
      <c r="Q98" s="335"/>
      <c r="R98" s="335"/>
      <c r="S98" s="335"/>
      <c r="T98" s="335"/>
      <c r="U98" s="337"/>
      <c r="V98" s="273"/>
      <c r="W98" s="5">
        <f t="shared" si="12"/>
        <v>0</v>
      </c>
      <c r="Z98" s="231"/>
      <c r="AA98" s="232"/>
      <c r="AE98" s="232"/>
      <c r="AF98" s="236"/>
      <c r="AG98" s="236"/>
      <c r="AH98" s="236"/>
      <c r="AI98" s="232"/>
      <c r="AJ98" s="236"/>
      <c r="AK98" s="236"/>
      <c r="AL98" s="232"/>
      <c r="AM98" s="236"/>
      <c r="AN98" s="236"/>
      <c r="AO98" s="232"/>
      <c r="AP98" s="236"/>
      <c r="AQ98" s="236"/>
      <c r="AR98" s="232"/>
      <c r="AS98" s="236"/>
    </row>
    <row r="99" spans="1:51" ht="12" hidden="1" customHeight="1" x14ac:dyDescent="0.2">
      <c r="A99" s="273"/>
      <c r="B99" s="338" t="str">
        <f>IF(Dados!$Z$9=3,IF(Z99=0,"",CONCATENATE(Z99," - Faixa de medição : (",AB99,AD99,AE99,") ",AG99)),IF(Z99=0,"",Z99))</f>
        <v/>
      </c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273"/>
      <c r="W99" s="5">
        <f>IF(X99=0,0,IF(B99="",0,1))</f>
        <v>0</v>
      </c>
      <c r="X99" s="5">
        <f>IF(AS99&lt;=$AA$90,$W$84,0)</f>
        <v>0</v>
      </c>
      <c r="Z99" s="289">
        <f>'Resultados - 1'!$G$4</f>
        <v>0</v>
      </c>
      <c r="AA99" s="290"/>
      <c r="AB99" s="290">
        <f>'Resultados - 1'!$N$4</f>
        <v>0</v>
      </c>
      <c r="AC99" s="290"/>
      <c r="AD99" s="290" t="str">
        <f>'Resultados - 1'!$P$4</f>
        <v>~</v>
      </c>
      <c r="AE99" s="290">
        <f>'Resultados - 1'!$Q$4</f>
        <v>0</v>
      </c>
      <c r="AF99" s="290"/>
      <c r="AG99" s="290" t="str">
        <f>'Resultados - 1'!$G$12</f>
        <v>µL</v>
      </c>
      <c r="AH99" s="291"/>
      <c r="AI99" s="290"/>
      <c r="AJ99" s="291"/>
      <c r="AK99" s="291"/>
      <c r="AL99" s="290"/>
      <c r="AM99" s="291"/>
      <c r="AN99" s="291"/>
      <c r="AO99" s="290"/>
      <c r="AP99" s="291"/>
      <c r="AQ99" s="291"/>
      <c r="AR99" s="292"/>
      <c r="AS99" s="232">
        <v>1</v>
      </c>
    </row>
    <row r="100" spans="1:51" ht="12" hidden="1" customHeight="1" x14ac:dyDescent="0.2">
      <c r="A100" s="273"/>
      <c r="B100" s="327" t="str">
        <f ca="1">AA100</f>
        <v>100</v>
      </c>
      <c r="C100" s="328"/>
      <c r="D100" s="328"/>
      <c r="E100" s="328" t="str">
        <f ca="1">IF(B100="","",AG99)</f>
        <v>µL</v>
      </c>
      <c r="F100" s="328"/>
      <c r="G100" s="328"/>
      <c r="H100" s="328" t="str">
        <f ca="1">AE100</f>
        <v>100,382</v>
      </c>
      <c r="I100" s="328"/>
      <c r="J100" s="328"/>
      <c r="K100" s="328"/>
      <c r="L100" s="328" t="str">
        <f ca="1">AI100</f>
        <v>-0,382</v>
      </c>
      <c r="M100" s="328"/>
      <c r="N100" s="328"/>
      <c r="O100" s="328" t="str">
        <f ca="1">AL100</f>
        <v>0,050</v>
      </c>
      <c r="P100" s="328"/>
      <c r="Q100" s="328"/>
      <c r="R100" s="328" t="str">
        <f ca="1">AO100</f>
        <v>2,01</v>
      </c>
      <c r="S100" s="328"/>
      <c r="T100" s="328" t="str">
        <f ca="1">AR100</f>
        <v>277</v>
      </c>
      <c r="U100" s="329"/>
      <c r="V100" s="273"/>
      <c r="W100" s="5">
        <f>IF(X100=0,0,IF(H100="",0,1))</f>
        <v>0</v>
      </c>
      <c r="X100" s="5">
        <f t="shared" ref="X100:X106" si="13">IF(AS100&lt;=$AA$90,$W$84,0)</f>
        <v>0</v>
      </c>
      <c r="Z100" s="293">
        <v>1</v>
      </c>
      <c r="AA100" s="232" t="str">
        <f ca="1">IF(AE100="","",VLOOKUP(CONCATENATE($Z100,AA$59),'Resultados - 1'!$A$10:$G$155,AA$58,FALSE))</f>
        <v>100</v>
      </c>
      <c r="AE100" s="232" t="str">
        <f ca="1">VLOOKUP(CONCATENATE($Z100,AE$59),'Resultados - 1'!$A$10:$G$155,AE$58,FALSE)</f>
        <v>100,382</v>
      </c>
      <c r="AF100" s="236"/>
      <c r="AG100" s="236"/>
      <c r="AH100" s="236"/>
      <c r="AI100" s="232" t="str">
        <f ca="1">VLOOKUP(CONCATENATE($Z100,AI$59),'Resultados - 1'!$A$10:$G$155,AI$58,FALSE)</f>
        <v>-0,382</v>
      </c>
      <c r="AJ100" s="236"/>
      <c r="AK100" s="236"/>
      <c r="AL100" s="232" t="str">
        <f ca="1">VLOOKUP(CONCATENATE($Z100,AL$59),'Resultados - 1'!$A$10:$G$155,AL$58,FALSE)</f>
        <v>0,050</v>
      </c>
      <c r="AM100" s="236"/>
      <c r="AN100" s="236"/>
      <c r="AO100" s="232" t="str">
        <f ca="1">VLOOKUP(CONCATENATE($Z100,AO$59),'Resultados - 1'!$A$10:$G$155,AO$58,FALSE)</f>
        <v>2,01</v>
      </c>
      <c r="AP100" s="236"/>
      <c r="AQ100" s="236"/>
      <c r="AR100" s="197" t="str">
        <f ca="1">VLOOKUP(CONCATENATE($Z100,AR$59),'Resultados - 1'!$A$10:$G$155,AR$58,FALSE)</f>
        <v>277</v>
      </c>
      <c r="AS100" s="232">
        <f t="shared" ref="AS100:AS106" si="14">AS99</f>
        <v>1</v>
      </c>
      <c r="AU100" s="232">
        <f ca="1">ABS(AV100)</f>
        <v>0.38200000000000001</v>
      </c>
      <c r="AV100" s="232">
        <f ca="1">IF(AI100="",0,AI100*1)</f>
        <v>-0.38200000000000001</v>
      </c>
      <c r="AW100" s="236"/>
      <c r="AX100" s="236"/>
      <c r="AY100" s="232">
        <f ca="1">IF(AL100="",0,AL100*1)</f>
        <v>0.05</v>
      </c>
    </row>
    <row r="101" spans="1:51" ht="12" hidden="1" customHeight="1" x14ac:dyDescent="0.2">
      <c r="A101" s="273"/>
      <c r="B101" s="327" t="str">
        <f t="shared" ref="B101:B106" ca="1" si="15">AA101</f>
        <v>500</v>
      </c>
      <c r="C101" s="328"/>
      <c r="D101" s="328"/>
      <c r="E101" s="328" t="str">
        <f ca="1">IF(B101="","",E100)</f>
        <v>µL</v>
      </c>
      <c r="F101" s="328"/>
      <c r="G101" s="328"/>
      <c r="H101" s="328" t="str">
        <f t="shared" ref="H101:H106" ca="1" si="16">AE101</f>
        <v>497,560</v>
      </c>
      <c r="I101" s="328"/>
      <c r="J101" s="328"/>
      <c r="K101" s="328"/>
      <c r="L101" s="328" t="str">
        <f t="shared" ref="L101:L106" ca="1" si="17">AI101</f>
        <v>2,440</v>
      </c>
      <c r="M101" s="328"/>
      <c r="N101" s="328"/>
      <c r="O101" s="328" t="str">
        <f t="shared" ref="O101:O106" ca="1" si="18">AL101</f>
        <v>0,060</v>
      </c>
      <c r="P101" s="328"/>
      <c r="Q101" s="328"/>
      <c r="R101" s="328" t="str">
        <f t="shared" ref="R101:R106" ca="1" si="19">AO101</f>
        <v>2,00</v>
      </c>
      <c r="S101" s="328"/>
      <c r="T101" s="328" t="str">
        <f t="shared" ref="T101:T106" ca="1" si="20">AR101</f>
        <v>∞</v>
      </c>
      <c r="U101" s="329"/>
      <c r="V101" s="273"/>
      <c r="W101" s="5">
        <f t="shared" ref="W101:W146" si="21">IF(X101=0,0,IF(B101="",0,1))</f>
        <v>0</v>
      </c>
      <c r="X101" s="5">
        <f t="shared" si="13"/>
        <v>0</v>
      </c>
      <c r="Z101" s="293">
        <f>Z100+1</f>
        <v>2</v>
      </c>
      <c r="AA101" s="232" t="str">
        <f ca="1">IF(AE101="","",VLOOKUP(CONCATENATE($Z101,AA$59),'Resultados - 1'!$A$10:$G$155,AA$58,FALSE))</f>
        <v>500</v>
      </c>
      <c r="AE101" s="232" t="str">
        <f ca="1">VLOOKUP(CONCATENATE($Z101,AE$59),'Resultados - 1'!$A$10:$G$155,AE$58,FALSE)</f>
        <v>497,560</v>
      </c>
      <c r="AF101" s="236"/>
      <c r="AG101" s="236"/>
      <c r="AH101" s="236"/>
      <c r="AI101" s="232" t="str">
        <f ca="1">VLOOKUP(CONCATENATE($Z101,AI$59),'Resultados - 1'!$A$10:$G$155,AI$58,FALSE)</f>
        <v>2,440</v>
      </c>
      <c r="AJ101" s="236"/>
      <c r="AK101" s="236"/>
      <c r="AL101" s="232" t="str">
        <f ca="1">VLOOKUP(CONCATENATE($Z101,AL$59),'Resultados - 1'!$A$10:$G$155,AL$58,FALSE)</f>
        <v>0,060</v>
      </c>
      <c r="AM101" s="236"/>
      <c r="AN101" s="236"/>
      <c r="AO101" s="232" t="str">
        <f ca="1">VLOOKUP(CONCATENATE($Z101,AO$59),'Resultados - 1'!$A$10:$G$155,AO$58,FALSE)</f>
        <v>2,00</v>
      </c>
      <c r="AP101" s="236"/>
      <c r="AQ101" s="236"/>
      <c r="AR101" s="197" t="str">
        <f ca="1">VLOOKUP(CONCATENATE($Z101,AR$59),'Resultados - 1'!$A$10:$G$155,AR$58,FALSE)</f>
        <v>∞</v>
      </c>
      <c r="AS101" s="232">
        <f t="shared" si="14"/>
        <v>1</v>
      </c>
      <c r="AU101" s="232">
        <f t="shared" ref="AU101:AU106" ca="1" si="22">ABS(AV101)</f>
        <v>2.44</v>
      </c>
      <c r="AV101" s="232">
        <f t="shared" ref="AV101:AV102" ca="1" si="23">IF(AI101="",0,AI101*1)</f>
        <v>2.44</v>
      </c>
      <c r="AW101" s="236"/>
      <c r="AX101" s="236"/>
      <c r="AY101" s="232">
        <f t="shared" ref="AY101:AY102" ca="1" si="24">IF(AL101="",0,AL101*1)</f>
        <v>0.06</v>
      </c>
    </row>
    <row r="102" spans="1:51" ht="12" hidden="1" customHeight="1" x14ac:dyDescent="0.2">
      <c r="A102" s="273"/>
      <c r="B102" s="327" t="str">
        <f t="shared" ca="1" si="15"/>
        <v>1.000</v>
      </c>
      <c r="C102" s="328"/>
      <c r="D102" s="328"/>
      <c r="E102" s="328" t="str">
        <f t="shared" ref="E102:E106" ca="1" si="25">IF(B102="","",E101)</f>
        <v>µL</v>
      </c>
      <c r="F102" s="328"/>
      <c r="G102" s="328"/>
      <c r="H102" s="328" t="str">
        <f t="shared" ca="1" si="16"/>
        <v>997,23</v>
      </c>
      <c r="I102" s="328"/>
      <c r="J102" s="328"/>
      <c r="K102" s="328"/>
      <c r="L102" s="328" t="str">
        <f t="shared" ca="1" si="17"/>
        <v>2,77</v>
      </c>
      <c r="M102" s="328"/>
      <c r="N102" s="328"/>
      <c r="O102" s="328" t="str">
        <f t="shared" ca="1" si="18"/>
        <v>0,10</v>
      </c>
      <c r="P102" s="328"/>
      <c r="Q102" s="328"/>
      <c r="R102" s="328" t="str">
        <f t="shared" ca="1" si="19"/>
        <v>2,00</v>
      </c>
      <c r="S102" s="328"/>
      <c r="T102" s="328" t="str">
        <f t="shared" ca="1" si="20"/>
        <v>∞</v>
      </c>
      <c r="U102" s="329"/>
      <c r="V102" s="273"/>
      <c r="W102" s="5">
        <f t="shared" si="21"/>
        <v>0</v>
      </c>
      <c r="X102" s="5">
        <f t="shared" si="13"/>
        <v>0</v>
      </c>
      <c r="Z102" s="293">
        <f t="shared" ref="Z102:Z106" si="26">Z101+1</f>
        <v>3</v>
      </c>
      <c r="AA102" s="232" t="str">
        <f ca="1">IF(AE102="","",VLOOKUP(CONCATENATE($Z102,AA$59),'Resultados - 1'!$A$10:$G$155,AA$58,FALSE))</f>
        <v>1.000</v>
      </c>
      <c r="AE102" s="232" t="str">
        <f ca="1">VLOOKUP(CONCATENATE($Z102,AE$59),'Resultados - 1'!$A$10:$G$155,AE$58,FALSE)</f>
        <v>997,23</v>
      </c>
      <c r="AF102" s="236"/>
      <c r="AG102" s="236"/>
      <c r="AH102" s="236"/>
      <c r="AI102" s="232" t="str">
        <f ca="1">VLOOKUP(CONCATENATE($Z102,AI$59),'Resultados - 1'!$A$10:$G$155,AI$58,FALSE)</f>
        <v>2,77</v>
      </c>
      <c r="AJ102" s="236"/>
      <c r="AK102" s="236"/>
      <c r="AL102" s="232" t="str">
        <f ca="1">VLOOKUP(CONCATENATE($Z102,AL$59),'Resultados - 1'!$A$10:$G$155,AL$58,FALSE)</f>
        <v>0,10</v>
      </c>
      <c r="AM102" s="236"/>
      <c r="AN102" s="236"/>
      <c r="AO102" s="232" t="str">
        <f ca="1">VLOOKUP(CONCATENATE($Z102,AO$59),'Resultados - 1'!$A$10:$G$155,AO$58,FALSE)</f>
        <v>2,00</v>
      </c>
      <c r="AP102" s="236"/>
      <c r="AQ102" s="236"/>
      <c r="AR102" s="197" t="str">
        <f ca="1">VLOOKUP(CONCATENATE($Z102,AR$59),'Resultados - 1'!$A$10:$G$155,AR$58,FALSE)</f>
        <v>∞</v>
      </c>
      <c r="AS102" s="232">
        <f t="shared" si="14"/>
        <v>1</v>
      </c>
      <c r="AU102" s="232">
        <f t="shared" ca="1" si="22"/>
        <v>2.77</v>
      </c>
      <c r="AV102" s="232">
        <f t="shared" ca="1" si="23"/>
        <v>2.77</v>
      </c>
      <c r="AW102" s="236"/>
      <c r="AX102" s="236"/>
      <c r="AY102" s="232">
        <f t="shared" ca="1" si="24"/>
        <v>0.1</v>
      </c>
    </row>
    <row r="103" spans="1:51" ht="12" hidden="1" customHeight="1" x14ac:dyDescent="0.2">
      <c r="A103" s="273"/>
      <c r="B103" s="327" t="str">
        <f t="shared" si="15"/>
        <v/>
      </c>
      <c r="C103" s="328"/>
      <c r="D103" s="328"/>
      <c r="E103" s="328" t="str">
        <f t="shared" si="25"/>
        <v/>
      </c>
      <c r="F103" s="328"/>
      <c r="G103" s="328"/>
      <c r="H103" s="328" t="str">
        <f t="shared" si="16"/>
        <v/>
      </c>
      <c r="I103" s="328"/>
      <c r="J103" s="328"/>
      <c r="K103" s="328"/>
      <c r="L103" s="328" t="str">
        <f t="shared" si="17"/>
        <v/>
      </c>
      <c r="M103" s="328"/>
      <c r="N103" s="328"/>
      <c r="O103" s="328" t="str">
        <f t="shared" si="18"/>
        <v/>
      </c>
      <c r="P103" s="328"/>
      <c r="Q103" s="328"/>
      <c r="R103" s="328" t="str">
        <f t="shared" si="19"/>
        <v/>
      </c>
      <c r="S103" s="328"/>
      <c r="T103" s="328" t="str">
        <f t="shared" si="20"/>
        <v/>
      </c>
      <c r="U103" s="329"/>
      <c r="V103" s="273"/>
      <c r="W103" s="5">
        <f t="shared" si="21"/>
        <v>0</v>
      </c>
      <c r="X103" s="5">
        <f t="shared" si="13"/>
        <v>0</v>
      </c>
      <c r="Z103" s="293">
        <f t="shared" si="26"/>
        <v>4</v>
      </c>
      <c r="AA103" s="232" t="str">
        <f>IF(AE103="","",VLOOKUP(CONCATENATE($Z103,AA$59),'Resultados - 1'!$A$10:$G$155,AA$58,FALSE))</f>
        <v/>
      </c>
      <c r="AE103" s="232" t="str">
        <f>VLOOKUP(CONCATENATE($Z103,AE$59),'Resultados - 1'!$A$10:$G$155,AE$58,FALSE)</f>
        <v/>
      </c>
      <c r="AF103" s="236"/>
      <c r="AG103" s="236"/>
      <c r="AH103" s="236"/>
      <c r="AI103" s="232" t="str">
        <f>VLOOKUP(CONCATENATE($Z103,AI$59),'Resultados - 1'!$A$10:$G$155,AI$58,FALSE)</f>
        <v/>
      </c>
      <c r="AJ103" s="236"/>
      <c r="AK103" s="236"/>
      <c r="AL103" s="232" t="str">
        <f>VLOOKUP(CONCATENATE($Z103,AL$59),'Resultados - 1'!$A$10:$G$155,AL$58,FALSE)</f>
        <v/>
      </c>
      <c r="AM103" s="236"/>
      <c r="AN103" s="236"/>
      <c r="AO103" s="232" t="str">
        <f>VLOOKUP(CONCATENATE($Z103,AO$59),'Resultados - 1'!$A$10:$G$155,AO$58,FALSE)</f>
        <v/>
      </c>
      <c r="AP103" s="236"/>
      <c r="AQ103" s="236"/>
      <c r="AR103" s="197" t="str">
        <f>VLOOKUP(CONCATENATE($Z103,AR$59),'Resultados - 1'!$A$10:$G$155,AR$58,FALSE)</f>
        <v/>
      </c>
      <c r="AS103" s="232">
        <f t="shared" si="14"/>
        <v>1</v>
      </c>
      <c r="AU103" s="232">
        <f t="shared" si="22"/>
        <v>0</v>
      </c>
      <c r="AV103" s="232">
        <f t="shared" ref="AV103:AV106" si="27">IF(AI103="",0,AI103*1)</f>
        <v>0</v>
      </c>
      <c r="AW103" s="236"/>
      <c r="AX103" s="236"/>
      <c r="AY103" s="232">
        <f t="shared" ref="AY103:AY106" si="28">IF(AL103="",0,AL103*1)</f>
        <v>0</v>
      </c>
    </row>
    <row r="104" spans="1:51" ht="12" hidden="1" customHeight="1" x14ac:dyDescent="0.2">
      <c r="A104" s="273"/>
      <c r="B104" s="327" t="str">
        <f t="shared" si="15"/>
        <v/>
      </c>
      <c r="C104" s="328"/>
      <c r="D104" s="328"/>
      <c r="E104" s="328" t="str">
        <f t="shared" si="25"/>
        <v/>
      </c>
      <c r="F104" s="328"/>
      <c r="G104" s="328"/>
      <c r="H104" s="328" t="str">
        <f t="shared" si="16"/>
        <v/>
      </c>
      <c r="I104" s="328"/>
      <c r="J104" s="328"/>
      <c r="K104" s="328"/>
      <c r="L104" s="328" t="str">
        <f t="shared" si="17"/>
        <v/>
      </c>
      <c r="M104" s="328"/>
      <c r="N104" s="328"/>
      <c r="O104" s="328" t="str">
        <f t="shared" si="18"/>
        <v/>
      </c>
      <c r="P104" s="328"/>
      <c r="Q104" s="328"/>
      <c r="R104" s="328" t="str">
        <f t="shared" si="19"/>
        <v/>
      </c>
      <c r="S104" s="328"/>
      <c r="T104" s="328" t="str">
        <f t="shared" si="20"/>
        <v/>
      </c>
      <c r="U104" s="329"/>
      <c r="V104" s="273"/>
      <c r="W104" s="5">
        <f t="shared" si="21"/>
        <v>0</v>
      </c>
      <c r="X104" s="5">
        <f t="shared" si="13"/>
        <v>0</v>
      </c>
      <c r="Z104" s="293">
        <f t="shared" si="26"/>
        <v>5</v>
      </c>
      <c r="AA104" s="232" t="str">
        <f>IF(AE104="","",VLOOKUP(CONCATENATE($Z104,AA$59),'Resultados - 1'!$A$10:$G$155,AA$58,FALSE))</f>
        <v/>
      </c>
      <c r="AE104" s="232" t="str">
        <f>VLOOKUP(CONCATENATE($Z104,AE$59),'Resultados - 1'!$A$10:$G$155,AE$58,FALSE)</f>
        <v/>
      </c>
      <c r="AF104" s="236"/>
      <c r="AG104" s="236"/>
      <c r="AH104" s="236"/>
      <c r="AI104" s="232" t="str">
        <f>VLOOKUP(CONCATENATE($Z104,AI$59),'Resultados - 1'!$A$10:$G$155,AI$58,FALSE)</f>
        <v/>
      </c>
      <c r="AJ104" s="236"/>
      <c r="AK104" s="236"/>
      <c r="AL104" s="232" t="str">
        <f>VLOOKUP(CONCATENATE($Z104,AL$59),'Resultados - 1'!$A$10:$G$155,AL$58,FALSE)</f>
        <v/>
      </c>
      <c r="AM104" s="236"/>
      <c r="AN104" s="236"/>
      <c r="AO104" s="232" t="str">
        <f>VLOOKUP(CONCATENATE($Z104,AO$59),'Resultados - 1'!$A$10:$G$155,AO$58,FALSE)</f>
        <v/>
      </c>
      <c r="AP104" s="236"/>
      <c r="AQ104" s="236"/>
      <c r="AR104" s="197" t="str">
        <f>VLOOKUP(CONCATENATE($Z104,AR$59),'Resultados - 1'!$A$10:$G$155,AR$58,FALSE)</f>
        <v/>
      </c>
      <c r="AS104" s="232">
        <f t="shared" si="14"/>
        <v>1</v>
      </c>
      <c r="AU104" s="232">
        <f t="shared" si="22"/>
        <v>0</v>
      </c>
      <c r="AV104" s="232">
        <f t="shared" si="27"/>
        <v>0</v>
      </c>
      <c r="AW104" s="236"/>
      <c r="AX104" s="236"/>
      <c r="AY104" s="232">
        <f t="shared" si="28"/>
        <v>0</v>
      </c>
    </row>
    <row r="105" spans="1:51" ht="12" hidden="1" customHeight="1" x14ac:dyDescent="0.2">
      <c r="A105" s="273"/>
      <c r="B105" s="327" t="str">
        <f t="shared" si="15"/>
        <v/>
      </c>
      <c r="C105" s="328"/>
      <c r="D105" s="328"/>
      <c r="E105" s="328" t="str">
        <f t="shared" si="25"/>
        <v/>
      </c>
      <c r="F105" s="328"/>
      <c r="G105" s="328"/>
      <c r="H105" s="328" t="str">
        <f t="shared" si="16"/>
        <v/>
      </c>
      <c r="I105" s="328"/>
      <c r="J105" s="328"/>
      <c r="K105" s="328"/>
      <c r="L105" s="328" t="str">
        <f t="shared" si="17"/>
        <v/>
      </c>
      <c r="M105" s="328"/>
      <c r="N105" s="328"/>
      <c r="O105" s="328" t="str">
        <f t="shared" si="18"/>
        <v/>
      </c>
      <c r="P105" s="328"/>
      <c r="Q105" s="328"/>
      <c r="R105" s="328" t="str">
        <f t="shared" si="19"/>
        <v/>
      </c>
      <c r="S105" s="328"/>
      <c r="T105" s="328" t="str">
        <f t="shared" si="20"/>
        <v/>
      </c>
      <c r="U105" s="329"/>
      <c r="V105" s="273"/>
      <c r="W105" s="5">
        <f t="shared" si="21"/>
        <v>0</v>
      </c>
      <c r="X105" s="5">
        <f t="shared" si="13"/>
        <v>0</v>
      </c>
      <c r="Z105" s="293">
        <f t="shared" si="26"/>
        <v>6</v>
      </c>
      <c r="AA105" s="232" t="str">
        <f>IF(AE105="","",VLOOKUP(CONCATENATE($Z105,AA$59),'Resultados - 1'!$A$10:$G$155,AA$58,FALSE))</f>
        <v/>
      </c>
      <c r="AE105" s="232" t="str">
        <f>VLOOKUP(CONCATENATE($Z105,AE$59),'Resultados - 1'!$A$10:$G$155,AE$58,FALSE)</f>
        <v/>
      </c>
      <c r="AF105" s="236"/>
      <c r="AG105" s="236"/>
      <c r="AH105" s="236"/>
      <c r="AI105" s="232" t="str">
        <f>VLOOKUP(CONCATENATE($Z105,AI$59),'Resultados - 1'!$A$10:$G$155,AI$58,FALSE)</f>
        <v/>
      </c>
      <c r="AJ105" s="236"/>
      <c r="AK105" s="236"/>
      <c r="AL105" s="232" t="str">
        <f>VLOOKUP(CONCATENATE($Z105,AL$59),'Resultados - 1'!$A$10:$G$155,AL$58,FALSE)</f>
        <v/>
      </c>
      <c r="AM105" s="236"/>
      <c r="AN105" s="236"/>
      <c r="AO105" s="232" t="str">
        <f>VLOOKUP(CONCATENATE($Z105,AO$59),'Resultados - 1'!$A$10:$G$155,AO$58,FALSE)</f>
        <v/>
      </c>
      <c r="AP105" s="236"/>
      <c r="AQ105" s="236"/>
      <c r="AR105" s="197" t="str">
        <f>VLOOKUP(CONCATENATE($Z105,AR$59),'Resultados - 1'!$A$10:$G$155,AR$58,FALSE)</f>
        <v/>
      </c>
      <c r="AS105" s="232">
        <f t="shared" si="14"/>
        <v>1</v>
      </c>
      <c r="AU105" s="232">
        <f t="shared" si="22"/>
        <v>0</v>
      </c>
      <c r="AV105" s="232">
        <f t="shared" si="27"/>
        <v>0</v>
      </c>
      <c r="AW105" s="236"/>
      <c r="AX105" s="236"/>
      <c r="AY105" s="232">
        <f t="shared" si="28"/>
        <v>0</v>
      </c>
    </row>
    <row r="106" spans="1:51" ht="12" hidden="1" customHeight="1" x14ac:dyDescent="0.2">
      <c r="A106" s="273"/>
      <c r="B106" s="327" t="str">
        <f t="shared" si="15"/>
        <v/>
      </c>
      <c r="C106" s="328"/>
      <c r="D106" s="328"/>
      <c r="E106" s="328" t="str">
        <f t="shared" si="25"/>
        <v/>
      </c>
      <c r="F106" s="328"/>
      <c r="G106" s="328"/>
      <c r="H106" s="328" t="str">
        <f t="shared" si="16"/>
        <v/>
      </c>
      <c r="I106" s="328"/>
      <c r="J106" s="328"/>
      <c r="K106" s="328"/>
      <c r="L106" s="328" t="str">
        <f t="shared" si="17"/>
        <v/>
      </c>
      <c r="M106" s="328"/>
      <c r="N106" s="328"/>
      <c r="O106" s="328" t="str">
        <f t="shared" si="18"/>
        <v/>
      </c>
      <c r="P106" s="328"/>
      <c r="Q106" s="328"/>
      <c r="R106" s="328" t="str">
        <f t="shared" si="19"/>
        <v/>
      </c>
      <c r="S106" s="328"/>
      <c r="T106" s="328" t="str">
        <f t="shared" si="20"/>
        <v/>
      </c>
      <c r="U106" s="329"/>
      <c r="V106" s="273"/>
      <c r="W106" s="5">
        <f t="shared" si="21"/>
        <v>0</v>
      </c>
      <c r="X106" s="5">
        <f t="shared" si="13"/>
        <v>0</v>
      </c>
      <c r="Z106" s="294">
        <f t="shared" si="26"/>
        <v>7</v>
      </c>
      <c r="AA106" s="232" t="str">
        <f>IF(AE106="","",VLOOKUP(CONCATENATE($Z106,AA$59),'Resultados - 1'!$A$10:$G$155,AA$58,FALSE))</f>
        <v/>
      </c>
      <c r="AB106" s="296"/>
      <c r="AC106" s="296"/>
      <c r="AD106" s="296"/>
      <c r="AE106" s="295" t="str">
        <f>VLOOKUP(CONCATENATE($Z106,AE$59),'Resultados - 1'!$A$10:$G$155,AE$58,FALSE)</f>
        <v/>
      </c>
      <c r="AF106" s="297"/>
      <c r="AG106" s="297"/>
      <c r="AH106" s="297"/>
      <c r="AI106" s="295" t="str">
        <f>VLOOKUP(CONCATENATE($Z106,AI$59),'Resultados - 1'!$A$10:$G$155,AI$58,FALSE)</f>
        <v/>
      </c>
      <c r="AJ106" s="297"/>
      <c r="AK106" s="297"/>
      <c r="AL106" s="295" t="str">
        <f>VLOOKUP(CONCATENATE($Z106,AL$59),'Resultados - 1'!$A$10:$G$155,AL$58,FALSE)</f>
        <v/>
      </c>
      <c r="AM106" s="297"/>
      <c r="AN106" s="297"/>
      <c r="AO106" s="295" t="str">
        <f>VLOOKUP(CONCATENATE($Z106,AO$59),'Resultados - 1'!$A$10:$G$155,AO$58,FALSE)</f>
        <v/>
      </c>
      <c r="AP106" s="297"/>
      <c r="AQ106" s="297"/>
      <c r="AR106" s="298" t="str">
        <f>VLOOKUP(CONCATENATE($Z106,AR$59),'Resultados - 1'!$A$10:$G$155,AR$58,FALSE)</f>
        <v/>
      </c>
      <c r="AS106" s="232">
        <f t="shared" si="14"/>
        <v>1</v>
      </c>
      <c r="AU106" s="232">
        <f t="shared" si="22"/>
        <v>0</v>
      </c>
      <c r="AV106" s="232">
        <f t="shared" si="27"/>
        <v>0</v>
      </c>
      <c r="AW106" s="236"/>
      <c r="AX106" s="236"/>
      <c r="AY106" s="232">
        <f t="shared" si="28"/>
        <v>0</v>
      </c>
    </row>
    <row r="107" spans="1:51" ht="12" hidden="1" customHeight="1" x14ac:dyDescent="0.2">
      <c r="A107" s="230"/>
      <c r="B107" s="338" t="str">
        <f>IF(Dados!$Z$9=3,IF(Z107=0,"",CONCATENATE(Z107," - Faixa de medição : (",AB107,AD107,AE107,") ",AG107)),IF(Z107=0,"",Z107))</f>
        <v/>
      </c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230"/>
      <c r="W107" s="5">
        <f>IF(X107=0,0,IF(W108=0,0,1))</f>
        <v>0</v>
      </c>
      <c r="X107" s="5">
        <f>IF(AS107&lt;=$AA$90,1,0)</f>
        <v>0</v>
      </c>
      <c r="Z107" s="289">
        <f>'Resultados - 2'!$G$4</f>
        <v>0</v>
      </c>
      <c r="AA107" s="290"/>
      <c r="AB107" s="290">
        <f>'Resultados - 2'!$N$4</f>
        <v>0</v>
      </c>
      <c r="AC107" s="290"/>
      <c r="AD107" s="290" t="str">
        <f>'Resultados - 2'!$P$4</f>
        <v>~</v>
      </c>
      <c r="AE107" s="290">
        <f>'Resultados - 2'!$Q$4</f>
        <v>0</v>
      </c>
      <c r="AF107" s="290"/>
      <c r="AG107" s="290" t="str">
        <f>'Resultados - 2'!$G$12</f>
        <v>µL</v>
      </c>
      <c r="AH107" s="291"/>
      <c r="AI107" s="290"/>
      <c r="AJ107" s="291"/>
      <c r="AK107" s="291"/>
      <c r="AL107" s="290"/>
      <c r="AM107" s="291"/>
      <c r="AN107" s="291"/>
      <c r="AO107" s="290"/>
      <c r="AP107" s="291"/>
      <c r="AQ107" s="291"/>
      <c r="AR107" s="292"/>
      <c r="AS107" s="232">
        <f>AS106+1</f>
        <v>2</v>
      </c>
    </row>
    <row r="108" spans="1:51" ht="12" hidden="1" customHeight="1" x14ac:dyDescent="0.2">
      <c r="A108" s="230"/>
      <c r="B108" s="327" t="str">
        <f>AA108</f>
        <v/>
      </c>
      <c r="C108" s="328"/>
      <c r="D108" s="328"/>
      <c r="E108" s="328" t="str">
        <f>IF(B108="","",AG107)</f>
        <v/>
      </c>
      <c r="F108" s="328"/>
      <c r="G108" s="328"/>
      <c r="H108" s="328" t="str">
        <f>AE108</f>
        <v/>
      </c>
      <c r="I108" s="328"/>
      <c r="J108" s="328"/>
      <c r="K108" s="328"/>
      <c r="L108" s="328" t="str">
        <f>AI108</f>
        <v/>
      </c>
      <c r="M108" s="328"/>
      <c r="N108" s="328"/>
      <c r="O108" s="328" t="str">
        <f>AL108</f>
        <v/>
      </c>
      <c r="P108" s="328"/>
      <c r="Q108" s="328"/>
      <c r="R108" s="328" t="str">
        <f>AO108</f>
        <v/>
      </c>
      <c r="S108" s="328"/>
      <c r="T108" s="328" t="str">
        <f>AR108</f>
        <v/>
      </c>
      <c r="U108" s="329"/>
      <c r="V108" s="230"/>
      <c r="W108" s="5">
        <f t="shared" si="21"/>
        <v>0</v>
      </c>
      <c r="X108" s="5">
        <f t="shared" ref="X108:X146" si="29">IF(AS108&lt;=$AA$90,1,0)</f>
        <v>0</v>
      </c>
      <c r="Z108" s="293">
        <v>1</v>
      </c>
      <c r="AA108" s="232" t="str">
        <f>IF(AE108="","",VLOOKUP(CONCATENATE($Z108,AA$59),'Resultados - 2'!$A$10:$G$155,AA$58,FALSE))</f>
        <v/>
      </c>
      <c r="AE108" s="232" t="str">
        <f>VLOOKUP(CONCATENATE($Z108,AE$59),'Resultados - 2'!$A$10:$G$155,AE$58,FALSE)</f>
        <v/>
      </c>
      <c r="AF108" s="236"/>
      <c r="AG108" s="236"/>
      <c r="AH108" s="236"/>
      <c r="AI108" s="232" t="str">
        <f>VLOOKUP(CONCATENATE($Z108,AI$59),'Resultados - 2'!$A$10:$G$155,AI$58,FALSE)</f>
        <v/>
      </c>
      <c r="AJ108" s="236"/>
      <c r="AK108" s="236"/>
      <c r="AL108" s="232" t="str">
        <f>VLOOKUP(CONCATENATE($Z108,AL$59),'Resultados - 2'!$A$10:$G$155,AL$58,FALSE)</f>
        <v/>
      </c>
      <c r="AM108" s="236"/>
      <c r="AN108" s="236"/>
      <c r="AO108" s="232" t="str">
        <f>VLOOKUP(CONCATENATE($Z108,AO$59),'Resultados - 2'!$A$10:$G$155,AO$58,FALSE)</f>
        <v/>
      </c>
      <c r="AP108" s="236"/>
      <c r="AQ108" s="236"/>
      <c r="AR108" s="197" t="str">
        <f>VLOOKUP(CONCATENATE($Z108,AR$59),'Resultados - 2'!$A$10:$G$155,AR$58,FALSE)</f>
        <v/>
      </c>
      <c r="AS108" s="232">
        <f t="shared" ref="AS108:AS114" si="30">AS107</f>
        <v>2</v>
      </c>
      <c r="AU108" s="232">
        <f t="shared" ref="AU108:AU146" si="31">ABS(AV108)</f>
        <v>0</v>
      </c>
      <c r="AV108" s="232">
        <f>IF(AI108="",0,AI108*1)</f>
        <v>0</v>
      </c>
      <c r="AW108" s="236"/>
      <c r="AX108" s="236"/>
      <c r="AY108" s="232">
        <f>IF(AL108="",0,AL108*1)</f>
        <v>0</v>
      </c>
    </row>
    <row r="109" spans="1:51" ht="12" hidden="1" customHeight="1" x14ac:dyDescent="0.2">
      <c r="A109" s="230"/>
      <c r="B109" s="327" t="str">
        <f t="shared" ref="B109:B114" si="32">AA109</f>
        <v/>
      </c>
      <c r="C109" s="328"/>
      <c r="D109" s="328"/>
      <c r="E109" s="328" t="str">
        <f>IF(B109="","",E108)</f>
        <v/>
      </c>
      <c r="F109" s="328"/>
      <c r="G109" s="328"/>
      <c r="H109" s="328" t="str">
        <f t="shared" ref="H109:H114" si="33">AE109</f>
        <v/>
      </c>
      <c r="I109" s="328"/>
      <c r="J109" s="328"/>
      <c r="K109" s="328"/>
      <c r="L109" s="328" t="str">
        <f t="shared" ref="L109:L114" si="34">AI109</f>
        <v/>
      </c>
      <c r="M109" s="328"/>
      <c r="N109" s="328"/>
      <c r="O109" s="328" t="str">
        <f t="shared" ref="O109:O114" si="35">AL109</f>
        <v/>
      </c>
      <c r="P109" s="328"/>
      <c r="Q109" s="328"/>
      <c r="R109" s="328" t="str">
        <f t="shared" ref="R109:R114" si="36">AO109</f>
        <v/>
      </c>
      <c r="S109" s="328"/>
      <c r="T109" s="328" t="str">
        <f t="shared" ref="T109:T114" si="37">AR109</f>
        <v/>
      </c>
      <c r="U109" s="329"/>
      <c r="V109" s="230"/>
      <c r="W109" s="5">
        <f t="shared" si="21"/>
        <v>0</v>
      </c>
      <c r="X109" s="5">
        <f t="shared" si="29"/>
        <v>0</v>
      </c>
      <c r="Z109" s="293">
        <f>Z108+1</f>
        <v>2</v>
      </c>
      <c r="AA109" s="232" t="str">
        <f>IF(AE109="","",VLOOKUP(CONCATENATE($Z109,AA$59),'Resultados - 2'!$A$10:$G$155,AA$58,FALSE))</f>
        <v/>
      </c>
      <c r="AE109" s="232" t="str">
        <f>VLOOKUP(CONCATENATE($Z109,AE$59),'Resultados - 2'!$A$10:$G$155,AE$58,FALSE)</f>
        <v/>
      </c>
      <c r="AF109" s="236"/>
      <c r="AG109" s="236"/>
      <c r="AH109" s="236"/>
      <c r="AI109" s="232" t="str">
        <f>VLOOKUP(CONCATENATE($Z109,AI$59),'Resultados - 2'!$A$10:$G$155,AI$58,FALSE)</f>
        <v/>
      </c>
      <c r="AJ109" s="236"/>
      <c r="AK109" s="236"/>
      <c r="AL109" s="232" t="str">
        <f>VLOOKUP(CONCATENATE($Z109,AL$59),'Resultados - 2'!$A$10:$G$155,AL$58,FALSE)</f>
        <v/>
      </c>
      <c r="AM109" s="236"/>
      <c r="AN109" s="236"/>
      <c r="AO109" s="232" t="str">
        <f>VLOOKUP(CONCATENATE($Z109,AO$59),'Resultados - 2'!$A$10:$G$155,AO$58,FALSE)</f>
        <v/>
      </c>
      <c r="AP109" s="236"/>
      <c r="AQ109" s="236"/>
      <c r="AR109" s="197" t="str">
        <f>VLOOKUP(CONCATENATE($Z109,AR$59),'Resultados - 2'!$A$10:$G$155,AR$58,FALSE)</f>
        <v/>
      </c>
      <c r="AS109" s="232">
        <f t="shared" si="30"/>
        <v>2</v>
      </c>
      <c r="AU109" s="232">
        <f t="shared" si="31"/>
        <v>0</v>
      </c>
      <c r="AV109" s="232">
        <f t="shared" ref="AV109:AV114" si="38">IF(AI109="",0,AI109*1)</f>
        <v>0</v>
      </c>
      <c r="AW109" s="236"/>
      <c r="AX109" s="236"/>
      <c r="AY109" s="232">
        <f t="shared" ref="AY109:AY114" si="39">IF(AL109="",0,AL109*1)</f>
        <v>0</v>
      </c>
    </row>
    <row r="110" spans="1:51" ht="12" hidden="1" customHeight="1" x14ac:dyDescent="0.2">
      <c r="A110" s="230"/>
      <c r="B110" s="327" t="str">
        <f t="shared" si="32"/>
        <v/>
      </c>
      <c r="C110" s="328"/>
      <c r="D110" s="328"/>
      <c r="E110" s="328" t="str">
        <f t="shared" ref="E110:E114" si="40">IF(B110="","",E109)</f>
        <v/>
      </c>
      <c r="F110" s="328"/>
      <c r="G110" s="328"/>
      <c r="H110" s="328" t="str">
        <f t="shared" si="33"/>
        <v/>
      </c>
      <c r="I110" s="328"/>
      <c r="J110" s="328"/>
      <c r="K110" s="328"/>
      <c r="L110" s="328" t="str">
        <f t="shared" si="34"/>
        <v/>
      </c>
      <c r="M110" s="328"/>
      <c r="N110" s="328"/>
      <c r="O110" s="328" t="str">
        <f t="shared" si="35"/>
        <v/>
      </c>
      <c r="P110" s="328"/>
      <c r="Q110" s="328"/>
      <c r="R110" s="328" t="str">
        <f t="shared" si="36"/>
        <v/>
      </c>
      <c r="S110" s="328"/>
      <c r="T110" s="328" t="str">
        <f t="shared" si="37"/>
        <v/>
      </c>
      <c r="U110" s="329"/>
      <c r="V110" s="230"/>
      <c r="W110" s="5">
        <f t="shared" si="21"/>
        <v>0</v>
      </c>
      <c r="X110" s="5">
        <f t="shared" si="29"/>
        <v>0</v>
      </c>
      <c r="Z110" s="293">
        <f t="shared" ref="Z110:Z114" si="41">Z109+1</f>
        <v>3</v>
      </c>
      <c r="AA110" s="232" t="str">
        <f>IF(AE110="","",VLOOKUP(CONCATENATE($Z110,AA$59),'Resultados - 2'!$A$10:$G$155,AA$58,FALSE))</f>
        <v/>
      </c>
      <c r="AE110" s="232" t="str">
        <f>VLOOKUP(CONCATENATE($Z110,AE$59),'Resultados - 2'!$A$10:$G$155,AE$58,FALSE)</f>
        <v/>
      </c>
      <c r="AF110" s="236"/>
      <c r="AG110" s="236"/>
      <c r="AH110" s="236"/>
      <c r="AI110" s="232" t="str">
        <f>VLOOKUP(CONCATENATE($Z110,AI$59),'Resultados - 2'!$A$10:$G$155,AI$58,FALSE)</f>
        <v/>
      </c>
      <c r="AJ110" s="236"/>
      <c r="AK110" s="236"/>
      <c r="AL110" s="232" t="str">
        <f>VLOOKUP(CONCATENATE($Z110,AL$59),'Resultados - 2'!$A$10:$G$155,AL$58,FALSE)</f>
        <v/>
      </c>
      <c r="AM110" s="236"/>
      <c r="AN110" s="236"/>
      <c r="AO110" s="232" t="str">
        <f>VLOOKUP(CONCATENATE($Z110,AO$59),'Resultados - 2'!$A$10:$G$155,AO$58,FALSE)</f>
        <v/>
      </c>
      <c r="AP110" s="236"/>
      <c r="AQ110" s="236"/>
      <c r="AR110" s="197" t="str">
        <f>VLOOKUP(CONCATENATE($Z110,AR$59),'Resultados - 2'!$A$10:$G$155,AR$58,FALSE)</f>
        <v/>
      </c>
      <c r="AS110" s="232">
        <f t="shared" si="30"/>
        <v>2</v>
      </c>
      <c r="AU110" s="232">
        <f t="shared" si="31"/>
        <v>0</v>
      </c>
      <c r="AV110" s="232">
        <f t="shared" si="38"/>
        <v>0</v>
      </c>
      <c r="AW110" s="236"/>
      <c r="AX110" s="236"/>
      <c r="AY110" s="232">
        <f t="shared" si="39"/>
        <v>0</v>
      </c>
    </row>
    <row r="111" spans="1:51" ht="12" hidden="1" customHeight="1" x14ac:dyDescent="0.2">
      <c r="A111" s="230"/>
      <c r="B111" s="327" t="str">
        <f t="shared" si="32"/>
        <v/>
      </c>
      <c r="C111" s="328"/>
      <c r="D111" s="328"/>
      <c r="E111" s="328" t="str">
        <f t="shared" si="40"/>
        <v/>
      </c>
      <c r="F111" s="328"/>
      <c r="G111" s="328"/>
      <c r="H111" s="328" t="str">
        <f t="shared" si="33"/>
        <v/>
      </c>
      <c r="I111" s="328"/>
      <c r="J111" s="328"/>
      <c r="K111" s="328"/>
      <c r="L111" s="328" t="str">
        <f t="shared" si="34"/>
        <v/>
      </c>
      <c r="M111" s="328"/>
      <c r="N111" s="328"/>
      <c r="O111" s="328" t="str">
        <f t="shared" si="35"/>
        <v/>
      </c>
      <c r="P111" s="328"/>
      <c r="Q111" s="328"/>
      <c r="R111" s="328" t="str">
        <f t="shared" si="36"/>
        <v/>
      </c>
      <c r="S111" s="328"/>
      <c r="T111" s="328" t="str">
        <f t="shared" si="37"/>
        <v/>
      </c>
      <c r="U111" s="329"/>
      <c r="V111" s="230"/>
      <c r="W111" s="5">
        <f t="shared" si="21"/>
        <v>0</v>
      </c>
      <c r="X111" s="5">
        <f t="shared" si="29"/>
        <v>0</v>
      </c>
      <c r="Z111" s="293">
        <f t="shared" si="41"/>
        <v>4</v>
      </c>
      <c r="AA111" s="232" t="str">
        <f>IF(AE111="","",VLOOKUP(CONCATENATE($Z111,AA$59),'Resultados - 2'!$A$10:$G$155,AA$58,FALSE))</f>
        <v/>
      </c>
      <c r="AE111" s="232" t="str">
        <f>VLOOKUP(CONCATENATE($Z111,AE$59),'Resultados - 2'!$A$10:$G$155,AE$58,FALSE)</f>
        <v/>
      </c>
      <c r="AF111" s="236"/>
      <c r="AG111" s="236"/>
      <c r="AH111" s="236"/>
      <c r="AI111" s="232" t="str">
        <f>VLOOKUP(CONCATENATE($Z111,AI$59),'Resultados - 2'!$A$10:$G$155,AI$58,FALSE)</f>
        <v/>
      </c>
      <c r="AJ111" s="236"/>
      <c r="AK111" s="236"/>
      <c r="AL111" s="232" t="str">
        <f>VLOOKUP(CONCATENATE($Z111,AL$59),'Resultados - 2'!$A$10:$G$155,AL$58,FALSE)</f>
        <v/>
      </c>
      <c r="AM111" s="236"/>
      <c r="AN111" s="236"/>
      <c r="AO111" s="232" t="str">
        <f>VLOOKUP(CONCATENATE($Z111,AO$59),'Resultados - 2'!$A$10:$G$155,AO$58,FALSE)</f>
        <v/>
      </c>
      <c r="AP111" s="236"/>
      <c r="AQ111" s="236"/>
      <c r="AR111" s="197" t="str">
        <f>VLOOKUP(CONCATENATE($Z111,AR$59),'Resultados - 2'!$A$10:$G$155,AR$58,FALSE)</f>
        <v/>
      </c>
      <c r="AS111" s="232">
        <f t="shared" si="30"/>
        <v>2</v>
      </c>
      <c r="AU111" s="232">
        <f t="shared" si="31"/>
        <v>0</v>
      </c>
      <c r="AV111" s="232">
        <f t="shared" si="38"/>
        <v>0</v>
      </c>
      <c r="AW111" s="236"/>
      <c r="AX111" s="236"/>
      <c r="AY111" s="232">
        <f t="shared" si="39"/>
        <v>0</v>
      </c>
    </row>
    <row r="112" spans="1:51" ht="12" hidden="1" customHeight="1" x14ac:dyDescent="0.2">
      <c r="A112" s="230"/>
      <c r="B112" s="327" t="str">
        <f t="shared" si="32"/>
        <v/>
      </c>
      <c r="C112" s="328"/>
      <c r="D112" s="328"/>
      <c r="E112" s="328" t="str">
        <f t="shared" si="40"/>
        <v/>
      </c>
      <c r="F112" s="328"/>
      <c r="G112" s="328"/>
      <c r="H112" s="328" t="str">
        <f t="shared" si="33"/>
        <v/>
      </c>
      <c r="I112" s="328"/>
      <c r="J112" s="328"/>
      <c r="K112" s="328"/>
      <c r="L112" s="328" t="str">
        <f t="shared" si="34"/>
        <v/>
      </c>
      <c r="M112" s="328"/>
      <c r="N112" s="328"/>
      <c r="O112" s="328" t="str">
        <f t="shared" si="35"/>
        <v/>
      </c>
      <c r="P112" s="328"/>
      <c r="Q112" s="328"/>
      <c r="R112" s="328" t="str">
        <f t="shared" si="36"/>
        <v/>
      </c>
      <c r="S112" s="328"/>
      <c r="T112" s="328" t="str">
        <f t="shared" si="37"/>
        <v/>
      </c>
      <c r="U112" s="329"/>
      <c r="V112" s="230"/>
      <c r="W112" s="5">
        <f t="shared" si="21"/>
        <v>0</v>
      </c>
      <c r="X112" s="5">
        <f t="shared" si="29"/>
        <v>0</v>
      </c>
      <c r="Z112" s="293">
        <f t="shared" si="41"/>
        <v>5</v>
      </c>
      <c r="AA112" s="232" t="str">
        <f>IF(AE112="","",VLOOKUP(CONCATENATE($Z112,AA$59),'Resultados - 2'!$A$10:$G$155,AA$58,FALSE))</f>
        <v/>
      </c>
      <c r="AE112" s="232" t="str">
        <f>VLOOKUP(CONCATENATE($Z112,AE$59),'Resultados - 2'!$A$10:$G$155,AE$58,FALSE)</f>
        <v/>
      </c>
      <c r="AF112" s="236"/>
      <c r="AG112" s="236"/>
      <c r="AH112" s="236"/>
      <c r="AI112" s="232" t="str">
        <f>VLOOKUP(CONCATENATE($Z112,AI$59),'Resultados - 2'!$A$10:$G$155,AI$58,FALSE)</f>
        <v/>
      </c>
      <c r="AJ112" s="236"/>
      <c r="AK112" s="236"/>
      <c r="AL112" s="232" t="str">
        <f>VLOOKUP(CONCATENATE($Z112,AL$59),'Resultados - 2'!$A$10:$G$155,AL$58,FALSE)</f>
        <v/>
      </c>
      <c r="AM112" s="236"/>
      <c r="AN112" s="236"/>
      <c r="AO112" s="232" t="str">
        <f>VLOOKUP(CONCATENATE($Z112,AO$59),'Resultados - 2'!$A$10:$G$155,AO$58,FALSE)</f>
        <v/>
      </c>
      <c r="AP112" s="236"/>
      <c r="AQ112" s="236"/>
      <c r="AR112" s="197" t="str">
        <f>VLOOKUP(CONCATENATE($Z112,AR$59),'Resultados - 2'!$A$10:$G$155,AR$58,FALSE)</f>
        <v/>
      </c>
      <c r="AS112" s="232">
        <f t="shared" si="30"/>
        <v>2</v>
      </c>
      <c r="AU112" s="232">
        <f t="shared" si="31"/>
        <v>0</v>
      </c>
      <c r="AV112" s="232">
        <f t="shared" si="38"/>
        <v>0</v>
      </c>
      <c r="AW112" s="236"/>
      <c r="AX112" s="236"/>
      <c r="AY112" s="232">
        <f t="shared" si="39"/>
        <v>0</v>
      </c>
    </row>
    <row r="113" spans="1:51" ht="12" hidden="1" customHeight="1" x14ac:dyDescent="0.2">
      <c r="A113" s="230"/>
      <c r="B113" s="327" t="str">
        <f t="shared" si="32"/>
        <v/>
      </c>
      <c r="C113" s="328"/>
      <c r="D113" s="328"/>
      <c r="E113" s="328" t="str">
        <f t="shared" si="40"/>
        <v/>
      </c>
      <c r="F113" s="328"/>
      <c r="G113" s="328"/>
      <c r="H113" s="328" t="str">
        <f t="shared" si="33"/>
        <v/>
      </c>
      <c r="I113" s="328"/>
      <c r="J113" s="328"/>
      <c r="K113" s="328"/>
      <c r="L113" s="328" t="str">
        <f t="shared" si="34"/>
        <v/>
      </c>
      <c r="M113" s="328"/>
      <c r="N113" s="328"/>
      <c r="O113" s="328" t="str">
        <f t="shared" si="35"/>
        <v/>
      </c>
      <c r="P113" s="328"/>
      <c r="Q113" s="328"/>
      <c r="R113" s="328" t="str">
        <f t="shared" si="36"/>
        <v/>
      </c>
      <c r="S113" s="328"/>
      <c r="T113" s="328" t="str">
        <f t="shared" si="37"/>
        <v/>
      </c>
      <c r="U113" s="329"/>
      <c r="V113" s="230"/>
      <c r="W113" s="5">
        <f t="shared" si="21"/>
        <v>0</v>
      </c>
      <c r="X113" s="5">
        <f t="shared" si="29"/>
        <v>0</v>
      </c>
      <c r="Z113" s="293">
        <f t="shared" si="41"/>
        <v>6</v>
      </c>
      <c r="AA113" s="232" t="str">
        <f>IF(AE113="","",VLOOKUP(CONCATENATE($Z113,AA$59),'Resultados - 2'!$A$10:$G$155,AA$58,FALSE))</f>
        <v/>
      </c>
      <c r="AE113" s="232" t="str">
        <f>VLOOKUP(CONCATENATE($Z113,AE$59),'Resultados - 2'!$A$10:$G$155,AE$58,FALSE)</f>
        <v/>
      </c>
      <c r="AF113" s="236"/>
      <c r="AG113" s="236"/>
      <c r="AH113" s="236"/>
      <c r="AI113" s="232" t="str">
        <f>VLOOKUP(CONCATENATE($Z113,AI$59),'Resultados - 2'!$A$10:$G$155,AI$58,FALSE)</f>
        <v/>
      </c>
      <c r="AJ113" s="236"/>
      <c r="AK113" s="236"/>
      <c r="AL113" s="232" t="str">
        <f>VLOOKUP(CONCATENATE($Z113,AL$59),'Resultados - 2'!$A$10:$G$155,AL$58,FALSE)</f>
        <v/>
      </c>
      <c r="AM113" s="236"/>
      <c r="AN113" s="236"/>
      <c r="AO113" s="232" t="str">
        <f>VLOOKUP(CONCATENATE($Z113,AO$59),'Resultados - 2'!$A$10:$G$155,AO$58,FALSE)</f>
        <v/>
      </c>
      <c r="AP113" s="236"/>
      <c r="AQ113" s="236"/>
      <c r="AR113" s="197" t="str">
        <f>VLOOKUP(CONCATENATE($Z113,AR$59),'Resultados - 2'!$A$10:$G$155,AR$58,FALSE)</f>
        <v/>
      </c>
      <c r="AS113" s="232">
        <f t="shared" si="30"/>
        <v>2</v>
      </c>
      <c r="AU113" s="232">
        <f t="shared" si="31"/>
        <v>0</v>
      </c>
      <c r="AV113" s="232">
        <f t="shared" si="38"/>
        <v>0</v>
      </c>
      <c r="AW113" s="236"/>
      <c r="AX113" s="236"/>
      <c r="AY113" s="232">
        <f t="shared" si="39"/>
        <v>0</v>
      </c>
    </row>
    <row r="114" spans="1:51" ht="12" hidden="1" customHeight="1" x14ac:dyDescent="0.2">
      <c r="A114" s="230"/>
      <c r="B114" s="327" t="str">
        <f t="shared" si="32"/>
        <v/>
      </c>
      <c r="C114" s="328"/>
      <c r="D114" s="328"/>
      <c r="E114" s="328" t="str">
        <f t="shared" si="40"/>
        <v/>
      </c>
      <c r="F114" s="328"/>
      <c r="G114" s="328"/>
      <c r="H114" s="328" t="str">
        <f t="shared" si="33"/>
        <v/>
      </c>
      <c r="I114" s="328"/>
      <c r="J114" s="328"/>
      <c r="K114" s="328"/>
      <c r="L114" s="328" t="str">
        <f t="shared" si="34"/>
        <v/>
      </c>
      <c r="M114" s="328"/>
      <c r="N114" s="328"/>
      <c r="O114" s="328" t="str">
        <f t="shared" si="35"/>
        <v/>
      </c>
      <c r="P114" s="328"/>
      <c r="Q114" s="328"/>
      <c r="R114" s="328" t="str">
        <f t="shared" si="36"/>
        <v/>
      </c>
      <c r="S114" s="328"/>
      <c r="T114" s="328" t="str">
        <f t="shared" si="37"/>
        <v/>
      </c>
      <c r="U114" s="329"/>
      <c r="V114" s="230"/>
      <c r="W114" s="5">
        <f t="shared" si="21"/>
        <v>0</v>
      </c>
      <c r="X114" s="5">
        <f t="shared" si="29"/>
        <v>0</v>
      </c>
      <c r="Z114" s="294">
        <f t="shared" si="41"/>
        <v>7</v>
      </c>
      <c r="AA114" s="232" t="str">
        <f>IF(AE114="","",VLOOKUP(CONCATENATE($Z114,AA$59),'Resultados - 2'!$A$10:$G$155,AA$58,FALSE))</f>
        <v/>
      </c>
      <c r="AB114" s="296"/>
      <c r="AC114" s="296"/>
      <c r="AD114" s="296"/>
      <c r="AE114" s="295" t="str">
        <f>VLOOKUP(CONCATENATE($Z114,AE$59),'Resultados - 2'!$A$10:$G$155,AE$58,FALSE)</f>
        <v/>
      </c>
      <c r="AF114" s="297"/>
      <c r="AG114" s="297"/>
      <c r="AH114" s="297"/>
      <c r="AI114" s="295" t="str">
        <f>VLOOKUP(CONCATENATE($Z114,AI$59),'Resultados - 2'!$A$10:$G$155,AI$58,FALSE)</f>
        <v/>
      </c>
      <c r="AJ114" s="297"/>
      <c r="AK114" s="297"/>
      <c r="AL114" s="295" t="str">
        <f>VLOOKUP(CONCATENATE($Z114,AL$59),'Resultados - 2'!$A$10:$G$155,AL$58,FALSE)</f>
        <v/>
      </c>
      <c r="AM114" s="297"/>
      <c r="AN114" s="297"/>
      <c r="AO114" s="295" t="str">
        <f>VLOOKUP(CONCATENATE($Z114,AO$59),'Resultados - 2'!$A$10:$G$155,AO$58,FALSE)</f>
        <v/>
      </c>
      <c r="AP114" s="297"/>
      <c r="AQ114" s="297"/>
      <c r="AR114" s="298" t="str">
        <f>VLOOKUP(CONCATENATE($Z114,AR$59),'Resultados - 2'!$A$10:$G$155,AR$58,FALSE)</f>
        <v/>
      </c>
      <c r="AS114" s="232">
        <f t="shared" si="30"/>
        <v>2</v>
      </c>
      <c r="AU114" s="232">
        <f t="shared" si="31"/>
        <v>0</v>
      </c>
      <c r="AV114" s="232">
        <f t="shared" si="38"/>
        <v>0</v>
      </c>
      <c r="AW114" s="236"/>
      <c r="AX114" s="236"/>
      <c r="AY114" s="232">
        <f t="shared" si="39"/>
        <v>0</v>
      </c>
    </row>
    <row r="115" spans="1:51" ht="12" hidden="1" customHeight="1" x14ac:dyDescent="0.2">
      <c r="A115" s="230"/>
      <c r="B115" s="338" t="str">
        <f>IF(Dados!$Z$9=3,IF(Z115=0,"",CONCATENATE(Z115," - Faixa de medição : (",AB115,AD115,AE115,") ",AG115)),IF(Z115=0,"",Z115))</f>
        <v/>
      </c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230"/>
      <c r="W115" s="5">
        <f>IF(X115=0,0,IF(W116=0,0,1))</f>
        <v>0</v>
      </c>
      <c r="X115" s="5">
        <f t="shared" si="29"/>
        <v>0</v>
      </c>
      <c r="Z115" s="289">
        <f>'Resultados - 3'!$G$4</f>
        <v>0</v>
      </c>
      <c r="AA115" s="290"/>
      <c r="AB115" s="290">
        <f>'Resultados - 3'!$N$4</f>
        <v>0</v>
      </c>
      <c r="AC115" s="290"/>
      <c r="AD115" s="290" t="str">
        <f>'Resultados - 3'!$P$4</f>
        <v>~</v>
      </c>
      <c r="AE115" s="290">
        <f>'Resultados - 3'!$Q$4</f>
        <v>0</v>
      </c>
      <c r="AF115" s="290"/>
      <c r="AG115" s="290" t="str">
        <f>'Resultados - 3'!$G$12</f>
        <v>µL</v>
      </c>
      <c r="AH115" s="291"/>
      <c r="AI115" s="290"/>
      <c r="AJ115" s="291"/>
      <c r="AK115" s="291"/>
      <c r="AL115" s="290"/>
      <c r="AM115" s="291"/>
      <c r="AN115" s="291"/>
      <c r="AO115" s="290"/>
      <c r="AP115" s="291"/>
      <c r="AQ115" s="291"/>
      <c r="AR115" s="292"/>
      <c r="AS115" s="232">
        <f>AS114+1</f>
        <v>3</v>
      </c>
    </row>
    <row r="116" spans="1:51" ht="12" hidden="1" customHeight="1" x14ac:dyDescent="0.2">
      <c r="A116" s="230"/>
      <c r="B116" s="327" t="str">
        <f>AA116</f>
        <v/>
      </c>
      <c r="C116" s="328"/>
      <c r="D116" s="328"/>
      <c r="E116" s="328" t="str">
        <f>IF(B116="","",AG115)</f>
        <v/>
      </c>
      <c r="F116" s="328"/>
      <c r="G116" s="328"/>
      <c r="H116" s="328" t="str">
        <f>AE116</f>
        <v/>
      </c>
      <c r="I116" s="328"/>
      <c r="J116" s="328"/>
      <c r="K116" s="328"/>
      <c r="L116" s="328" t="str">
        <f>AI116</f>
        <v/>
      </c>
      <c r="M116" s="328"/>
      <c r="N116" s="328"/>
      <c r="O116" s="328" t="str">
        <f>AL116</f>
        <v/>
      </c>
      <c r="P116" s="328"/>
      <c r="Q116" s="328"/>
      <c r="R116" s="328" t="str">
        <f>AO116</f>
        <v/>
      </c>
      <c r="S116" s="328"/>
      <c r="T116" s="328" t="str">
        <f>AR116</f>
        <v/>
      </c>
      <c r="U116" s="329"/>
      <c r="V116" s="230"/>
      <c r="W116" s="5">
        <f t="shared" si="21"/>
        <v>0</v>
      </c>
      <c r="X116" s="5">
        <f t="shared" si="29"/>
        <v>0</v>
      </c>
      <c r="Z116" s="293">
        <v>1</v>
      </c>
      <c r="AA116" s="232" t="str">
        <f>IF(AE116="","",VLOOKUP(CONCATENATE($Z116,AA$59),'Resultados - 3'!$A$10:$G$155,AA$58,FALSE))</f>
        <v/>
      </c>
      <c r="AE116" s="232" t="str">
        <f>VLOOKUP(CONCATENATE($Z116,AE$59),'Resultados - 3'!$A$10:$G$155,AE$58,FALSE)</f>
        <v/>
      </c>
      <c r="AF116" s="236"/>
      <c r="AG116" s="236"/>
      <c r="AH116" s="236"/>
      <c r="AI116" s="232" t="str">
        <f>VLOOKUP(CONCATENATE($Z116,AI$59),'Resultados - 3'!$A$10:$G$155,AI$58,FALSE)</f>
        <v/>
      </c>
      <c r="AJ116" s="236"/>
      <c r="AK116" s="236"/>
      <c r="AL116" s="232" t="str">
        <f>VLOOKUP(CONCATENATE($Z116,AL$59),'Resultados - 3'!$A$10:$G$155,AL$58,FALSE)</f>
        <v/>
      </c>
      <c r="AM116" s="236"/>
      <c r="AN116" s="236"/>
      <c r="AO116" s="232" t="str">
        <f>VLOOKUP(CONCATENATE($Z116,AO$59),'Resultados - 3'!$A$10:$G$155,AO$58,FALSE)</f>
        <v/>
      </c>
      <c r="AP116" s="236"/>
      <c r="AQ116" s="236"/>
      <c r="AR116" s="197" t="str">
        <f>VLOOKUP(CONCATENATE($Z116,AR$59),'Resultados - 3'!$A$10:$G$155,AR$58,FALSE)</f>
        <v/>
      </c>
      <c r="AS116" s="232">
        <f t="shared" ref="AS116:AS122" si="42">AS115</f>
        <v>3</v>
      </c>
      <c r="AU116" s="232">
        <f t="shared" ref="AU116" si="43">ABS(AV116)</f>
        <v>0</v>
      </c>
      <c r="AV116" s="232">
        <f>IF(AI116="",0,AI116*1)</f>
        <v>0</v>
      </c>
      <c r="AW116" s="236"/>
      <c r="AX116" s="236"/>
      <c r="AY116" s="232">
        <f>IF(AL116="",0,AL116*1)</f>
        <v>0</v>
      </c>
    </row>
    <row r="117" spans="1:51" ht="12" hidden="1" customHeight="1" x14ac:dyDescent="0.2">
      <c r="A117" s="230"/>
      <c r="B117" s="327" t="str">
        <f t="shared" ref="B117:B122" si="44">AA117</f>
        <v/>
      </c>
      <c r="C117" s="328"/>
      <c r="D117" s="328"/>
      <c r="E117" s="328" t="str">
        <f>IF(B117="","",E116)</f>
        <v/>
      </c>
      <c r="F117" s="328"/>
      <c r="G117" s="328"/>
      <c r="H117" s="328" t="str">
        <f t="shared" ref="H117:H122" si="45">AE117</f>
        <v/>
      </c>
      <c r="I117" s="328"/>
      <c r="J117" s="328"/>
      <c r="K117" s="328"/>
      <c r="L117" s="328" t="str">
        <f t="shared" ref="L117:L122" si="46">AI117</f>
        <v/>
      </c>
      <c r="M117" s="328"/>
      <c r="N117" s="328"/>
      <c r="O117" s="328" t="str">
        <f t="shared" ref="O117:O122" si="47">AL117</f>
        <v/>
      </c>
      <c r="P117" s="328"/>
      <c r="Q117" s="328"/>
      <c r="R117" s="328" t="str">
        <f t="shared" ref="R117:R122" si="48">AO117</f>
        <v/>
      </c>
      <c r="S117" s="328"/>
      <c r="T117" s="328" t="str">
        <f t="shared" ref="T117:T122" si="49">AR117</f>
        <v/>
      </c>
      <c r="U117" s="329"/>
      <c r="V117" s="230"/>
      <c r="W117" s="5">
        <f t="shared" si="21"/>
        <v>0</v>
      </c>
      <c r="X117" s="5">
        <f t="shared" si="29"/>
        <v>0</v>
      </c>
      <c r="Z117" s="293">
        <f>Z116+1</f>
        <v>2</v>
      </c>
      <c r="AA117" s="232" t="str">
        <f>IF(AE117="","",VLOOKUP(CONCATENATE($Z117,AA$59),'Resultados - 3'!$A$10:$G$155,AA$58,FALSE))</f>
        <v/>
      </c>
      <c r="AE117" s="232" t="str">
        <f>VLOOKUP(CONCATENATE($Z117,AE$59),'Resultados - 3'!$A$10:$G$155,AE$58,FALSE)</f>
        <v/>
      </c>
      <c r="AF117" s="236"/>
      <c r="AG117" s="236"/>
      <c r="AH117" s="236"/>
      <c r="AI117" s="232" t="str">
        <f>VLOOKUP(CONCATENATE($Z117,AI$59),'Resultados - 3'!$A$10:$G$155,AI$58,FALSE)</f>
        <v/>
      </c>
      <c r="AJ117" s="236"/>
      <c r="AK117" s="236"/>
      <c r="AL117" s="232" t="str">
        <f>VLOOKUP(CONCATENATE($Z117,AL$59),'Resultados - 3'!$A$10:$G$155,AL$58,FALSE)</f>
        <v/>
      </c>
      <c r="AM117" s="236"/>
      <c r="AN117" s="236"/>
      <c r="AO117" s="232" t="str">
        <f>VLOOKUP(CONCATENATE($Z117,AO$59),'Resultados - 3'!$A$10:$G$155,AO$58,FALSE)</f>
        <v/>
      </c>
      <c r="AP117" s="236"/>
      <c r="AQ117" s="236"/>
      <c r="AR117" s="197" t="str">
        <f>VLOOKUP(CONCATENATE($Z117,AR$59),'Resultados - 3'!$A$10:$G$155,AR$58,FALSE)</f>
        <v/>
      </c>
      <c r="AS117" s="232">
        <f t="shared" si="42"/>
        <v>3</v>
      </c>
      <c r="AU117" s="232">
        <f t="shared" si="31"/>
        <v>0</v>
      </c>
      <c r="AV117" s="232">
        <f t="shared" ref="AV117:AV122" si="50">IF(AI117="",0,AI117*1)</f>
        <v>0</v>
      </c>
      <c r="AW117" s="236"/>
      <c r="AX117" s="236"/>
      <c r="AY117" s="232">
        <f t="shared" ref="AY117:AY122" si="51">IF(AL117="",0,AL117*1)</f>
        <v>0</v>
      </c>
    </row>
    <row r="118" spans="1:51" ht="12" hidden="1" customHeight="1" x14ac:dyDescent="0.2">
      <c r="A118" s="230"/>
      <c r="B118" s="327" t="str">
        <f t="shared" si="44"/>
        <v/>
      </c>
      <c r="C118" s="328"/>
      <c r="D118" s="328"/>
      <c r="E118" s="328" t="str">
        <f t="shared" ref="E118:E122" si="52">IF(B118="","",E117)</f>
        <v/>
      </c>
      <c r="F118" s="328"/>
      <c r="G118" s="328"/>
      <c r="H118" s="328" t="str">
        <f t="shared" si="45"/>
        <v/>
      </c>
      <c r="I118" s="328"/>
      <c r="J118" s="328"/>
      <c r="K118" s="328"/>
      <c r="L118" s="328" t="str">
        <f t="shared" si="46"/>
        <v/>
      </c>
      <c r="M118" s="328"/>
      <c r="N118" s="328"/>
      <c r="O118" s="328" t="str">
        <f t="shared" si="47"/>
        <v/>
      </c>
      <c r="P118" s="328"/>
      <c r="Q118" s="328"/>
      <c r="R118" s="328" t="str">
        <f t="shared" si="48"/>
        <v/>
      </c>
      <c r="S118" s="328"/>
      <c r="T118" s="328" t="str">
        <f t="shared" si="49"/>
        <v/>
      </c>
      <c r="U118" s="329"/>
      <c r="V118" s="230"/>
      <c r="W118" s="5">
        <f t="shared" si="21"/>
        <v>0</v>
      </c>
      <c r="X118" s="5">
        <f t="shared" si="29"/>
        <v>0</v>
      </c>
      <c r="Z118" s="293">
        <f t="shared" ref="Z118:Z122" si="53">Z117+1</f>
        <v>3</v>
      </c>
      <c r="AA118" s="232" t="str">
        <f>IF(AE118="","",VLOOKUP(CONCATENATE($Z118,AA$59),'Resultados - 3'!$A$10:$G$155,AA$58,FALSE))</f>
        <v/>
      </c>
      <c r="AE118" s="232" t="str">
        <f>VLOOKUP(CONCATENATE($Z118,AE$59),'Resultados - 3'!$A$10:$G$155,AE$58,FALSE)</f>
        <v/>
      </c>
      <c r="AF118" s="236"/>
      <c r="AG118" s="236"/>
      <c r="AH118" s="236"/>
      <c r="AI118" s="232" t="str">
        <f>VLOOKUP(CONCATENATE($Z118,AI$59),'Resultados - 3'!$A$10:$G$155,AI$58,FALSE)</f>
        <v/>
      </c>
      <c r="AJ118" s="236"/>
      <c r="AK118" s="236"/>
      <c r="AL118" s="232" t="str">
        <f>VLOOKUP(CONCATENATE($Z118,AL$59),'Resultados - 3'!$A$10:$G$155,AL$58,FALSE)</f>
        <v/>
      </c>
      <c r="AM118" s="236"/>
      <c r="AN118" s="236"/>
      <c r="AO118" s="232" t="str">
        <f>VLOOKUP(CONCATENATE($Z118,AO$59),'Resultados - 3'!$A$10:$G$155,AO$58,FALSE)</f>
        <v/>
      </c>
      <c r="AP118" s="236"/>
      <c r="AQ118" s="236"/>
      <c r="AR118" s="197" t="str">
        <f>VLOOKUP(CONCATENATE($Z118,AR$59),'Resultados - 3'!$A$10:$G$155,AR$58,FALSE)</f>
        <v/>
      </c>
      <c r="AS118" s="232">
        <f t="shared" si="42"/>
        <v>3</v>
      </c>
      <c r="AU118" s="232">
        <f t="shared" si="31"/>
        <v>0</v>
      </c>
      <c r="AV118" s="232">
        <f t="shared" si="50"/>
        <v>0</v>
      </c>
      <c r="AW118" s="236"/>
      <c r="AX118" s="236"/>
      <c r="AY118" s="232">
        <f t="shared" si="51"/>
        <v>0</v>
      </c>
    </row>
    <row r="119" spans="1:51" ht="12" hidden="1" customHeight="1" x14ac:dyDescent="0.2">
      <c r="A119" s="230"/>
      <c r="B119" s="327" t="str">
        <f t="shared" si="44"/>
        <v/>
      </c>
      <c r="C119" s="328"/>
      <c r="D119" s="328"/>
      <c r="E119" s="328" t="str">
        <f t="shared" si="52"/>
        <v/>
      </c>
      <c r="F119" s="328"/>
      <c r="G119" s="328"/>
      <c r="H119" s="328" t="str">
        <f t="shared" si="45"/>
        <v/>
      </c>
      <c r="I119" s="328"/>
      <c r="J119" s="328"/>
      <c r="K119" s="328"/>
      <c r="L119" s="328" t="str">
        <f t="shared" si="46"/>
        <v/>
      </c>
      <c r="M119" s="328"/>
      <c r="N119" s="328"/>
      <c r="O119" s="328" t="str">
        <f t="shared" si="47"/>
        <v/>
      </c>
      <c r="P119" s="328"/>
      <c r="Q119" s="328"/>
      <c r="R119" s="328" t="str">
        <f t="shared" si="48"/>
        <v/>
      </c>
      <c r="S119" s="328"/>
      <c r="T119" s="328" t="str">
        <f t="shared" si="49"/>
        <v/>
      </c>
      <c r="U119" s="329"/>
      <c r="V119" s="230"/>
      <c r="W119" s="5">
        <f t="shared" si="21"/>
        <v>0</v>
      </c>
      <c r="X119" s="5">
        <f t="shared" si="29"/>
        <v>0</v>
      </c>
      <c r="Z119" s="293">
        <f t="shared" si="53"/>
        <v>4</v>
      </c>
      <c r="AA119" s="232" t="str">
        <f>IF(AE119="","",VLOOKUP(CONCATENATE($Z119,AA$59),'Resultados - 3'!$A$10:$G$155,AA$58,FALSE))</f>
        <v/>
      </c>
      <c r="AE119" s="232" t="str">
        <f>VLOOKUP(CONCATENATE($Z119,AE$59),'Resultados - 3'!$A$10:$G$155,AE$58,FALSE)</f>
        <v/>
      </c>
      <c r="AF119" s="236"/>
      <c r="AG119" s="236"/>
      <c r="AH119" s="236"/>
      <c r="AI119" s="232" t="str">
        <f>VLOOKUP(CONCATENATE($Z119,AI$59),'Resultados - 3'!$A$10:$G$155,AI$58,FALSE)</f>
        <v/>
      </c>
      <c r="AJ119" s="236"/>
      <c r="AK119" s="236"/>
      <c r="AL119" s="232" t="str">
        <f>VLOOKUP(CONCATENATE($Z119,AL$59),'Resultados - 3'!$A$10:$G$155,AL$58,FALSE)</f>
        <v/>
      </c>
      <c r="AM119" s="236"/>
      <c r="AN119" s="236"/>
      <c r="AO119" s="232" t="str">
        <f>VLOOKUP(CONCATENATE($Z119,AO$59),'Resultados - 3'!$A$10:$G$155,AO$58,FALSE)</f>
        <v/>
      </c>
      <c r="AP119" s="236"/>
      <c r="AQ119" s="236"/>
      <c r="AR119" s="197" t="str">
        <f>VLOOKUP(CONCATENATE($Z119,AR$59),'Resultados - 3'!$A$10:$G$155,AR$58,FALSE)</f>
        <v/>
      </c>
      <c r="AS119" s="232">
        <f t="shared" si="42"/>
        <v>3</v>
      </c>
      <c r="AU119" s="232">
        <f t="shared" si="31"/>
        <v>0</v>
      </c>
      <c r="AV119" s="232">
        <f t="shared" si="50"/>
        <v>0</v>
      </c>
      <c r="AW119" s="236"/>
      <c r="AX119" s="236"/>
      <c r="AY119" s="232">
        <f t="shared" si="51"/>
        <v>0</v>
      </c>
    </row>
    <row r="120" spans="1:51" ht="12" hidden="1" customHeight="1" x14ac:dyDescent="0.2">
      <c r="A120" s="230"/>
      <c r="B120" s="327" t="str">
        <f t="shared" si="44"/>
        <v/>
      </c>
      <c r="C120" s="328"/>
      <c r="D120" s="328"/>
      <c r="E120" s="328" t="str">
        <f t="shared" si="52"/>
        <v/>
      </c>
      <c r="F120" s="328"/>
      <c r="G120" s="328"/>
      <c r="H120" s="328" t="str">
        <f t="shared" si="45"/>
        <v/>
      </c>
      <c r="I120" s="328"/>
      <c r="J120" s="328"/>
      <c r="K120" s="328"/>
      <c r="L120" s="328" t="str">
        <f t="shared" si="46"/>
        <v/>
      </c>
      <c r="M120" s="328"/>
      <c r="N120" s="328"/>
      <c r="O120" s="328" t="str">
        <f t="shared" si="47"/>
        <v/>
      </c>
      <c r="P120" s="328"/>
      <c r="Q120" s="328"/>
      <c r="R120" s="328" t="str">
        <f t="shared" si="48"/>
        <v/>
      </c>
      <c r="S120" s="328"/>
      <c r="T120" s="328" t="str">
        <f t="shared" si="49"/>
        <v/>
      </c>
      <c r="U120" s="329"/>
      <c r="V120" s="230"/>
      <c r="W120" s="5">
        <f t="shared" si="21"/>
        <v>0</v>
      </c>
      <c r="X120" s="5">
        <f t="shared" si="29"/>
        <v>0</v>
      </c>
      <c r="Z120" s="293">
        <f t="shared" si="53"/>
        <v>5</v>
      </c>
      <c r="AA120" s="232" t="str">
        <f>IF(AE120="","",VLOOKUP(CONCATENATE($Z120,AA$59),'Resultados - 3'!$A$10:$G$155,AA$58,FALSE))</f>
        <v/>
      </c>
      <c r="AE120" s="232" t="str">
        <f>VLOOKUP(CONCATENATE($Z120,AE$59),'Resultados - 3'!$A$10:$G$155,AE$58,FALSE)</f>
        <v/>
      </c>
      <c r="AF120" s="236"/>
      <c r="AG120" s="236"/>
      <c r="AH120" s="236"/>
      <c r="AI120" s="232" t="str">
        <f>VLOOKUP(CONCATENATE($Z120,AI$59),'Resultados - 3'!$A$10:$G$155,AI$58,FALSE)</f>
        <v/>
      </c>
      <c r="AJ120" s="236"/>
      <c r="AK120" s="236"/>
      <c r="AL120" s="232" t="str">
        <f>VLOOKUP(CONCATENATE($Z120,AL$59),'Resultados - 3'!$A$10:$G$155,AL$58,FALSE)</f>
        <v/>
      </c>
      <c r="AM120" s="236"/>
      <c r="AN120" s="236"/>
      <c r="AO120" s="232" t="str">
        <f>VLOOKUP(CONCATENATE($Z120,AO$59),'Resultados - 3'!$A$10:$G$155,AO$58,FALSE)</f>
        <v/>
      </c>
      <c r="AP120" s="236"/>
      <c r="AQ120" s="236"/>
      <c r="AR120" s="197" t="str">
        <f>VLOOKUP(CONCATENATE($Z120,AR$59),'Resultados - 3'!$A$10:$G$155,AR$58,FALSE)</f>
        <v/>
      </c>
      <c r="AS120" s="232">
        <f t="shared" si="42"/>
        <v>3</v>
      </c>
      <c r="AU120" s="232">
        <f t="shared" si="31"/>
        <v>0</v>
      </c>
      <c r="AV120" s="232">
        <f t="shared" si="50"/>
        <v>0</v>
      </c>
      <c r="AW120" s="236"/>
      <c r="AX120" s="236"/>
      <c r="AY120" s="232">
        <f t="shared" si="51"/>
        <v>0</v>
      </c>
    </row>
    <row r="121" spans="1:51" ht="12" hidden="1" customHeight="1" x14ac:dyDescent="0.2">
      <c r="A121" s="230"/>
      <c r="B121" s="327" t="str">
        <f t="shared" si="44"/>
        <v/>
      </c>
      <c r="C121" s="328"/>
      <c r="D121" s="328"/>
      <c r="E121" s="328" t="str">
        <f t="shared" si="52"/>
        <v/>
      </c>
      <c r="F121" s="328"/>
      <c r="G121" s="328"/>
      <c r="H121" s="328" t="str">
        <f t="shared" si="45"/>
        <v/>
      </c>
      <c r="I121" s="328"/>
      <c r="J121" s="328"/>
      <c r="K121" s="328"/>
      <c r="L121" s="328" t="str">
        <f t="shared" si="46"/>
        <v/>
      </c>
      <c r="M121" s="328"/>
      <c r="N121" s="328"/>
      <c r="O121" s="328" t="str">
        <f t="shared" si="47"/>
        <v/>
      </c>
      <c r="P121" s="328"/>
      <c r="Q121" s="328"/>
      <c r="R121" s="328" t="str">
        <f t="shared" si="48"/>
        <v/>
      </c>
      <c r="S121" s="328"/>
      <c r="T121" s="328" t="str">
        <f t="shared" si="49"/>
        <v/>
      </c>
      <c r="U121" s="329"/>
      <c r="V121" s="230"/>
      <c r="W121" s="5">
        <f t="shared" si="21"/>
        <v>0</v>
      </c>
      <c r="X121" s="5">
        <f t="shared" si="29"/>
        <v>0</v>
      </c>
      <c r="Z121" s="293">
        <f t="shared" si="53"/>
        <v>6</v>
      </c>
      <c r="AA121" s="232" t="str">
        <f>IF(AE121="","",VLOOKUP(CONCATENATE($Z121,AA$59),'Resultados - 3'!$A$10:$G$155,AA$58,FALSE))</f>
        <v/>
      </c>
      <c r="AE121" s="232" t="str">
        <f>VLOOKUP(CONCATENATE($Z121,AE$59),'Resultados - 3'!$A$10:$G$155,AE$58,FALSE)</f>
        <v/>
      </c>
      <c r="AF121" s="236"/>
      <c r="AG121" s="236"/>
      <c r="AH121" s="236"/>
      <c r="AI121" s="232" t="str">
        <f>VLOOKUP(CONCATENATE($Z121,AI$59),'Resultados - 3'!$A$10:$G$155,AI$58,FALSE)</f>
        <v/>
      </c>
      <c r="AJ121" s="236"/>
      <c r="AK121" s="236"/>
      <c r="AL121" s="232" t="str">
        <f>VLOOKUP(CONCATENATE($Z121,AL$59),'Resultados - 3'!$A$10:$G$155,AL$58,FALSE)</f>
        <v/>
      </c>
      <c r="AM121" s="236"/>
      <c r="AN121" s="236"/>
      <c r="AO121" s="232" t="str">
        <f>VLOOKUP(CONCATENATE($Z121,AO$59),'Resultados - 3'!$A$10:$G$155,AO$58,FALSE)</f>
        <v/>
      </c>
      <c r="AP121" s="236"/>
      <c r="AQ121" s="236"/>
      <c r="AR121" s="197" t="str">
        <f>VLOOKUP(CONCATENATE($Z121,AR$59),'Resultados - 3'!$A$10:$G$155,AR$58,FALSE)</f>
        <v/>
      </c>
      <c r="AS121" s="232">
        <f t="shared" si="42"/>
        <v>3</v>
      </c>
      <c r="AU121" s="232">
        <f t="shared" si="31"/>
        <v>0</v>
      </c>
      <c r="AV121" s="232">
        <f t="shared" si="50"/>
        <v>0</v>
      </c>
      <c r="AW121" s="236"/>
      <c r="AX121" s="236"/>
      <c r="AY121" s="232">
        <f t="shared" si="51"/>
        <v>0</v>
      </c>
    </row>
    <row r="122" spans="1:51" ht="12" hidden="1" customHeight="1" x14ac:dyDescent="0.2">
      <c r="A122" s="230"/>
      <c r="B122" s="327" t="str">
        <f t="shared" si="44"/>
        <v/>
      </c>
      <c r="C122" s="328"/>
      <c r="D122" s="328"/>
      <c r="E122" s="328" t="str">
        <f t="shared" si="52"/>
        <v/>
      </c>
      <c r="F122" s="328"/>
      <c r="G122" s="328"/>
      <c r="H122" s="328" t="str">
        <f t="shared" si="45"/>
        <v/>
      </c>
      <c r="I122" s="328"/>
      <c r="J122" s="328"/>
      <c r="K122" s="328"/>
      <c r="L122" s="328" t="str">
        <f t="shared" si="46"/>
        <v/>
      </c>
      <c r="M122" s="328"/>
      <c r="N122" s="328"/>
      <c r="O122" s="328" t="str">
        <f t="shared" si="47"/>
        <v/>
      </c>
      <c r="P122" s="328"/>
      <c r="Q122" s="328"/>
      <c r="R122" s="328" t="str">
        <f t="shared" si="48"/>
        <v/>
      </c>
      <c r="S122" s="328"/>
      <c r="T122" s="328" t="str">
        <f t="shared" si="49"/>
        <v/>
      </c>
      <c r="U122" s="329"/>
      <c r="V122" s="230"/>
      <c r="W122" s="5">
        <f t="shared" si="21"/>
        <v>0</v>
      </c>
      <c r="X122" s="5">
        <f t="shared" si="29"/>
        <v>0</v>
      </c>
      <c r="Z122" s="294">
        <f t="shared" si="53"/>
        <v>7</v>
      </c>
      <c r="AA122" s="232" t="str">
        <f>IF(AE122="","",VLOOKUP(CONCATENATE($Z122,AA$59),'Resultados - 3'!$A$10:$G$155,AA$58,FALSE))</f>
        <v/>
      </c>
      <c r="AB122" s="296"/>
      <c r="AC122" s="296"/>
      <c r="AD122" s="296"/>
      <c r="AE122" s="295" t="str">
        <f>VLOOKUP(CONCATENATE($Z122,AE$59),'Resultados - 3'!$A$10:$G$155,AE$58,FALSE)</f>
        <v/>
      </c>
      <c r="AF122" s="297"/>
      <c r="AG122" s="297"/>
      <c r="AH122" s="297"/>
      <c r="AI122" s="295" t="str">
        <f>VLOOKUP(CONCATENATE($Z122,AI$59),'Resultados - 3'!$A$10:$G$155,AI$58,FALSE)</f>
        <v/>
      </c>
      <c r="AJ122" s="297"/>
      <c r="AK122" s="297"/>
      <c r="AL122" s="295" t="str">
        <f>VLOOKUP(CONCATENATE($Z122,AL$59),'Resultados - 3'!$A$10:$G$155,AL$58,FALSE)</f>
        <v/>
      </c>
      <c r="AM122" s="297"/>
      <c r="AN122" s="297"/>
      <c r="AO122" s="295" t="str">
        <f>VLOOKUP(CONCATENATE($Z122,AO$59),'Resultados - 3'!$A$10:$G$155,AO$58,FALSE)</f>
        <v/>
      </c>
      <c r="AP122" s="297"/>
      <c r="AQ122" s="297"/>
      <c r="AR122" s="298" t="str">
        <f>VLOOKUP(CONCATENATE($Z122,AR$59),'Resultados - 3'!$A$10:$G$155,AR$58,FALSE)</f>
        <v/>
      </c>
      <c r="AS122" s="232">
        <f t="shared" si="42"/>
        <v>3</v>
      </c>
      <c r="AU122" s="232">
        <f t="shared" si="31"/>
        <v>0</v>
      </c>
      <c r="AV122" s="232">
        <f t="shared" si="50"/>
        <v>0</v>
      </c>
      <c r="AW122" s="236"/>
      <c r="AX122" s="236"/>
      <c r="AY122" s="232">
        <f t="shared" si="51"/>
        <v>0</v>
      </c>
    </row>
    <row r="123" spans="1:51" ht="12" hidden="1" customHeight="1" x14ac:dyDescent="0.2">
      <c r="A123" s="230"/>
      <c r="B123" s="338" t="str">
        <f>IF(Dados!$Z$9=3,IF(Z123=0,"",CONCATENATE(Z123," - Faixa de medição : (",AB123,AD123,AE123,") ",AG123)),IF(Z123=0,"",Z123))</f>
        <v/>
      </c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230"/>
      <c r="W123" s="5">
        <f t="shared" ref="W123" si="54">IF(X123=0,0,IF(W124=0,0,1))</f>
        <v>0</v>
      </c>
      <c r="X123" s="5">
        <f t="shared" si="29"/>
        <v>0</v>
      </c>
      <c r="Z123" s="289">
        <f>'Resultados - 4'!$G$4</f>
        <v>0</v>
      </c>
      <c r="AA123" s="290"/>
      <c r="AB123" s="290">
        <f>'Resultados - 4'!$N$4</f>
        <v>0</v>
      </c>
      <c r="AC123" s="290"/>
      <c r="AD123" s="290" t="str">
        <f>'Resultados - 4'!$P$4</f>
        <v>~</v>
      </c>
      <c r="AE123" s="290">
        <f>'Resultados - 4'!$Q$4</f>
        <v>0</v>
      </c>
      <c r="AF123" s="290"/>
      <c r="AG123" s="290" t="str">
        <f>'Resultados - 4'!$G$12</f>
        <v>µL</v>
      </c>
      <c r="AH123" s="291"/>
      <c r="AI123" s="290"/>
      <c r="AJ123" s="291"/>
      <c r="AK123" s="291"/>
      <c r="AL123" s="290"/>
      <c r="AM123" s="291"/>
      <c r="AN123" s="291"/>
      <c r="AO123" s="290"/>
      <c r="AP123" s="291"/>
      <c r="AQ123" s="291"/>
      <c r="AR123" s="292"/>
      <c r="AS123" s="232">
        <f t="shared" ref="AS123" si="55">AS122+1</f>
        <v>4</v>
      </c>
    </row>
    <row r="124" spans="1:51" ht="12" hidden="1" customHeight="1" x14ac:dyDescent="0.2">
      <c r="A124" s="230"/>
      <c r="B124" s="327" t="str">
        <f>AA124</f>
        <v/>
      </c>
      <c r="C124" s="328"/>
      <c r="D124" s="328"/>
      <c r="E124" s="328" t="str">
        <f>IF(B124="","",AG123)</f>
        <v/>
      </c>
      <c r="F124" s="328"/>
      <c r="G124" s="328"/>
      <c r="H124" s="328" t="str">
        <f>AE124</f>
        <v/>
      </c>
      <c r="I124" s="328"/>
      <c r="J124" s="328"/>
      <c r="K124" s="328"/>
      <c r="L124" s="328" t="str">
        <f>AI124</f>
        <v/>
      </c>
      <c r="M124" s="328"/>
      <c r="N124" s="328"/>
      <c r="O124" s="328" t="str">
        <f>AL124</f>
        <v/>
      </c>
      <c r="P124" s="328"/>
      <c r="Q124" s="328"/>
      <c r="R124" s="328" t="str">
        <f>AO124</f>
        <v/>
      </c>
      <c r="S124" s="328"/>
      <c r="T124" s="328" t="str">
        <f>AR124</f>
        <v/>
      </c>
      <c r="U124" s="329"/>
      <c r="V124" s="230"/>
      <c r="W124" s="5">
        <f t="shared" si="21"/>
        <v>0</v>
      </c>
      <c r="X124" s="5">
        <f t="shared" si="29"/>
        <v>0</v>
      </c>
      <c r="Z124" s="293">
        <v>1</v>
      </c>
      <c r="AA124" s="232" t="str">
        <f>IF(AE124="","",VLOOKUP(CONCATENATE($Z124,AA$59),'Resultados - 4'!$A$10:$G$155,AA$58,FALSE))</f>
        <v/>
      </c>
      <c r="AE124" s="232" t="str">
        <f>VLOOKUP(CONCATENATE($Z124,AE$59),'Resultados - 4'!$A$10:$G$155,AE$58,FALSE)</f>
        <v/>
      </c>
      <c r="AF124" s="236"/>
      <c r="AG124" s="236"/>
      <c r="AH124" s="236"/>
      <c r="AI124" s="232" t="str">
        <f>VLOOKUP(CONCATENATE($Z124,AI$59),'Resultados - 4'!$A$10:$G$155,AI$58,FALSE)</f>
        <v/>
      </c>
      <c r="AJ124" s="236"/>
      <c r="AK124" s="236"/>
      <c r="AL124" s="232" t="str">
        <f>VLOOKUP(CONCATENATE($Z124,AL$59),'Resultados - 4'!$A$10:$G$155,AL$58,FALSE)</f>
        <v/>
      </c>
      <c r="AM124" s="236"/>
      <c r="AN124" s="236"/>
      <c r="AO124" s="232" t="str">
        <f>VLOOKUP(CONCATENATE($Z124,AO$59),'Resultados - 4'!$A$10:$G$155,AO$58,FALSE)</f>
        <v/>
      </c>
      <c r="AP124" s="236"/>
      <c r="AQ124" s="236"/>
      <c r="AR124" s="197" t="str">
        <f>VLOOKUP(CONCATENATE($Z124,AR$59),'Resultados - 4'!$A$10:$G$155,AR$58,FALSE)</f>
        <v/>
      </c>
      <c r="AS124" s="232">
        <f t="shared" ref="AS124:AS130" si="56">AS123</f>
        <v>4</v>
      </c>
      <c r="AU124" s="232">
        <f t="shared" ref="AU124" si="57">ABS(AV124)</f>
        <v>0</v>
      </c>
      <c r="AV124" s="232">
        <f>IF(AI124="",0,AI124*1)</f>
        <v>0</v>
      </c>
      <c r="AW124" s="236"/>
      <c r="AX124" s="236"/>
      <c r="AY124" s="232">
        <f>IF(AL124="",0,AL124*1)</f>
        <v>0</v>
      </c>
    </row>
    <row r="125" spans="1:51" ht="12" hidden="1" customHeight="1" x14ac:dyDescent="0.2">
      <c r="A125" s="230"/>
      <c r="B125" s="327" t="str">
        <f t="shared" ref="B125:B130" si="58">AA125</f>
        <v/>
      </c>
      <c r="C125" s="328"/>
      <c r="D125" s="328"/>
      <c r="E125" s="328" t="str">
        <f>IF(B125="","",E124)</f>
        <v/>
      </c>
      <c r="F125" s="328"/>
      <c r="G125" s="328"/>
      <c r="H125" s="328" t="str">
        <f t="shared" ref="H125:H130" si="59">AE125</f>
        <v/>
      </c>
      <c r="I125" s="328"/>
      <c r="J125" s="328"/>
      <c r="K125" s="328"/>
      <c r="L125" s="328" t="str">
        <f t="shared" ref="L125:L130" si="60">AI125</f>
        <v/>
      </c>
      <c r="M125" s="328"/>
      <c r="N125" s="328"/>
      <c r="O125" s="328" t="str">
        <f t="shared" ref="O125:O130" si="61">AL125</f>
        <v/>
      </c>
      <c r="P125" s="328"/>
      <c r="Q125" s="328"/>
      <c r="R125" s="328" t="str">
        <f t="shared" ref="R125:R130" si="62">AO125</f>
        <v/>
      </c>
      <c r="S125" s="328"/>
      <c r="T125" s="328" t="str">
        <f t="shared" ref="T125:T130" si="63">AR125</f>
        <v/>
      </c>
      <c r="U125" s="329"/>
      <c r="V125" s="230"/>
      <c r="W125" s="5">
        <f t="shared" si="21"/>
        <v>0</v>
      </c>
      <c r="X125" s="5">
        <f t="shared" si="29"/>
        <v>0</v>
      </c>
      <c r="Z125" s="293">
        <f>Z124+1</f>
        <v>2</v>
      </c>
      <c r="AA125" s="232" t="str">
        <f>IF(AE125="","",VLOOKUP(CONCATENATE($Z125,AA$59),'Resultados - 4'!$A$10:$G$155,AA$58,FALSE))</f>
        <v/>
      </c>
      <c r="AE125" s="232" t="str">
        <f>VLOOKUP(CONCATENATE($Z125,AE$59),'Resultados - 4'!$A$10:$G$155,AE$58,FALSE)</f>
        <v/>
      </c>
      <c r="AF125" s="236"/>
      <c r="AG125" s="236"/>
      <c r="AH125" s="236"/>
      <c r="AI125" s="232" t="str">
        <f>VLOOKUP(CONCATENATE($Z125,AI$59),'Resultados - 4'!$A$10:$G$155,AI$58,FALSE)</f>
        <v/>
      </c>
      <c r="AJ125" s="236"/>
      <c r="AK125" s="236"/>
      <c r="AL125" s="232" t="str">
        <f>VLOOKUP(CONCATENATE($Z125,AL$59),'Resultados - 4'!$A$10:$G$155,AL$58,FALSE)</f>
        <v/>
      </c>
      <c r="AM125" s="236"/>
      <c r="AN125" s="236"/>
      <c r="AO125" s="232" t="str">
        <f>VLOOKUP(CONCATENATE($Z125,AO$59),'Resultados - 4'!$A$10:$G$155,AO$58,FALSE)</f>
        <v/>
      </c>
      <c r="AP125" s="236"/>
      <c r="AQ125" s="236"/>
      <c r="AR125" s="197" t="str">
        <f>VLOOKUP(CONCATENATE($Z125,AR$59),'Resultados - 4'!$A$10:$G$155,AR$58,FALSE)</f>
        <v/>
      </c>
      <c r="AS125" s="232">
        <f t="shared" si="56"/>
        <v>4</v>
      </c>
      <c r="AU125" s="232">
        <f t="shared" si="31"/>
        <v>0</v>
      </c>
      <c r="AV125" s="232">
        <f t="shared" ref="AV125:AV130" si="64">IF(AI125="",0,AI125*1)</f>
        <v>0</v>
      </c>
      <c r="AW125" s="236"/>
      <c r="AX125" s="236"/>
      <c r="AY125" s="232">
        <f t="shared" ref="AY125:AY130" si="65">IF(AL125="",0,AL125*1)</f>
        <v>0</v>
      </c>
    </row>
    <row r="126" spans="1:51" ht="12" hidden="1" customHeight="1" x14ac:dyDescent="0.2">
      <c r="A126" s="230"/>
      <c r="B126" s="327" t="str">
        <f t="shared" si="58"/>
        <v/>
      </c>
      <c r="C126" s="328"/>
      <c r="D126" s="328"/>
      <c r="E126" s="328" t="str">
        <f t="shared" ref="E126:E130" si="66">IF(B126="","",E125)</f>
        <v/>
      </c>
      <c r="F126" s="328"/>
      <c r="G126" s="328"/>
      <c r="H126" s="328" t="str">
        <f t="shared" si="59"/>
        <v/>
      </c>
      <c r="I126" s="328"/>
      <c r="J126" s="328"/>
      <c r="K126" s="328"/>
      <c r="L126" s="328" t="str">
        <f t="shared" si="60"/>
        <v/>
      </c>
      <c r="M126" s="328"/>
      <c r="N126" s="328"/>
      <c r="O126" s="328" t="str">
        <f t="shared" si="61"/>
        <v/>
      </c>
      <c r="P126" s="328"/>
      <c r="Q126" s="328"/>
      <c r="R126" s="328" t="str">
        <f t="shared" si="62"/>
        <v/>
      </c>
      <c r="S126" s="328"/>
      <c r="T126" s="328" t="str">
        <f t="shared" si="63"/>
        <v/>
      </c>
      <c r="U126" s="329"/>
      <c r="V126" s="230"/>
      <c r="W126" s="5">
        <f t="shared" si="21"/>
        <v>0</v>
      </c>
      <c r="X126" s="5">
        <f t="shared" si="29"/>
        <v>0</v>
      </c>
      <c r="Z126" s="293">
        <f t="shared" ref="Z126:Z130" si="67">Z125+1</f>
        <v>3</v>
      </c>
      <c r="AA126" s="232" t="str">
        <f>IF(AE126="","",VLOOKUP(CONCATENATE($Z126,AA$59),'Resultados - 4'!$A$10:$G$155,AA$58,FALSE))</f>
        <v/>
      </c>
      <c r="AE126" s="232" t="str">
        <f>VLOOKUP(CONCATENATE($Z126,AE$59),'Resultados - 4'!$A$10:$G$155,AE$58,FALSE)</f>
        <v/>
      </c>
      <c r="AF126" s="236"/>
      <c r="AG126" s="236"/>
      <c r="AH126" s="236"/>
      <c r="AI126" s="232" t="str">
        <f>VLOOKUP(CONCATENATE($Z126,AI$59),'Resultados - 4'!$A$10:$G$155,AI$58,FALSE)</f>
        <v/>
      </c>
      <c r="AJ126" s="236"/>
      <c r="AK126" s="236"/>
      <c r="AL126" s="232" t="str">
        <f>VLOOKUP(CONCATENATE($Z126,AL$59),'Resultados - 4'!$A$10:$G$155,AL$58,FALSE)</f>
        <v/>
      </c>
      <c r="AM126" s="236"/>
      <c r="AN126" s="236"/>
      <c r="AO126" s="232" t="str">
        <f>VLOOKUP(CONCATENATE($Z126,AO$59),'Resultados - 4'!$A$10:$G$155,AO$58,FALSE)</f>
        <v/>
      </c>
      <c r="AP126" s="236"/>
      <c r="AQ126" s="236"/>
      <c r="AR126" s="197" t="str">
        <f>VLOOKUP(CONCATENATE($Z126,AR$59),'Resultados - 4'!$A$10:$G$155,AR$58,FALSE)</f>
        <v/>
      </c>
      <c r="AS126" s="232">
        <f t="shared" si="56"/>
        <v>4</v>
      </c>
      <c r="AU126" s="232">
        <f t="shared" si="31"/>
        <v>0</v>
      </c>
      <c r="AV126" s="232">
        <f t="shared" si="64"/>
        <v>0</v>
      </c>
      <c r="AW126" s="236"/>
      <c r="AX126" s="236"/>
      <c r="AY126" s="232">
        <f t="shared" si="65"/>
        <v>0</v>
      </c>
    </row>
    <row r="127" spans="1:51" ht="12" hidden="1" customHeight="1" x14ac:dyDescent="0.2">
      <c r="A127" s="230"/>
      <c r="B127" s="327" t="str">
        <f t="shared" si="58"/>
        <v/>
      </c>
      <c r="C127" s="328"/>
      <c r="D127" s="328"/>
      <c r="E127" s="328" t="str">
        <f t="shared" si="66"/>
        <v/>
      </c>
      <c r="F127" s="328"/>
      <c r="G127" s="328"/>
      <c r="H127" s="328" t="str">
        <f t="shared" si="59"/>
        <v/>
      </c>
      <c r="I127" s="328"/>
      <c r="J127" s="328"/>
      <c r="K127" s="328"/>
      <c r="L127" s="328" t="str">
        <f t="shared" si="60"/>
        <v/>
      </c>
      <c r="M127" s="328"/>
      <c r="N127" s="328"/>
      <c r="O127" s="328" t="str">
        <f t="shared" si="61"/>
        <v/>
      </c>
      <c r="P127" s="328"/>
      <c r="Q127" s="328"/>
      <c r="R127" s="328" t="str">
        <f t="shared" si="62"/>
        <v/>
      </c>
      <c r="S127" s="328"/>
      <c r="T127" s="328" t="str">
        <f t="shared" si="63"/>
        <v/>
      </c>
      <c r="U127" s="329"/>
      <c r="V127" s="230"/>
      <c r="W127" s="5">
        <f t="shared" si="21"/>
        <v>0</v>
      </c>
      <c r="X127" s="5">
        <f t="shared" si="29"/>
        <v>0</v>
      </c>
      <c r="Z127" s="293">
        <f t="shared" si="67"/>
        <v>4</v>
      </c>
      <c r="AA127" s="232" t="str">
        <f>IF(AE127="","",VLOOKUP(CONCATENATE($Z127,AA$59),'Resultados - 4'!$A$10:$G$155,AA$58,FALSE))</f>
        <v/>
      </c>
      <c r="AE127" s="232" t="str">
        <f>VLOOKUP(CONCATENATE($Z127,AE$59),'Resultados - 4'!$A$10:$G$155,AE$58,FALSE)</f>
        <v/>
      </c>
      <c r="AF127" s="236"/>
      <c r="AG127" s="236"/>
      <c r="AH127" s="236"/>
      <c r="AI127" s="232" t="str">
        <f>VLOOKUP(CONCATENATE($Z127,AI$59),'Resultados - 4'!$A$10:$G$155,AI$58,FALSE)</f>
        <v/>
      </c>
      <c r="AJ127" s="236"/>
      <c r="AK127" s="236"/>
      <c r="AL127" s="232" t="str">
        <f>VLOOKUP(CONCATENATE($Z127,AL$59),'Resultados - 4'!$A$10:$G$155,AL$58,FALSE)</f>
        <v/>
      </c>
      <c r="AM127" s="236"/>
      <c r="AN127" s="236"/>
      <c r="AO127" s="232" t="str">
        <f>VLOOKUP(CONCATENATE($Z127,AO$59),'Resultados - 4'!$A$10:$G$155,AO$58,FALSE)</f>
        <v/>
      </c>
      <c r="AP127" s="236"/>
      <c r="AQ127" s="236"/>
      <c r="AR127" s="197" t="str">
        <f>VLOOKUP(CONCATENATE($Z127,AR$59),'Resultados - 4'!$A$10:$G$155,AR$58,FALSE)</f>
        <v/>
      </c>
      <c r="AS127" s="232">
        <f t="shared" si="56"/>
        <v>4</v>
      </c>
      <c r="AU127" s="232">
        <f t="shared" si="31"/>
        <v>0</v>
      </c>
      <c r="AV127" s="232">
        <f t="shared" si="64"/>
        <v>0</v>
      </c>
      <c r="AW127" s="236"/>
      <c r="AX127" s="236"/>
      <c r="AY127" s="232">
        <f t="shared" si="65"/>
        <v>0</v>
      </c>
    </row>
    <row r="128" spans="1:51" ht="12" hidden="1" customHeight="1" x14ac:dyDescent="0.2">
      <c r="A128" s="230"/>
      <c r="B128" s="327" t="str">
        <f t="shared" si="58"/>
        <v/>
      </c>
      <c r="C128" s="328"/>
      <c r="D128" s="328"/>
      <c r="E128" s="328" t="str">
        <f t="shared" si="66"/>
        <v/>
      </c>
      <c r="F128" s="328"/>
      <c r="G128" s="328"/>
      <c r="H128" s="328" t="str">
        <f t="shared" si="59"/>
        <v/>
      </c>
      <c r="I128" s="328"/>
      <c r="J128" s="328"/>
      <c r="K128" s="328"/>
      <c r="L128" s="328" t="str">
        <f t="shared" si="60"/>
        <v/>
      </c>
      <c r="M128" s="328"/>
      <c r="N128" s="328"/>
      <c r="O128" s="328" t="str">
        <f t="shared" si="61"/>
        <v/>
      </c>
      <c r="P128" s="328"/>
      <c r="Q128" s="328"/>
      <c r="R128" s="328" t="str">
        <f t="shared" si="62"/>
        <v/>
      </c>
      <c r="S128" s="328"/>
      <c r="T128" s="328" t="str">
        <f t="shared" si="63"/>
        <v/>
      </c>
      <c r="U128" s="329"/>
      <c r="V128" s="230"/>
      <c r="W128" s="5">
        <f t="shared" si="21"/>
        <v>0</v>
      </c>
      <c r="X128" s="5">
        <f t="shared" si="29"/>
        <v>0</v>
      </c>
      <c r="Z128" s="293">
        <f t="shared" si="67"/>
        <v>5</v>
      </c>
      <c r="AA128" s="232" t="str">
        <f>IF(AE128="","",VLOOKUP(CONCATENATE($Z128,AA$59),'Resultados - 4'!$A$10:$G$155,AA$58,FALSE))</f>
        <v/>
      </c>
      <c r="AE128" s="232" t="str">
        <f>VLOOKUP(CONCATENATE($Z128,AE$59),'Resultados - 4'!$A$10:$G$155,AE$58,FALSE)</f>
        <v/>
      </c>
      <c r="AF128" s="236"/>
      <c r="AG128" s="236"/>
      <c r="AH128" s="236"/>
      <c r="AI128" s="232" t="str">
        <f>VLOOKUP(CONCATENATE($Z128,AI$59),'Resultados - 4'!$A$10:$G$155,AI$58,FALSE)</f>
        <v/>
      </c>
      <c r="AJ128" s="236"/>
      <c r="AK128" s="236"/>
      <c r="AL128" s="232" t="str">
        <f>VLOOKUP(CONCATENATE($Z128,AL$59),'Resultados - 4'!$A$10:$G$155,AL$58,FALSE)</f>
        <v/>
      </c>
      <c r="AM128" s="236"/>
      <c r="AN128" s="236"/>
      <c r="AO128" s="232" t="str">
        <f>VLOOKUP(CONCATENATE($Z128,AO$59),'Resultados - 4'!$A$10:$G$155,AO$58,FALSE)</f>
        <v/>
      </c>
      <c r="AP128" s="236"/>
      <c r="AQ128" s="236"/>
      <c r="AR128" s="197" t="str">
        <f>VLOOKUP(CONCATENATE($Z128,AR$59),'Resultados - 4'!$A$10:$G$155,AR$58,FALSE)</f>
        <v/>
      </c>
      <c r="AS128" s="232">
        <f t="shared" si="56"/>
        <v>4</v>
      </c>
      <c r="AU128" s="232">
        <f t="shared" si="31"/>
        <v>0</v>
      </c>
      <c r="AV128" s="232">
        <f t="shared" si="64"/>
        <v>0</v>
      </c>
      <c r="AW128" s="236"/>
      <c r="AX128" s="236"/>
      <c r="AY128" s="232">
        <f t="shared" si="65"/>
        <v>0</v>
      </c>
    </row>
    <row r="129" spans="1:51" ht="12" hidden="1" customHeight="1" x14ac:dyDescent="0.2">
      <c r="A129" s="230"/>
      <c r="B129" s="327" t="str">
        <f t="shared" si="58"/>
        <v/>
      </c>
      <c r="C129" s="328"/>
      <c r="D129" s="328"/>
      <c r="E129" s="328" t="str">
        <f t="shared" si="66"/>
        <v/>
      </c>
      <c r="F129" s="328"/>
      <c r="G129" s="328"/>
      <c r="H129" s="328" t="str">
        <f t="shared" si="59"/>
        <v/>
      </c>
      <c r="I129" s="328"/>
      <c r="J129" s="328"/>
      <c r="K129" s="328"/>
      <c r="L129" s="328" t="str">
        <f t="shared" si="60"/>
        <v/>
      </c>
      <c r="M129" s="328"/>
      <c r="N129" s="328"/>
      <c r="O129" s="328" t="str">
        <f t="shared" si="61"/>
        <v/>
      </c>
      <c r="P129" s="328"/>
      <c r="Q129" s="328"/>
      <c r="R129" s="328" t="str">
        <f t="shared" si="62"/>
        <v/>
      </c>
      <c r="S129" s="328"/>
      <c r="T129" s="328" t="str">
        <f t="shared" si="63"/>
        <v/>
      </c>
      <c r="U129" s="329"/>
      <c r="V129" s="230"/>
      <c r="W129" s="5">
        <f t="shared" si="21"/>
        <v>0</v>
      </c>
      <c r="X129" s="5">
        <f t="shared" si="29"/>
        <v>0</v>
      </c>
      <c r="Z129" s="293">
        <f t="shared" si="67"/>
        <v>6</v>
      </c>
      <c r="AA129" s="232" t="str">
        <f>IF(AE129="","",VLOOKUP(CONCATENATE($Z129,AA$59),'Resultados - 4'!$A$10:$G$155,AA$58,FALSE))</f>
        <v/>
      </c>
      <c r="AE129" s="232" t="str">
        <f>VLOOKUP(CONCATENATE($Z129,AE$59),'Resultados - 4'!$A$10:$G$155,AE$58,FALSE)</f>
        <v/>
      </c>
      <c r="AF129" s="236"/>
      <c r="AG129" s="236"/>
      <c r="AH129" s="236"/>
      <c r="AI129" s="232" t="str">
        <f>VLOOKUP(CONCATENATE($Z129,AI$59),'Resultados - 4'!$A$10:$G$155,AI$58,FALSE)</f>
        <v/>
      </c>
      <c r="AJ129" s="236"/>
      <c r="AK129" s="236"/>
      <c r="AL129" s="232" t="str">
        <f>VLOOKUP(CONCATENATE($Z129,AL$59),'Resultados - 4'!$A$10:$G$155,AL$58,FALSE)</f>
        <v/>
      </c>
      <c r="AM129" s="236"/>
      <c r="AN129" s="236"/>
      <c r="AO129" s="232" t="str">
        <f>VLOOKUP(CONCATENATE($Z129,AO$59),'Resultados - 4'!$A$10:$G$155,AO$58,FALSE)</f>
        <v/>
      </c>
      <c r="AP129" s="236"/>
      <c r="AQ129" s="236"/>
      <c r="AR129" s="197" t="str">
        <f>VLOOKUP(CONCATENATE($Z129,AR$59),'Resultados - 4'!$A$10:$G$155,AR$58,FALSE)</f>
        <v/>
      </c>
      <c r="AS129" s="232">
        <f t="shared" si="56"/>
        <v>4</v>
      </c>
      <c r="AU129" s="232">
        <f t="shared" si="31"/>
        <v>0</v>
      </c>
      <c r="AV129" s="232">
        <f t="shared" si="64"/>
        <v>0</v>
      </c>
      <c r="AW129" s="236"/>
      <c r="AX129" s="236"/>
      <c r="AY129" s="232">
        <f t="shared" si="65"/>
        <v>0</v>
      </c>
    </row>
    <row r="130" spans="1:51" ht="12" hidden="1" customHeight="1" x14ac:dyDescent="0.2">
      <c r="A130" s="230"/>
      <c r="B130" s="327" t="str">
        <f t="shared" si="58"/>
        <v/>
      </c>
      <c r="C130" s="328"/>
      <c r="D130" s="328"/>
      <c r="E130" s="328" t="str">
        <f t="shared" si="66"/>
        <v/>
      </c>
      <c r="F130" s="328"/>
      <c r="G130" s="328"/>
      <c r="H130" s="328" t="str">
        <f t="shared" si="59"/>
        <v/>
      </c>
      <c r="I130" s="328"/>
      <c r="J130" s="328"/>
      <c r="K130" s="328"/>
      <c r="L130" s="328" t="str">
        <f t="shared" si="60"/>
        <v/>
      </c>
      <c r="M130" s="328"/>
      <c r="N130" s="328"/>
      <c r="O130" s="328" t="str">
        <f t="shared" si="61"/>
        <v/>
      </c>
      <c r="P130" s="328"/>
      <c r="Q130" s="328"/>
      <c r="R130" s="328" t="str">
        <f t="shared" si="62"/>
        <v/>
      </c>
      <c r="S130" s="328"/>
      <c r="T130" s="328" t="str">
        <f t="shared" si="63"/>
        <v/>
      </c>
      <c r="U130" s="329"/>
      <c r="V130" s="230"/>
      <c r="W130" s="5">
        <f t="shared" si="21"/>
        <v>0</v>
      </c>
      <c r="X130" s="5">
        <f t="shared" si="29"/>
        <v>0</v>
      </c>
      <c r="Z130" s="294">
        <f t="shared" si="67"/>
        <v>7</v>
      </c>
      <c r="AA130" s="232" t="str">
        <f>IF(AE130="","",VLOOKUP(CONCATENATE($Z130,AA$59),'Resultados - 4'!$A$10:$G$155,AA$58,FALSE))</f>
        <v/>
      </c>
      <c r="AB130" s="296"/>
      <c r="AC130" s="296"/>
      <c r="AD130" s="296"/>
      <c r="AE130" s="295" t="str">
        <f>VLOOKUP(CONCATENATE($Z130,AE$59),'Resultados - 4'!$A$10:$G$155,AE$58,FALSE)</f>
        <v/>
      </c>
      <c r="AF130" s="297"/>
      <c r="AG130" s="297"/>
      <c r="AH130" s="297"/>
      <c r="AI130" s="295" t="str">
        <f>VLOOKUP(CONCATENATE($Z130,AI$59),'Resultados - 4'!$A$10:$G$155,AI$58,FALSE)</f>
        <v/>
      </c>
      <c r="AJ130" s="297"/>
      <c r="AK130" s="297"/>
      <c r="AL130" s="295" t="str">
        <f>VLOOKUP(CONCATENATE($Z130,AL$59),'Resultados - 4'!$A$10:$G$155,AL$58,FALSE)</f>
        <v/>
      </c>
      <c r="AM130" s="297"/>
      <c r="AN130" s="297"/>
      <c r="AO130" s="295" t="str">
        <f>VLOOKUP(CONCATENATE($Z130,AO$59),'Resultados - 4'!$A$10:$G$155,AO$58,FALSE)</f>
        <v/>
      </c>
      <c r="AP130" s="297"/>
      <c r="AQ130" s="297"/>
      <c r="AR130" s="298" t="str">
        <f>VLOOKUP(CONCATENATE($Z130,AR$59),'Resultados - 4'!$A$10:$G$155,AR$58,FALSE)</f>
        <v/>
      </c>
      <c r="AS130" s="232">
        <f t="shared" si="56"/>
        <v>4</v>
      </c>
      <c r="AU130" s="232">
        <f t="shared" si="31"/>
        <v>0</v>
      </c>
      <c r="AV130" s="232">
        <f t="shared" si="64"/>
        <v>0</v>
      </c>
      <c r="AW130" s="236"/>
      <c r="AX130" s="236"/>
      <c r="AY130" s="232">
        <f t="shared" si="65"/>
        <v>0</v>
      </c>
    </row>
    <row r="131" spans="1:51" ht="12" hidden="1" customHeight="1" x14ac:dyDescent="0.2">
      <c r="A131" s="230"/>
      <c r="B131" s="338" t="str">
        <f>IF(Dados!$Z$9=3,IF(Z131=0,"",CONCATENATE(Z131," - Faixa de medição : (",AB131,AD131,AE131,") ",AG131)),IF(Z131=0,"",Z131))</f>
        <v/>
      </c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230"/>
      <c r="W131" s="5">
        <f t="shared" ref="W131" si="68">IF(X131=0,0,IF(W132=0,0,1))</f>
        <v>0</v>
      </c>
      <c r="X131" s="5">
        <f t="shared" si="29"/>
        <v>0</v>
      </c>
      <c r="Z131" s="289">
        <f>'Resultados - 5'!$G$4</f>
        <v>0</v>
      </c>
      <c r="AA131" s="290"/>
      <c r="AB131" s="290">
        <f>'Resultados - 5'!$N$4</f>
        <v>0</v>
      </c>
      <c r="AC131" s="290"/>
      <c r="AD131" s="290" t="str">
        <f>'Resultados - 5'!$P$4</f>
        <v>~</v>
      </c>
      <c r="AE131" s="290">
        <f>'Resultados - 5'!$Q$4</f>
        <v>0</v>
      </c>
      <c r="AF131" s="290"/>
      <c r="AG131" s="290" t="str">
        <f>'Resultados - 5'!$G$12</f>
        <v>µL</v>
      </c>
      <c r="AH131" s="291"/>
      <c r="AI131" s="290"/>
      <c r="AJ131" s="291"/>
      <c r="AK131" s="291"/>
      <c r="AL131" s="290"/>
      <c r="AM131" s="291"/>
      <c r="AN131" s="291"/>
      <c r="AO131" s="290"/>
      <c r="AP131" s="291"/>
      <c r="AQ131" s="291"/>
      <c r="AR131" s="292"/>
      <c r="AS131" s="232">
        <f t="shared" ref="AS131" si="69">AS130+1</f>
        <v>5</v>
      </c>
    </row>
    <row r="132" spans="1:51" ht="12" hidden="1" customHeight="1" x14ac:dyDescent="0.2">
      <c r="A132" s="230"/>
      <c r="B132" s="327" t="str">
        <f>AA132</f>
        <v/>
      </c>
      <c r="C132" s="328"/>
      <c r="D132" s="328"/>
      <c r="E132" s="328" t="str">
        <f>IF(B132="","",AG131)</f>
        <v/>
      </c>
      <c r="F132" s="328"/>
      <c r="G132" s="328"/>
      <c r="H132" s="328" t="str">
        <f>AE132</f>
        <v/>
      </c>
      <c r="I132" s="328"/>
      <c r="J132" s="328"/>
      <c r="K132" s="328"/>
      <c r="L132" s="328" t="str">
        <f>AI132</f>
        <v/>
      </c>
      <c r="M132" s="328"/>
      <c r="N132" s="328"/>
      <c r="O132" s="328" t="str">
        <f>AL132</f>
        <v/>
      </c>
      <c r="P132" s="328"/>
      <c r="Q132" s="328"/>
      <c r="R132" s="328" t="str">
        <f>AO132</f>
        <v/>
      </c>
      <c r="S132" s="328"/>
      <c r="T132" s="328" t="str">
        <f>AR132</f>
        <v/>
      </c>
      <c r="U132" s="329"/>
      <c r="V132" s="230"/>
      <c r="W132" s="5">
        <f t="shared" si="21"/>
        <v>0</v>
      </c>
      <c r="X132" s="5">
        <f t="shared" si="29"/>
        <v>0</v>
      </c>
      <c r="Z132" s="293">
        <v>1</v>
      </c>
      <c r="AA132" s="232" t="str">
        <f>IF(AE132="","",VLOOKUP(CONCATENATE($Z132,AA$59),'Resultados - 5'!$A$10:$G$155,AA$58,FALSE))</f>
        <v/>
      </c>
      <c r="AE132" s="232" t="str">
        <f>VLOOKUP(CONCATENATE($Z132,AE$59),'Resultados - 5'!$A$10:$G$155,AE$58,FALSE)</f>
        <v/>
      </c>
      <c r="AF132" s="236"/>
      <c r="AG132" s="236"/>
      <c r="AH132" s="236"/>
      <c r="AI132" s="232" t="str">
        <f>VLOOKUP(CONCATENATE($Z132,AI$59),'Resultados - 5'!$A$10:$G$155,AI$58,FALSE)</f>
        <v/>
      </c>
      <c r="AJ132" s="236"/>
      <c r="AK132" s="236"/>
      <c r="AL132" s="232" t="str">
        <f>VLOOKUP(CONCATENATE($Z132,AL$59),'Resultados - 5'!$A$10:$G$155,AL$58,FALSE)</f>
        <v/>
      </c>
      <c r="AM132" s="236"/>
      <c r="AN132" s="236"/>
      <c r="AO132" s="232" t="str">
        <f>VLOOKUP(CONCATENATE($Z132,AO$59),'Resultados - 5'!$A$10:$G$155,AO$58,FALSE)</f>
        <v/>
      </c>
      <c r="AP132" s="236"/>
      <c r="AQ132" s="236"/>
      <c r="AR132" s="197" t="str">
        <f>VLOOKUP(CONCATENATE($Z132,AR$59),'Resultados - 5'!$A$10:$G$155,AR$58,FALSE)</f>
        <v/>
      </c>
      <c r="AS132" s="232">
        <f t="shared" ref="AS132:AS138" si="70">AS131</f>
        <v>5</v>
      </c>
      <c r="AU132" s="232">
        <f t="shared" ref="AU132" si="71">ABS(AV132)</f>
        <v>0</v>
      </c>
      <c r="AV132" s="232">
        <f>IF(AI132="",0,AI132*1)</f>
        <v>0</v>
      </c>
      <c r="AW132" s="236"/>
      <c r="AX132" s="236"/>
      <c r="AY132" s="232">
        <f>IF(AL132="",0,AL132*1)</f>
        <v>0</v>
      </c>
    </row>
    <row r="133" spans="1:51" ht="12" hidden="1" customHeight="1" x14ac:dyDescent="0.2">
      <c r="A133" s="230"/>
      <c r="B133" s="327" t="str">
        <f t="shared" ref="B133:B138" si="72">AA133</f>
        <v/>
      </c>
      <c r="C133" s="328"/>
      <c r="D133" s="328"/>
      <c r="E133" s="328" t="str">
        <f>IF(B133="","",E132)</f>
        <v/>
      </c>
      <c r="F133" s="328"/>
      <c r="G133" s="328"/>
      <c r="H133" s="328" t="str">
        <f t="shared" ref="H133:H138" si="73">AE133</f>
        <v/>
      </c>
      <c r="I133" s="328"/>
      <c r="J133" s="328"/>
      <c r="K133" s="328"/>
      <c r="L133" s="328" t="str">
        <f t="shared" ref="L133:L138" si="74">AI133</f>
        <v/>
      </c>
      <c r="M133" s="328"/>
      <c r="N133" s="328"/>
      <c r="O133" s="328" t="str">
        <f t="shared" ref="O133:O138" si="75">AL133</f>
        <v/>
      </c>
      <c r="P133" s="328"/>
      <c r="Q133" s="328"/>
      <c r="R133" s="328" t="str">
        <f t="shared" ref="R133:R138" si="76">AO133</f>
        <v/>
      </c>
      <c r="S133" s="328"/>
      <c r="T133" s="328" t="str">
        <f t="shared" ref="T133:T138" si="77">AR133</f>
        <v/>
      </c>
      <c r="U133" s="329"/>
      <c r="V133" s="230"/>
      <c r="W133" s="5">
        <f t="shared" si="21"/>
        <v>0</v>
      </c>
      <c r="X133" s="5">
        <f t="shared" si="29"/>
        <v>0</v>
      </c>
      <c r="Z133" s="293">
        <f>Z132+1</f>
        <v>2</v>
      </c>
      <c r="AA133" s="232" t="str">
        <f>IF(AE133="","",VLOOKUP(CONCATENATE($Z133,AA$59),'Resultados - 5'!$A$10:$G$155,AA$58,FALSE))</f>
        <v/>
      </c>
      <c r="AE133" s="232" t="str">
        <f>VLOOKUP(CONCATENATE($Z133,AE$59),'Resultados - 5'!$A$10:$G$155,AE$58,FALSE)</f>
        <v/>
      </c>
      <c r="AF133" s="236"/>
      <c r="AG133" s="236"/>
      <c r="AH133" s="236"/>
      <c r="AI133" s="232" t="str">
        <f>VLOOKUP(CONCATENATE($Z133,AI$59),'Resultados - 5'!$A$10:$G$155,AI$58,FALSE)</f>
        <v/>
      </c>
      <c r="AJ133" s="236"/>
      <c r="AK133" s="236"/>
      <c r="AL133" s="232" t="str">
        <f>VLOOKUP(CONCATENATE($Z133,AL$59),'Resultados - 5'!$A$10:$G$155,AL$58,FALSE)</f>
        <v/>
      </c>
      <c r="AM133" s="236"/>
      <c r="AN133" s="236"/>
      <c r="AO133" s="232" t="str">
        <f>VLOOKUP(CONCATENATE($Z133,AO$59),'Resultados - 5'!$A$10:$G$155,AO$58,FALSE)</f>
        <v/>
      </c>
      <c r="AP133" s="236"/>
      <c r="AQ133" s="236"/>
      <c r="AR133" s="197" t="str">
        <f>VLOOKUP(CONCATENATE($Z133,AR$59),'Resultados - 5'!$A$10:$G$155,AR$58,FALSE)</f>
        <v/>
      </c>
      <c r="AS133" s="232">
        <f t="shared" si="70"/>
        <v>5</v>
      </c>
      <c r="AU133" s="232">
        <f t="shared" si="31"/>
        <v>0</v>
      </c>
      <c r="AV133" s="232">
        <f t="shared" ref="AV133:AV138" si="78">IF(AI133="",0,AI133*1)</f>
        <v>0</v>
      </c>
      <c r="AW133" s="236"/>
      <c r="AX133" s="236"/>
      <c r="AY133" s="232">
        <f t="shared" ref="AY133:AY138" si="79">IF(AL133="",0,AL133*1)</f>
        <v>0</v>
      </c>
    </row>
    <row r="134" spans="1:51" ht="12" hidden="1" customHeight="1" x14ac:dyDescent="0.2">
      <c r="A134" s="230"/>
      <c r="B134" s="327" t="str">
        <f t="shared" si="72"/>
        <v/>
      </c>
      <c r="C134" s="328"/>
      <c r="D134" s="328"/>
      <c r="E134" s="328" t="str">
        <f t="shared" ref="E134:E138" si="80">IF(B134="","",E133)</f>
        <v/>
      </c>
      <c r="F134" s="328"/>
      <c r="G134" s="328"/>
      <c r="H134" s="328" t="str">
        <f t="shared" si="73"/>
        <v/>
      </c>
      <c r="I134" s="328"/>
      <c r="J134" s="328"/>
      <c r="K134" s="328"/>
      <c r="L134" s="328" t="str">
        <f t="shared" si="74"/>
        <v/>
      </c>
      <c r="M134" s="328"/>
      <c r="N134" s="328"/>
      <c r="O134" s="328" t="str">
        <f t="shared" si="75"/>
        <v/>
      </c>
      <c r="P134" s="328"/>
      <c r="Q134" s="328"/>
      <c r="R134" s="328" t="str">
        <f t="shared" si="76"/>
        <v/>
      </c>
      <c r="S134" s="328"/>
      <c r="T134" s="328" t="str">
        <f t="shared" si="77"/>
        <v/>
      </c>
      <c r="U134" s="329"/>
      <c r="V134" s="230"/>
      <c r="W134" s="5">
        <f t="shared" si="21"/>
        <v>0</v>
      </c>
      <c r="X134" s="5">
        <f t="shared" si="29"/>
        <v>0</v>
      </c>
      <c r="Z134" s="293">
        <f t="shared" ref="Z134:Z138" si="81">Z133+1</f>
        <v>3</v>
      </c>
      <c r="AA134" s="232" t="str">
        <f>IF(AE134="","",VLOOKUP(CONCATENATE($Z134,AA$59),'Resultados - 5'!$A$10:$G$155,AA$58,FALSE))</f>
        <v/>
      </c>
      <c r="AE134" s="232" t="str">
        <f>VLOOKUP(CONCATENATE($Z134,AE$59),'Resultados - 5'!$A$10:$G$155,AE$58,FALSE)</f>
        <v/>
      </c>
      <c r="AF134" s="236"/>
      <c r="AG134" s="236"/>
      <c r="AH134" s="236"/>
      <c r="AI134" s="232" t="str">
        <f>VLOOKUP(CONCATENATE($Z134,AI$59),'Resultados - 5'!$A$10:$G$155,AI$58,FALSE)</f>
        <v/>
      </c>
      <c r="AJ134" s="236"/>
      <c r="AK134" s="236"/>
      <c r="AL134" s="232" t="str">
        <f>VLOOKUP(CONCATENATE($Z134,AL$59),'Resultados - 5'!$A$10:$G$155,AL$58,FALSE)</f>
        <v/>
      </c>
      <c r="AM134" s="236"/>
      <c r="AN134" s="236"/>
      <c r="AO134" s="232" t="str">
        <f>VLOOKUP(CONCATENATE($Z134,AO$59),'Resultados - 5'!$A$10:$G$155,AO$58,FALSE)</f>
        <v/>
      </c>
      <c r="AP134" s="236"/>
      <c r="AQ134" s="236"/>
      <c r="AR134" s="197" t="str">
        <f>VLOOKUP(CONCATENATE($Z134,AR$59),'Resultados - 5'!$A$10:$G$155,AR$58,FALSE)</f>
        <v/>
      </c>
      <c r="AS134" s="232">
        <f t="shared" si="70"/>
        <v>5</v>
      </c>
      <c r="AU134" s="232">
        <f t="shared" si="31"/>
        <v>0</v>
      </c>
      <c r="AV134" s="232">
        <f t="shared" si="78"/>
        <v>0</v>
      </c>
      <c r="AW134" s="236"/>
      <c r="AX134" s="236"/>
      <c r="AY134" s="232">
        <f t="shared" si="79"/>
        <v>0</v>
      </c>
    </row>
    <row r="135" spans="1:51" ht="12" hidden="1" customHeight="1" x14ac:dyDescent="0.2">
      <c r="A135" s="230"/>
      <c r="B135" s="327" t="str">
        <f t="shared" si="72"/>
        <v/>
      </c>
      <c r="C135" s="328"/>
      <c r="D135" s="328"/>
      <c r="E135" s="328" t="str">
        <f t="shared" si="80"/>
        <v/>
      </c>
      <c r="F135" s="328"/>
      <c r="G135" s="328"/>
      <c r="H135" s="328" t="str">
        <f t="shared" si="73"/>
        <v/>
      </c>
      <c r="I135" s="328"/>
      <c r="J135" s="328"/>
      <c r="K135" s="328"/>
      <c r="L135" s="328" t="str">
        <f t="shared" si="74"/>
        <v/>
      </c>
      <c r="M135" s="328"/>
      <c r="N135" s="328"/>
      <c r="O135" s="328" t="str">
        <f t="shared" si="75"/>
        <v/>
      </c>
      <c r="P135" s="328"/>
      <c r="Q135" s="328"/>
      <c r="R135" s="328" t="str">
        <f t="shared" si="76"/>
        <v/>
      </c>
      <c r="S135" s="328"/>
      <c r="T135" s="328" t="str">
        <f t="shared" si="77"/>
        <v/>
      </c>
      <c r="U135" s="329"/>
      <c r="V135" s="230"/>
      <c r="W135" s="5">
        <f t="shared" si="21"/>
        <v>0</v>
      </c>
      <c r="X135" s="5">
        <f t="shared" si="29"/>
        <v>0</v>
      </c>
      <c r="Z135" s="293">
        <f t="shared" si="81"/>
        <v>4</v>
      </c>
      <c r="AA135" s="232" t="str">
        <f>IF(AE135="","",VLOOKUP(CONCATENATE($Z135,AA$59),'Resultados - 5'!$A$10:$G$155,AA$58,FALSE))</f>
        <v/>
      </c>
      <c r="AE135" s="232" t="str">
        <f>VLOOKUP(CONCATENATE($Z135,AE$59),'Resultados - 5'!$A$10:$G$155,AE$58,FALSE)</f>
        <v/>
      </c>
      <c r="AF135" s="236"/>
      <c r="AG135" s="236"/>
      <c r="AH135" s="236"/>
      <c r="AI135" s="232" t="str">
        <f>VLOOKUP(CONCATENATE($Z135,AI$59),'Resultados - 5'!$A$10:$G$155,AI$58,FALSE)</f>
        <v/>
      </c>
      <c r="AJ135" s="236"/>
      <c r="AK135" s="236"/>
      <c r="AL135" s="232" t="str">
        <f>VLOOKUP(CONCATENATE($Z135,AL$59),'Resultados - 5'!$A$10:$G$155,AL$58,FALSE)</f>
        <v/>
      </c>
      <c r="AM135" s="236"/>
      <c r="AN135" s="236"/>
      <c r="AO135" s="232" t="str">
        <f>VLOOKUP(CONCATENATE($Z135,AO$59),'Resultados - 5'!$A$10:$G$155,AO$58,FALSE)</f>
        <v/>
      </c>
      <c r="AP135" s="236"/>
      <c r="AQ135" s="236"/>
      <c r="AR135" s="197" t="str">
        <f>VLOOKUP(CONCATENATE($Z135,AR$59),'Resultados - 5'!$A$10:$G$155,AR$58,FALSE)</f>
        <v/>
      </c>
      <c r="AS135" s="232">
        <f t="shared" si="70"/>
        <v>5</v>
      </c>
      <c r="AU135" s="232">
        <f t="shared" si="31"/>
        <v>0</v>
      </c>
      <c r="AV135" s="232">
        <f t="shared" si="78"/>
        <v>0</v>
      </c>
      <c r="AW135" s="236"/>
      <c r="AX135" s="236"/>
      <c r="AY135" s="232">
        <f t="shared" si="79"/>
        <v>0</v>
      </c>
    </row>
    <row r="136" spans="1:51" ht="12" hidden="1" customHeight="1" x14ac:dyDescent="0.2">
      <c r="A136" s="230"/>
      <c r="B136" s="327" t="str">
        <f t="shared" si="72"/>
        <v/>
      </c>
      <c r="C136" s="328"/>
      <c r="D136" s="328"/>
      <c r="E136" s="328" t="str">
        <f t="shared" si="80"/>
        <v/>
      </c>
      <c r="F136" s="328"/>
      <c r="G136" s="328"/>
      <c r="H136" s="328" t="str">
        <f t="shared" si="73"/>
        <v/>
      </c>
      <c r="I136" s="328"/>
      <c r="J136" s="328"/>
      <c r="K136" s="328"/>
      <c r="L136" s="328" t="str">
        <f t="shared" si="74"/>
        <v/>
      </c>
      <c r="M136" s="328"/>
      <c r="N136" s="328"/>
      <c r="O136" s="328" t="str">
        <f t="shared" si="75"/>
        <v/>
      </c>
      <c r="P136" s="328"/>
      <c r="Q136" s="328"/>
      <c r="R136" s="328" t="str">
        <f t="shared" si="76"/>
        <v/>
      </c>
      <c r="S136" s="328"/>
      <c r="T136" s="328" t="str">
        <f t="shared" si="77"/>
        <v/>
      </c>
      <c r="U136" s="329"/>
      <c r="V136" s="230"/>
      <c r="W136" s="5">
        <f t="shared" si="21"/>
        <v>0</v>
      </c>
      <c r="X136" s="5">
        <f t="shared" si="29"/>
        <v>0</v>
      </c>
      <c r="Z136" s="293">
        <f t="shared" si="81"/>
        <v>5</v>
      </c>
      <c r="AA136" s="232" t="str">
        <f>IF(AE136="","",VLOOKUP(CONCATENATE($Z136,AA$59),'Resultados - 5'!$A$10:$G$155,AA$58,FALSE))</f>
        <v/>
      </c>
      <c r="AE136" s="232" t="str">
        <f>VLOOKUP(CONCATENATE($Z136,AE$59),'Resultados - 5'!$A$10:$G$155,AE$58,FALSE)</f>
        <v/>
      </c>
      <c r="AF136" s="236"/>
      <c r="AG136" s="236"/>
      <c r="AH136" s="236"/>
      <c r="AI136" s="232" t="str">
        <f>VLOOKUP(CONCATENATE($Z136,AI$59),'Resultados - 5'!$A$10:$G$155,AI$58,FALSE)</f>
        <v/>
      </c>
      <c r="AJ136" s="236"/>
      <c r="AK136" s="236"/>
      <c r="AL136" s="232" t="str">
        <f>VLOOKUP(CONCATENATE($Z136,AL$59),'Resultados - 5'!$A$10:$G$155,AL$58,FALSE)</f>
        <v/>
      </c>
      <c r="AM136" s="236"/>
      <c r="AN136" s="236"/>
      <c r="AO136" s="232" t="str">
        <f>VLOOKUP(CONCATENATE($Z136,AO$59),'Resultados - 5'!$A$10:$G$155,AO$58,FALSE)</f>
        <v/>
      </c>
      <c r="AP136" s="236"/>
      <c r="AQ136" s="236"/>
      <c r="AR136" s="197" t="str">
        <f>VLOOKUP(CONCATENATE($Z136,AR$59),'Resultados - 5'!$A$10:$G$155,AR$58,FALSE)</f>
        <v/>
      </c>
      <c r="AS136" s="232">
        <f t="shared" si="70"/>
        <v>5</v>
      </c>
      <c r="AU136" s="232">
        <f t="shared" si="31"/>
        <v>0</v>
      </c>
      <c r="AV136" s="232">
        <f t="shared" si="78"/>
        <v>0</v>
      </c>
      <c r="AW136" s="236"/>
      <c r="AX136" s="236"/>
      <c r="AY136" s="232">
        <f t="shared" si="79"/>
        <v>0</v>
      </c>
    </row>
    <row r="137" spans="1:51" ht="12" hidden="1" customHeight="1" x14ac:dyDescent="0.2">
      <c r="A137" s="230"/>
      <c r="B137" s="327" t="str">
        <f t="shared" si="72"/>
        <v/>
      </c>
      <c r="C137" s="328"/>
      <c r="D137" s="328"/>
      <c r="E137" s="328" t="str">
        <f t="shared" si="80"/>
        <v/>
      </c>
      <c r="F137" s="328"/>
      <c r="G137" s="328"/>
      <c r="H137" s="328" t="str">
        <f t="shared" si="73"/>
        <v/>
      </c>
      <c r="I137" s="328"/>
      <c r="J137" s="328"/>
      <c r="K137" s="328"/>
      <c r="L137" s="328" t="str">
        <f t="shared" si="74"/>
        <v/>
      </c>
      <c r="M137" s="328"/>
      <c r="N137" s="328"/>
      <c r="O137" s="328" t="str">
        <f t="shared" si="75"/>
        <v/>
      </c>
      <c r="P137" s="328"/>
      <c r="Q137" s="328"/>
      <c r="R137" s="328" t="str">
        <f t="shared" si="76"/>
        <v/>
      </c>
      <c r="S137" s="328"/>
      <c r="T137" s="328" t="str">
        <f t="shared" si="77"/>
        <v/>
      </c>
      <c r="U137" s="329"/>
      <c r="V137" s="230"/>
      <c r="W137" s="5">
        <f t="shared" si="21"/>
        <v>0</v>
      </c>
      <c r="X137" s="5">
        <f t="shared" si="29"/>
        <v>0</v>
      </c>
      <c r="Z137" s="293">
        <f t="shared" si="81"/>
        <v>6</v>
      </c>
      <c r="AA137" s="232" t="str">
        <f>IF(AE137="","",VLOOKUP(CONCATENATE($Z137,AA$59),'Resultados - 5'!$A$10:$G$155,AA$58,FALSE))</f>
        <v/>
      </c>
      <c r="AE137" s="232" t="str">
        <f>VLOOKUP(CONCATENATE($Z137,AE$59),'Resultados - 5'!$A$10:$G$155,AE$58,FALSE)</f>
        <v/>
      </c>
      <c r="AF137" s="236"/>
      <c r="AG137" s="236"/>
      <c r="AH137" s="236"/>
      <c r="AI137" s="232" t="str">
        <f>VLOOKUP(CONCATENATE($Z137,AI$59),'Resultados - 5'!$A$10:$G$155,AI$58,FALSE)</f>
        <v/>
      </c>
      <c r="AJ137" s="236"/>
      <c r="AK137" s="236"/>
      <c r="AL137" s="232" t="str">
        <f>VLOOKUP(CONCATENATE($Z137,AL$59),'Resultados - 5'!$A$10:$G$155,AL$58,FALSE)</f>
        <v/>
      </c>
      <c r="AM137" s="236"/>
      <c r="AN137" s="236"/>
      <c r="AO137" s="232" t="str">
        <f>VLOOKUP(CONCATENATE($Z137,AO$59),'Resultados - 5'!$A$10:$G$155,AO$58,FALSE)</f>
        <v/>
      </c>
      <c r="AP137" s="236"/>
      <c r="AQ137" s="236"/>
      <c r="AR137" s="197" t="str">
        <f>VLOOKUP(CONCATENATE($Z137,AR$59),'Resultados - 5'!$A$10:$G$155,AR$58,FALSE)</f>
        <v/>
      </c>
      <c r="AS137" s="232">
        <f t="shared" si="70"/>
        <v>5</v>
      </c>
      <c r="AU137" s="232">
        <f t="shared" si="31"/>
        <v>0</v>
      </c>
      <c r="AV137" s="232">
        <f t="shared" si="78"/>
        <v>0</v>
      </c>
      <c r="AW137" s="236"/>
      <c r="AX137" s="236"/>
      <c r="AY137" s="232">
        <f t="shared" si="79"/>
        <v>0</v>
      </c>
    </row>
    <row r="138" spans="1:51" ht="12" hidden="1" customHeight="1" x14ac:dyDescent="0.2">
      <c r="A138" s="230"/>
      <c r="B138" s="327" t="str">
        <f t="shared" si="72"/>
        <v/>
      </c>
      <c r="C138" s="328"/>
      <c r="D138" s="328"/>
      <c r="E138" s="328" t="str">
        <f t="shared" si="80"/>
        <v/>
      </c>
      <c r="F138" s="328"/>
      <c r="G138" s="328"/>
      <c r="H138" s="328" t="str">
        <f t="shared" si="73"/>
        <v/>
      </c>
      <c r="I138" s="328"/>
      <c r="J138" s="328"/>
      <c r="K138" s="328"/>
      <c r="L138" s="328" t="str">
        <f t="shared" si="74"/>
        <v/>
      </c>
      <c r="M138" s="328"/>
      <c r="N138" s="328"/>
      <c r="O138" s="328" t="str">
        <f t="shared" si="75"/>
        <v/>
      </c>
      <c r="P138" s="328"/>
      <c r="Q138" s="328"/>
      <c r="R138" s="328" t="str">
        <f t="shared" si="76"/>
        <v/>
      </c>
      <c r="S138" s="328"/>
      <c r="T138" s="328" t="str">
        <f t="shared" si="77"/>
        <v/>
      </c>
      <c r="U138" s="329"/>
      <c r="V138" s="230"/>
      <c r="W138" s="5">
        <f t="shared" si="21"/>
        <v>0</v>
      </c>
      <c r="X138" s="5">
        <f t="shared" si="29"/>
        <v>0</v>
      </c>
      <c r="Z138" s="294">
        <f t="shared" si="81"/>
        <v>7</v>
      </c>
      <c r="AA138" s="232" t="str">
        <f>IF(AE138="","",VLOOKUP(CONCATENATE($Z138,AA$59),'Resultados - 5'!$A$10:$G$155,AA$58,FALSE))</f>
        <v/>
      </c>
      <c r="AB138" s="296"/>
      <c r="AC138" s="296"/>
      <c r="AD138" s="296"/>
      <c r="AE138" s="295" t="str">
        <f>VLOOKUP(CONCATENATE($Z138,AE$59),'Resultados - 5'!$A$10:$G$155,AE$58,FALSE)</f>
        <v/>
      </c>
      <c r="AF138" s="297"/>
      <c r="AG138" s="297"/>
      <c r="AH138" s="297"/>
      <c r="AI138" s="295" t="str">
        <f>VLOOKUP(CONCATENATE($Z138,AI$59),'Resultados - 5'!$A$10:$G$155,AI$58,FALSE)</f>
        <v/>
      </c>
      <c r="AJ138" s="297"/>
      <c r="AK138" s="297"/>
      <c r="AL138" s="295" t="str">
        <f>VLOOKUP(CONCATENATE($Z138,AL$59),'Resultados - 5'!$A$10:$G$155,AL$58,FALSE)</f>
        <v/>
      </c>
      <c r="AM138" s="297"/>
      <c r="AN138" s="297"/>
      <c r="AO138" s="295" t="str">
        <f>VLOOKUP(CONCATENATE($Z138,AO$59),'Resultados - 5'!$A$10:$G$155,AO$58,FALSE)</f>
        <v/>
      </c>
      <c r="AP138" s="297"/>
      <c r="AQ138" s="297"/>
      <c r="AR138" s="298" t="str">
        <f>VLOOKUP(CONCATENATE($Z138,AR$59),'Resultados - 5'!$A$10:$G$155,AR$58,FALSE)</f>
        <v/>
      </c>
      <c r="AS138" s="232">
        <f t="shared" si="70"/>
        <v>5</v>
      </c>
      <c r="AU138" s="232">
        <f t="shared" si="31"/>
        <v>0</v>
      </c>
      <c r="AV138" s="232">
        <f t="shared" si="78"/>
        <v>0</v>
      </c>
      <c r="AW138" s="236"/>
      <c r="AX138" s="236"/>
      <c r="AY138" s="232">
        <f t="shared" si="79"/>
        <v>0</v>
      </c>
    </row>
    <row r="139" spans="1:51" ht="12" hidden="1" customHeight="1" x14ac:dyDescent="0.2">
      <c r="A139" s="230"/>
      <c r="B139" s="338" t="str">
        <f>IF(Dados!$Z$9=3,IF(Z139=0,"",CONCATENATE(Z139," - Faixa de medição : (",AB139,AD139,AE139,") ",AG139)),IF(Z139=0,"",Z139))</f>
        <v/>
      </c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230"/>
      <c r="W139" s="5">
        <f t="shared" ref="W139" si="82">IF(X139=0,0,IF(W140=0,0,1))</f>
        <v>0</v>
      </c>
      <c r="X139" s="5">
        <f t="shared" si="29"/>
        <v>0</v>
      </c>
      <c r="Z139" s="289">
        <f>'Resultados - 6'!$G$4</f>
        <v>0</v>
      </c>
      <c r="AA139" s="290"/>
      <c r="AB139" s="290">
        <f>'Resultados - 6'!$N$4</f>
        <v>0</v>
      </c>
      <c r="AC139" s="290"/>
      <c r="AD139" s="290" t="str">
        <f>'Resultados - 6'!$P$4</f>
        <v>~</v>
      </c>
      <c r="AE139" s="290">
        <f>'Resultados - 6'!$Q$4</f>
        <v>0</v>
      </c>
      <c r="AF139" s="290"/>
      <c r="AG139" s="290" t="str">
        <f>'Resultados - 6'!$G$12</f>
        <v>µL</v>
      </c>
      <c r="AH139" s="291"/>
      <c r="AI139" s="290"/>
      <c r="AJ139" s="291"/>
      <c r="AK139" s="291"/>
      <c r="AL139" s="290"/>
      <c r="AM139" s="291"/>
      <c r="AN139" s="291"/>
      <c r="AO139" s="290"/>
      <c r="AP139" s="291"/>
      <c r="AQ139" s="291"/>
      <c r="AR139" s="292"/>
      <c r="AS139" s="232">
        <f t="shared" ref="AS139" si="83">AS138+1</f>
        <v>6</v>
      </c>
    </row>
    <row r="140" spans="1:51" ht="12" hidden="1" customHeight="1" x14ac:dyDescent="0.2">
      <c r="A140" s="230"/>
      <c r="B140" s="327" t="str">
        <f>AA140</f>
        <v/>
      </c>
      <c r="C140" s="328"/>
      <c r="D140" s="328"/>
      <c r="E140" s="328" t="str">
        <f>IF(B140="","",AG139)</f>
        <v/>
      </c>
      <c r="F140" s="328"/>
      <c r="G140" s="328"/>
      <c r="H140" s="328" t="str">
        <f>AE140</f>
        <v/>
      </c>
      <c r="I140" s="328"/>
      <c r="J140" s="328"/>
      <c r="K140" s="328"/>
      <c r="L140" s="328" t="str">
        <f>AI140</f>
        <v/>
      </c>
      <c r="M140" s="328"/>
      <c r="N140" s="328"/>
      <c r="O140" s="328" t="str">
        <f>AL140</f>
        <v/>
      </c>
      <c r="P140" s="328"/>
      <c r="Q140" s="328"/>
      <c r="R140" s="328" t="str">
        <f>AO140</f>
        <v/>
      </c>
      <c r="S140" s="328"/>
      <c r="T140" s="328" t="str">
        <f>AR140</f>
        <v/>
      </c>
      <c r="U140" s="329"/>
      <c r="V140" s="230"/>
      <c r="W140" s="5">
        <f t="shared" si="21"/>
        <v>0</v>
      </c>
      <c r="X140" s="5">
        <f t="shared" si="29"/>
        <v>0</v>
      </c>
      <c r="Z140" s="293">
        <v>1</v>
      </c>
      <c r="AA140" s="232" t="str">
        <f>IF(AE140="","",VLOOKUP(CONCATENATE($Z140,AA$59),'Resultados - 6'!$A$10:$G$155,AA$58,FALSE))</f>
        <v/>
      </c>
      <c r="AE140" s="232" t="str">
        <f>VLOOKUP(CONCATENATE($Z140,AE$59),'Resultados - 6'!$A$10:$G$155,AE$58,FALSE)</f>
        <v/>
      </c>
      <c r="AF140" s="236"/>
      <c r="AG140" s="236"/>
      <c r="AH140" s="236"/>
      <c r="AI140" s="232" t="str">
        <f>VLOOKUP(CONCATENATE($Z140,AI$59),'Resultados - 6'!$A$10:$G$155,AI$58,FALSE)</f>
        <v/>
      </c>
      <c r="AJ140" s="236"/>
      <c r="AK140" s="236"/>
      <c r="AL140" s="232" t="str">
        <f>VLOOKUP(CONCATENATE($Z140,AL$59),'Resultados - 6'!$A$10:$G$155,AL$58,FALSE)</f>
        <v/>
      </c>
      <c r="AM140" s="236"/>
      <c r="AN140" s="236"/>
      <c r="AO140" s="232" t="str">
        <f>VLOOKUP(CONCATENATE($Z140,AO$59),'Resultados - 6'!$A$10:$G$155,AO$58,FALSE)</f>
        <v/>
      </c>
      <c r="AP140" s="236"/>
      <c r="AQ140" s="236"/>
      <c r="AR140" s="197" t="str">
        <f>VLOOKUP(CONCATENATE($Z140,AR$59),'Resultados - 6'!$A$10:$G$155,AR$58,FALSE)</f>
        <v/>
      </c>
      <c r="AS140" s="232">
        <f t="shared" ref="AS140:AS146" si="84">AS139</f>
        <v>6</v>
      </c>
      <c r="AU140" s="232">
        <f t="shared" ref="AU140" si="85">ABS(AV140)</f>
        <v>0</v>
      </c>
      <c r="AV140" s="232">
        <f>IF(AI140="",0,AI140*1)</f>
        <v>0</v>
      </c>
      <c r="AW140" s="236"/>
      <c r="AX140" s="236"/>
      <c r="AY140" s="232">
        <f>IF(AL140="",0,AL140*1)</f>
        <v>0</v>
      </c>
    </row>
    <row r="141" spans="1:51" ht="12" hidden="1" customHeight="1" x14ac:dyDescent="0.2">
      <c r="A141" s="230"/>
      <c r="B141" s="327" t="str">
        <f t="shared" ref="B141:B146" si="86">AA141</f>
        <v/>
      </c>
      <c r="C141" s="328"/>
      <c r="D141" s="328"/>
      <c r="E141" s="328" t="str">
        <f>IF(B141="","",E140)</f>
        <v/>
      </c>
      <c r="F141" s="328"/>
      <c r="G141" s="328"/>
      <c r="H141" s="328" t="str">
        <f t="shared" ref="H141:H146" si="87">AE141</f>
        <v/>
      </c>
      <c r="I141" s="328"/>
      <c r="J141" s="328"/>
      <c r="K141" s="328"/>
      <c r="L141" s="328" t="str">
        <f t="shared" ref="L141:L146" si="88">AI141</f>
        <v/>
      </c>
      <c r="M141" s="328"/>
      <c r="N141" s="328"/>
      <c r="O141" s="328" t="str">
        <f t="shared" ref="O141:O146" si="89">AL141</f>
        <v/>
      </c>
      <c r="P141" s="328"/>
      <c r="Q141" s="328"/>
      <c r="R141" s="328" t="str">
        <f t="shared" ref="R141:R146" si="90">AO141</f>
        <v/>
      </c>
      <c r="S141" s="328"/>
      <c r="T141" s="328" t="str">
        <f t="shared" ref="T141:T146" si="91">AR141</f>
        <v/>
      </c>
      <c r="U141" s="329"/>
      <c r="V141" s="230"/>
      <c r="W141" s="5">
        <f t="shared" si="21"/>
        <v>0</v>
      </c>
      <c r="X141" s="5">
        <f t="shared" si="29"/>
        <v>0</v>
      </c>
      <c r="Z141" s="293">
        <f>Z140+1</f>
        <v>2</v>
      </c>
      <c r="AA141" s="232" t="str">
        <f>IF(AE141="","",VLOOKUP(CONCATENATE($Z141,AA$59),'Resultados - 6'!$A$10:$G$155,AA$58,FALSE))</f>
        <v/>
      </c>
      <c r="AE141" s="232" t="str">
        <f>VLOOKUP(CONCATENATE($Z141,AE$59),'Resultados - 6'!$A$10:$G$155,AE$58,FALSE)</f>
        <v/>
      </c>
      <c r="AF141" s="236"/>
      <c r="AG141" s="236"/>
      <c r="AH141" s="236"/>
      <c r="AI141" s="232" t="str">
        <f>VLOOKUP(CONCATENATE($Z141,AI$59),'Resultados - 6'!$A$10:$G$155,AI$58,FALSE)</f>
        <v/>
      </c>
      <c r="AJ141" s="236"/>
      <c r="AK141" s="236"/>
      <c r="AL141" s="232" t="str">
        <f>VLOOKUP(CONCATENATE($Z141,AL$59),'Resultados - 6'!$A$10:$G$155,AL$58,FALSE)</f>
        <v/>
      </c>
      <c r="AM141" s="236"/>
      <c r="AN141" s="236"/>
      <c r="AO141" s="232" t="str">
        <f>VLOOKUP(CONCATENATE($Z141,AO$59),'Resultados - 6'!$A$10:$G$155,AO$58,FALSE)</f>
        <v/>
      </c>
      <c r="AP141" s="236"/>
      <c r="AQ141" s="236"/>
      <c r="AR141" s="197" t="str">
        <f>VLOOKUP(CONCATENATE($Z141,AR$59),'Resultados - 6'!$A$10:$G$155,AR$58,FALSE)</f>
        <v/>
      </c>
      <c r="AS141" s="232">
        <f t="shared" si="84"/>
        <v>6</v>
      </c>
      <c r="AU141" s="232">
        <f t="shared" si="31"/>
        <v>0</v>
      </c>
      <c r="AV141" s="232">
        <f t="shared" ref="AV141:AV146" si="92">IF(AI141="",0,AI141*1)</f>
        <v>0</v>
      </c>
      <c r="AW141" s="236"/>
      <c r="AX141" s="236"/>
      <c r="AY141" s="232">
        <f t="shared" ref="AY141:AY146" si="93">IF(AL141="",0,AL141*1)</f>
        <v>0</v>
      </c>
    </row>
    <row r="142" spans="1:51" ht="12" hidden="1" customHeight="1" x14ac:dyDescent="0.2">
      <c r="A142" s="230"/>
      <c r="B142" s="327" t="str">
        <f t="shared" si="86"/>
        <v/>
      </c>
      <c r="C142" s="328"/>
      <c r="D142" s="328"/>
      <c r="E142" s="328" t="str">
        <f t="shared" ref="E142:E146" si="94">IF(B142="","",E141)</f>
        <v/>
      </c>
      <c r="F142" s="328"/>
      <c r="G142" s="328"/>
      <c r="H142" s="328" t="str">
        <f t="shared" si="87"/>
        <v/>
      </c>
      <c r="I142" s="328"/>
      <c r="J142" s="328"/>
      <c r="K142" s="328"/>
      <c r="L142" s="328" t="str">
        <f t="shared" si="88"/>
        <v/>
      </c>
      <c r="M142" s="328"/>
      <c r="N142" s="328"/>
      <c r="O142" s="328" t="str">
        <f t="shared" si="89"/>
        <v/>
      </c>
      <c r="P142" s="328"/>
      <c r="Q142" s="328"/>
      <c r="R142" s="328" t="str">
        <f t="shared" si="90"/>
        <v/>
      </c>
      <c r="S142" s="328"/>
      <c r="T142" s="328" t="str">
        <f t="shared" si="91"/>
        <v/>
      </c>
      <c r="U142" s="329"/>
      <c r="V142" s="230"/>
      <c r="W142" s="5">
        <f t="shared" si="21"/>
        <v>0</v>
      </c>
      <c r="X142" s="5">
        <f t="shared" si="29"/>
        <v>0</v>
      </c>
      <c r="Z142" s="293">
        <f t="shared" ref="Z142:Z146" si="95">Z141+1</f>
        <v>3</v>
      </c>
      <c r="AA142" s="232" t="str">
        <f>IF(AE142="","",VLOOKUP(CONCATENATE($Z142,AA$59),'Resultados - 6'!$A$10:$G$155,AA$58,FALSE))</f>
        <v/>
      </c>
      <c r="AE142" s="232" t="str">
        <f>VLOOKUP(CONCATENATE($Z142,AE$59),'Resultados - 6'!$A$10:$G$155,AE$58,FALSE)</f>
        <v/>
      </c>
      <c r="AF142" s="236"/>
      <c r="AG142" s="236"/>
      <c r="AH142" s="236"/>
      <c r="AI142" s="232" t="str">
        <f>VLOOKUP(CONCATENATE($Z142,AI$59),'Resultados - 6'!$A$10:$G$155,AI$58,FALSE)</f>
        <v/>
      </c>
      <c r="AJ142" s="236"/>
      <c r="AK142" s="236"/>
      <c r="AL142" s="232" t="str">
        <f>VLOOKUP(CONCATENATE($Z142,AL$59),'Resultados - 6'!$A$10:$G$155,AL$58,FALSE)</f>
        <v/>
      </c>
      <c r="AM142" s="236"/>
      <c r="AN142" s="236"/>
      <c r="AO142" s="232" t="str">
        <f>VLOOKUP(CONCATENATE($Z142,AO$59),'Resultados - 6'!$A$10:$G$155,AO$58,FALSE)</f>
        <v/>
      </c>
      <c r="AP142" s="236"/>
      <c r="AQ142" s="236"/>
      <c r="AR142" s="197" t="str">
        <f>VLOOKUP(CONCATENATE($Z142,AR$59),'Resultados - 6'!$A$10:$G$155,AR$58,FALSE)</f>
        <v/>
      </c>
      <c r="AS142" s="232">
        <f t="shared" si="84"/>
        <v>6</v>
      </c>
      <c r="AU142" s="232">
        <f t="shared" si="31"/>
        <v>0</v>
      </c>
      <c r="AV142" s="232">
        <f t="shared" si="92"/>
        <v>0</v>
      </c>
      <c r="AW142" s="236"/>
      <c r="AX142" s="236"/>
      <c r="AY142" s="232">
        <f t="shared" si="93"/>
        <v>0</v>
      </c>
    </row>
    <row r="143" spans="1:51" ht="12" hidden="1" customHeight="1" x14ac:dyDescent="0.2">
      <c r="A143" s="230"/>
      <c r="B143" s="327" t="str">
        <f t="shared" si="86"/>
        <v/>
      </c>
      <c r="C143" s="328"/>
      <c r="D143" s="328"/>
      <c r="E143" s="328" t="str">
        <f t="shared" si="94"/>
        <v/>
      </c>
      <c r="F143" s="328"/>
      <c r="G143" s="328"/>
      <c r="H143" s="328" t="str">
        <f t="shared" si="87"/>
        <v/>
      </c>
      <c r="I143" s="328"/>
      <c r="J143" s="328"/>
      <c r="K143" s="328"/>
      <c r="L143" s="328" t="str">
        <f t="shared" si="88"/>
        <v/>
      </c>
      <c r="M143" s="328"/>
      <c r="N143" s="328"/>
      <c r="O143" s="328" t="str">
        <f t="shared" si="89"/>
        <v/>
      </c>
      <c r="P143" s="328"/>
      <c r="Q143" s="328"/>
      <c r="R143" s="328" t="str">
        <f t="shared" si="90"/>
        <v/>
      </c>
      <c r="S143" s="328"/>
      <c r="T143" s="328" t="str">
        <f t="shared" si="91"/>
        <v/>
      </c>
      <c r="U143" s="329"/>
      <c r="V143" s="230"/>
      <c r="W143" s="5">
        <f t="shared" si="21"/>
        <v>0</v>
      </c>
      <c r="X143" s="5">
        <f t="shared" si="29"/>
        <v>0</v>
      </c>
      <c r="Z143" s="293">
        <f t="shared" si="95"/>
        <v>4</v>
      </c>
      <c r="AA143" s="232" t="str">
        <f>IF(AE143="","",VLOOKUP(CONCATENATE($Z143,AA$59),'Resultados - 6'!$A$10:$G$155,AA$58,FALSE))</f>
        <v/>
      </c>
      <c r="AE143" s="232" t="str">
        <f>VLOOKUP(CONCATENATE($Z143,AE$59),'Resultados - 6'!$A$10:$G$155,AE$58,FALSE)</f>
        <v/>
      </c>
      <c r="AF143" s="236"/>
      <c r="AG143" s="236"/>
      <c r="AH143" s="236"/>
      <c r="AI143" s="232" t="str">
        <f>VLOOKUP(CONCATENATE($Z143,AI$59),'Resultados - 6'!$A$10:$G$155,AI$58,FALSE)</f>
        <v/>
      </c>
      <c r="AJ143" s="236"/>
      <c r="AK143" s="236"/>
      <c r="AL143" s="232" t="str">
        <f>VLOOKUP(CONCATENATE($Z143,AL$59),'Resultados - 6'!$A$10:$G$155,AL$58,FALSE)</f>
        <v/>
      </c>
      <c r="AM143" s="236"/>
      <c r="AN143" s="236"/>
      <c r="AO143" s="232" t="str">
        <f>VLOOKUP(CONCATENATE($Z143,AO$59),'Resultados - 6'!$A$10:$G$155,AO$58,FALSE)</f>
        <v/>
      </c>
      <c r="AP143" s="236"/>
      <c r="AQ143" s="236"/>
      <c r="AR143" s="197" t="str">
        <f>VLOOKUP(CONCATENATE($Z143,AR$59),'Resultados - 6'!$A$10:$G$155,AR$58,FALSE)</f>
        <v/>
      </c>
      <c r="AS143" s="232">
        <f t="shared" si="84"/>
        <v>6</v>
      </c>
      <c r="AU143" s="232">
        <f t="shared" si="31"/>
        <v>0</v>
      </c>
      <c r="AV143" s="232">
        <f t="shared" si="92"/>
        <v>0</v>
      </c>
      <c r="AW143" s="236"/>
      <c r="AX143" s="236"/>
      <c r="AY143" s="232">
        <f t="shared" si="93"/>
        <v>0</v>
      </c>
    </row>
    <row r="144" spans="1:51" ht="12" hidden="1" customHeight="1" x14ac:dyDescent="0.2">
      <c r="A144" s="230"/>
      <c r="B144" s="327" t="str">
        <f t="shared" si="86"/>
        <v/>
      </c>
      <c r="C144" s="328"/>
      <c r="D144" s="328"/>
      <c r="E144" s="328" t="str">
        <f t="shared" si="94"/>
        <v/>
      </c>
      <c r="F144" s="328"/>
      <c r="G144" s="328"/>
      <c r="H144" s="328" t="str">
        <f t="shared" si="87"/>
        <v/>
      </c>
      <c r="I144" s="328"/>
      <c r="J144" s="328"/>
      <c r="K144" s="328"/>
      <c r="L144" s="328" t="str">
        <f t="shared" si="88"/>
        <v/>
      </c>
      <c r="M144" s="328"/>
      <c r="N144" s="328"/>
      <c r="O144" s="328" t="str">
        <f t="shared" si="89"/>
        <v/>
      </c>
      <c r="P144" s="328"/>
      <c r="Q144" s="328"/>
      <c r="R144" s="328" t="str">
        <f t="shared" si="90"/>
        <v/>
      </c>
      <c r="S144" s="328"/>
      <c r="T144" s="328" t="str">
        <f t="shared" si="91"/>
        <v/>
      </c>
      <c r="U144" s="329"/>
      <c r="V144" s="230"/>
      <c r="W144" s="5">
        <f t="shared" si="21"/>
        <v>0</v>
      </c>
      <c r="X144" s="5">
        <f t="shared" si="29"/>
        <v>0</v>
      </c>
      <c r="Z144" s="293">
        <f t="shared" si="95"/>
        <v>5</v>
      </c>
      <c r="AA144" s="232" t="str">
        <f>IF(AE144="","",VLOOKUP(CONCATENATE($Z144,AA$59),'Resultados - 6'!$A$10:$G$155,AA$58,FALSE))</f>
        <v/>
      </c>
      <c r="AE144" s="232" t="str">
        <f>VLOOKUP(CONCATENATE($Z144,AE$59),'Resultados - 6'!$A$10:$G$155,AE$58,FALSE)</f>
        <v/>
      </c>
      <c r="AF144" s="236"/>
      <c r="AG144" s="236"/>
      <c r="AH144" s="236"/>
      <c r="AI144" s="232" t="str">
        <f>VLOOKUP(CONCATENATE($Z144,AI$59),'Resultados - 6'!$A$10:$G$155,AI$58,FALSE)</f>
        <v/>
      </c>
      <c r="AJ144" s="236"/>
      <c r="AK144" s="236"/>
      <c r="AL144" s="232" t="str">
        <f>VLOOKUP(CONCATENATE($Z144,AL$59),'Resultados - 6'!$A$10:$G$155,AL$58,FALSE)</f>
        <v/>
      </c>
      <c r="AM144" s="236"/>
      <c r="AN144" s="236"/>
      <c r="AO144" s="232" t="str">
        <f>VLOOKUP(CONCATENATE($Z144,AO$59),'Resultados - 6'!$A$10:$G$155,AO$58,FALSE)</f>
        <v/>
      </c>
      <c r="AP144" s="236"/>
      <c r="AQ144" s="236"/>
      <c r="AR144" s="197" t="str">
        <f>VLOOKUP(CONCATENATE($Z144,AR$59),'Resultados - 6'!$A$10:$G$155,AR$58,FALSE)</f>
        <v/>
      </c>
      <c r="AS144" s="232">
        <f t="shared" si="84"/>
        <v>6</v>
      </c>
      <c r="AU144" s="232">
        <f t="shared" si="31"/>
        <v>0</v>
      </c>
      <c r="AV144" s="232">
        <f t="shared" si="92"/>
        <v>0</v>
      </c>
      <c r="AW144" s="236"/>
      <c r="AX144" s="236"/>
      <c r="AY144" s="232">
        <f t="shared" si="93"/>
        <v>0</v>
      </c>
    </row>
    <row r="145" spans="1:51" ht="12" hidden="1" customHeight="1" x14ac:dyDescent="0.2">
      <c r="A145" s="230"/>
      <c r="B145" s="327" t="str">
        <f t="shared" si="86"/>
        <v/>
      </c>
      <c r="C145" s="328"/>
      <c r="D145" s="328"/>
      <c r="E145" s="328" t="str">
        <f t="shared" si="94"/>
        <v/>
      </c>
      <c r="F145" s="328"/>
      <c r="G145" s="328"/>
      <c r="H145" s="328" t="str">
        <f t="shared" si="87"/>
        <v/>
      </c>
      <c r="I145" s="328"/>
      <c r="J145" s="328"/>
      <c r="K145" s="328"/>
      <c r="L145" s="328" t="str">
        <f t="shared" si="88"/>
        <v/>
      </c>
      <c r="M145" s="328"/>
      <c r="N145" s="328"/>
      <c r="O145" s="328" t="str">
        <f t="shared" si="89"/>
        <v/>
      </c>
      <c r="P145" s="328"/>
      <c r="Q145" s="328"/>
      <c r="R145" s="328" t="str">
        <f t="shared" si="90"/>
        <v/>
      </c>
      <c r="S145" s="328"/>
      <c r="T145" s="328" t="str">
        <f t="shared" si="91"/>
        <v/>
      </c>
      <c r="U145" s="329"/>
      <c r="V145" s="230"/>
      <c r="W145" s="5">
        <f t="shared" si="21"/>
        <v>0</v>
      </c>
      <c r="X145" s="5">
        <f t="shared" si="29"/>
        <v>0</v>
      </c>
      <c r="Z145" s="293">
        <f t="shared" si="95"/>
        <v>6</v>
      </c>
      <c r="AA145" s="232" t="str">
        <f>IF(AE145="","",VLOOKUP(CONCATENATE($Z145,AA$59),'Resultados - 6'!$A$10:$G$155,AA$58,FALSE))</f>
        <v/>
      </c>
      <c r="AE145" s="232" t="str">
        <f>VLOOKUP(CONCATENATE($Z145,AE$59),'Resultados - 6'!$A$10:$G$155,AE$58,FALSE)</f>
        <v/>
      </c>
      <c r="AF145" s="236"/>
      <c r="AG145" s="236"/>
      <c r="AH145" s="236"/>
      <c r="AI145" s="232" t="str">
        <f>VLOOKUP(CONCATENATE($Z145,AI$59),'Resultados - 6'!$A$10:$G$155,AI$58,FALSE)</f>
        <v/>
      </c>
      <c r="AJ145" s="236"/>
      <c r="AK145" s="236"/>
      <c r="AL145" s="232" t="str">
        <f>VLOOKUP(CONCATENATE($Z145,AL$59),'Resultados - 6'!$A$10:$G$155,AL$58,FALSE)</f>
        <v/>
      </c>
      <c r="AM145" s="236"/>
      <c r="AN145" s="236"/>
      <c r="AO145" s="232" t="str">
        <f>VLOOKUP(CONCATENATE($Z145,AO$59),'Resultados - 6'!$A$10:$G$155,AO$58,FALSE)</f>
        <v/>
      </c>
      <c r="AP145" s="236"/>
      <c r="AQ145" s="236"/>
      <c r="AR145" s="197" t="str">
        <f>VLOOKUP(CONCATENATE($Z145,AR$59),'Resultados - 6'!$A$10:$G$155,AR$58,FALSE)</f>
        <v/>
      </c>
      <c r="AS145" s="232">
        <f t="shared" si="84"/>
        <v>6</v>
      </c>
      <c r="AU145" s="232">
        <f t="shared" si="31"/>
        <v>0</v>
      </c>
      <c r="AV145" s="232">
        <f t="shared" si="92"/>
        <v>0</v>
      </c>
      <c r="AW145" s="236"/>
      <c r="AX145" s="236"/>
      <c r="AY145" s="232">
        <f t="shared" si="93"/>
        <v>0</v>
      </c>
    </row>
    <row r="146" spans="1:51" ht="12" hidden="1" customHeight="1" x14ac:dyDescent="0.2">
      <c r="A146" s="230"/>
      <c r="B146" s="327" t="str">
        <f t="shared" si="86"/>
        <v/>
      </c>
      <c r="C146" s="328"/>
      <c r="D146" s="328"/>
      <c r="E146" s="328" t="str">
        <f t="shared" si="94"/>
        <v/>
      </c>
      <c r="F146" s="328"/>
      <c r="G146" s="328"/>
      <c r="H146" s="328" t="str">
        <f t="shared" si="87"/>
        <v/>
      </c>
      <c r="I146" s="328"/>
      <c r="J146" s="328"/>
      <c r="K146" s="328"/>
      <c r="L146" s="328" t="str">
        <f t="shared" si="88"/>
        <v/>
      </c>
      <c r="M146" s="328"/>
      <c r="N146" s="328"/>
      <c r="O146" s="328" t="str">
        <f t="shared" si="89"/>
        <v/>
      </c>
      <c r="P146" s="328"/>
      <c r="Q146" s="328"/>
      <c r="R146" s="328" t="str">
        <f t="shared" si="90"/>
        <v/>
      </c>
      <c r="S146" s="328"/>
      <c r="T146" s="328" t="str">
        <f t="shared" si="91"/>
        <v/>
      </c>
      <c r="U146" s="329"/>
      <c r="V146" s="230"/>
      <c r="W146" s="5">
        <f t="shared" si="21"/>
        <v>0</v>
      </c>
      <c r="X146" s="5">
        <f t="shared" si="29"/>
        <v>0</v>
      </c>
      <c r="Z146" s="294">
        <f t="shared" si="95"/>
        <v>7</v>
      </c>
      <c r="AA146" s="232" t="str">
        <f>IF(AE146="","",VLOOKUP(CONCATENATE($Z146,AA$59),'Resultados - 6'!$A$10:$G$155,AA$58,FALSE))</f>
        <v/>
      </c>
      <c r="AB146" s="296"/>
      <c r="AC146" s="296"/>
      <c r="AD146" s="296"/>
      <c r="AE146" s="295" t="str">
        <f>VLOOKUP(CONCATENATE($Z146,AE$59),'Resultados - 6'!$A$10:$G$155,AE$58,FALSE)</f>
        <v/>
      </c>
      <c r="AF146" s="297"/>
      <c r="AG146" s="297"/>
      <c r="AH146" s="297"/>
      <c r="AI146" s="295" t="str">
        <f>VLOOKUP(CONCATENATE($Z146,AI$59),'Resultados - 6'!$A$10:$G$155,AI$58,FALSE)</f>
        <v/>
      </c>
      <c r="AJ146" s="297"/>
      <c r="AK146" s="297"/>
      <c r="AL146" s="295" t="str">
        <f>VLOOKUP(CONCATENATE($Z146,AL$59),'Resultados - 6'!$A$10:$G$155,AL$58,FALSE)</f>
        <v/>
      </c>
      <c r="AM146" s="297"/>
      <c r="AN146" s="297"/>
      <c r="AO146" s="295" t="str">
        <f>VLOOKUP(CONCATENATE($Z146,AO$59),'Resultados - 6'!$A$10:$G$155,AO$58,FALSE)</f>
        <v/>
      </c>
      <c r="AP146" s="297"/>
      <c r="AQ146" s="297"/>
      <c r="AR146" s="298" t="str">
        <f>VLOOKUP(CONCATENATE($Z146,AR$59),'Resultados - 6'!$A$10:$G$155,AR$58,FALSE)</f>
        <v/>
      </c>
      <c r="AS146" s="232">
        <f t="shared" si="84"/>
        <v>6</v>
      </c>
      <c r="AU146" s="232">
        <f t="shared" si="31"/>
        <v>0</v>
      </c>
      <c r="AV146" s="232">
        <f t="shared" si="92"/>
        <v>0</v>
      </c>
      <c r="AW146" s="236"/>
      <c r="AX146" s="236"/>
      <c r="AY146" s="232">
        <f t="shared" si="93"/>
        <v>0</v>
      </c>
    </row>
    <row r="147" spans="1:51" ht="15" hidden="1" customHeight="1" x14ac:dyDescent="0.2">
      <c r="A147" s="230"/>
      <c r="B147" s="287"/>
      <c r="C147" s="287"/>
      <c r="D147" s="287"/>
      <c r="E147" s="287"/>
      <c r="F147" s="287"/>
      <c r="G147" s="287"/>
      <c r="H147" s="287"/>
      <c r="I147" s="287"/>
      <c r="J147" s="287"/>
      <c r="K147" s="287"/>
      <c r="L147" s="287"/>
      <c r="M147" s="287"/>
      <c r="N147" s="287"/>
      <c r="O147" s="287"/>
      <c r="P147" s="287"/>
      <c r="Q147" s="287"/>
      <c r="R147" s="287"/>
      <c r="S147" s="287"/>
      <c r="T147" s="287"/>
      <c r="U147" s="287"/>
      <c r="V147" s="230"/>
      <c r="W147" s="5">
        <f>IF(AND(W84=1,W193=0,X208=1),0,IF(W84=0,0,1))</f>
        <v>0</v>
      </c>
      <c r="Z147" s="231"/>
      <c r="AE147" s="232"/>
      <c r="AF147" s="236"/>
      <c r="AG147" s="236"/>
      <c r="AH147" s="236"/>
      <c r="AI147" s="232"/>
      <c r="AJ147" s="236"/>
      <c r="AK147" s="236"/>
      <c r="AL147" s="232"/>
      <c r="AM147" s="236"/>
      <c r="AN147" s="236"/>
      <c r="AO147" s="232"/>
      <c r="AP147" s="236"/>
      <c r="AQ147" s="236"/>
      <c r="AR147" s="232"/>
    </row>
    <row r="148" spans="1:51" ht="12" hidden="1" customHeight="1" x14ac:dyDescent="0.2">
      <c r="A148" s="230"/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7"/>
      <c r="Q148" s="287"/>
      <c r="R148" s="287"/>
      <c r="S148" s="287"/>
      <c r="T148" s="287"/>
      <c r="U148" s="287"/>
      <c r="V148" s="230"/>
      <c r="W148" s="5">
        <f>Z148</f>
        <v>0</v>
      </c>
      <c r="X148" s="5">
        <f>IF(W84=0,0,AB90)</f>
        <v>0</v>
      </c>
      <c r="Y148" s="5">
        <f>IF(X148=0,0,IF(W193=0,0,IF(X148&lt;48,48-X148,0)))</f>
        <v>0</v>
      </c>
      <c r="Z148" s="231">
        <f>IF(Y148&gt;0,1,0)</f>
        <v>0</v>
      </c>
      <c r="AA148" s="232"/>
      <c r="AE148" s="232"/>
      <c r="AF148" s="236"/>
      <c r="AG148" s="236"/>
      <c r="AH148" s="236"/>
      <c r="AI148" s="232"/>
      <c r="AJ148" s="236"/>
      <c r="AK148" s="236"/>
      <c r="AL148" s="232"/>
      <c r="AM148" s="236"/>
      <c r="AN148" s="236"/>
      <c r="AO148" s="232"/>
      <c r="AP148" s="236"/>
      <c r="AQ148" s="236"/>
      <c r="AR148" s="232"/>
    </row>
    <row r="149" spans="1:51" ht="12" hidden="1" customHeight="1" x14ac:dyDescent="0.2">
      <c r="A149" s="230"/>
      <c r="B149" s="287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7"/>
      <c r="Q149" s="287"/>
      <c r="R149" s="287"/>
      <c r="S149" s="287"/>
      <c r="T149" s="287"/>
      <c r="U149" s="287"/>
      <c r="V149" s="230"/>
      <c r="W149" s="5">
        <f t="shared" ref="W149:W192" si="96">Z149</f>
        <v>0</v>
      </c>
      <c r="Y149" s="5">
        <f>Y148-1</f>
        <v>-1</v>
      </c>
      <c r="Z149" s="231">
        <f t="shared" ref="Z149:Z192" si="97">IF(Y149&gt;0,1,0)</f>
        <v>0</v>
      </c>
      <c r="AA149" s="232"/>
      <c r="AE149" s="232"/>
      <c r="AF149" s="236"/>
      <c r="AG149" s="236"/>
      <c r="AH149" s="236"/>
      <c r="AI149" s="232"/>
      <c r="AJ149" s="236"/>
      <c r="AK149" s="236"/>
      <c r="AL149" s="232"/>
      <c r="AM149" s="236"/>
      <c r="AN149" s="236"/>
      <c r="AO149" s="232"/>
      <c r="AP149" s="236"/>
      <c r="AQ149" s="236"/>
      <c r="AR149" s="232"/>
    </row>
    <row r="150" spans="1:51" ht="12" hidden="1" customHeight="1" x14ac:dyDescent="0.2">
      <c r="A150" s="230"/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7"/>
      <c r="Q150" s="287"/>
      <c r="R150" s="287"/>
      <c r="S150" s="287"/>
      <c r="T150" s="287"/>
      <c r="U150" s="287"/>
      <c r="V150" s="230"/>
      <c r="W150" s="5">
        <f t="shared" si="96"/>
        <v>0</v>
      </c>
      <c r="Y150" s="5">
        <f>Y149-1</f>
        <v>-2</v>
      </c>
      <c r="Z150" s="231">
        <f t="shared" si="97"/>
        <v>0</v>
      </c>
      <c r="AA150" s="232"/>
      <c r="AE150" s="232"/>
      <c r="AF150" s="236"/>
      <c r="AG150" s="236"/>
      <c r="AH150" s="236"/>
      <c r="AI150" s="232"/>
      <c r="AJ150" s="236"/>
      <c r="AK150" s="236"/>
      <c r="AL150" s="232"/>
      <c r="AM150" s="236"/>
      <c r="AN150" s="236"/>
      <c r="AO150" s="232"/>
      <c r="AP150" s="236"/>
      <c r="AQ150" s="236"/>
      <c r="AR150" s="232"/>
    </row>
    <row r="151" spans="1:51" ht="12" hidden="1" customHeight="1" x14ac:dyDescent="0.2">
      <c r="A151" s="230"/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7"/>
      <c r="Q151" s="287"/>
      <c r="R151" s="287"/>
      <c r="S151" s="287"/>
      <c r="T151" s="287"/>
      <c r="U151" s="287"/>
      <c r="V151" s="230"/>
      <c r="W151" s="5">
        <f t="shared" si="96"/>
        <v>0</v>
      </c>
      <c r="Y151" s="5">
        <f t="shared" ref="Y151:Y192" si="98">Y150-1</f>
        <v>-3</v>
      </c>
      <c r="Z151" s="231">
        <f t="shared" si="97"/>
        <v>0</v>
      </c>
      <c r="AA151" s="232"/>
      <c r="AE151" s="232"/>
      <c r="AF151" s="236"/>
      <c r="AG151" s="236"/>
      <c r="AH151" s="236"/>
      <c r="AI151" s="232"/>
      <c r="AJ151" s="236"/>
      <c r="AK151" s="236"/>
      <c r="AL151" s="232"/>
      <c r="AM151" s="236"/>
      <c r="AN151" s="236"/>
      <c r="AO151" s="232"/>
      <c r="AP151" s="236"/>
      <c r="AQ151" s="236"/>
      <c r="AR151" s="232"/>
    </row>
    <row r="152" spans="1:51" ht="12" hidden="1" customHeight="1" x14ac:dyDescent="0.2">
      <c r="A152" s="230"/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7"/>
      <c r="Q152" s="287"/>
      <c r="R152" s="287"/>
      <c r="S152" s="287"/>
      <c r="T152" s="287"/>
      <c r="U152" s="287"/>
      <c r="V152" s="230"/>
      <c r="W152" s="5">
        <f t="shared" si="96"/>
        <v>0</v>
      </c>
      <c r="Y152" s="5">
        <f t="shared" si="98"/>
        <v>-4</v>
      </c>
      <c r="Z152" s="231">
        <f t="shared" si="97"/>
        <v>0</v>
      </c>
      <c r="AA152" s="232"/>
      <c r="AE152" s="232"/>
      <c r="AF152" s="236"/>
      <c r="AG152" s="236"/>
      <c r="AH152" s="236"/>
      <c r="AI152" s="232"/>
      <c r="AJ152" s="236"/>
      <c r="AK152" s="236"/>
      <c r="AL152" s="232"/>
      <c r="AM152" s="236"/>
      <c r="AN152" s="236"/>
      <c r="AO152" s="232"/>
      <c r="AP152" s="236"/>
      <c r="AQ152" s="236"/>
      <c r="AR152" s="232"/>
    </row>
    <row r="153" spans="1:51" ht="12" hidden="1" customHeight="1" x14ac:dyDescent="0.2">
      <c r="A153" s="230"/>
      <c r="B153" s="287"/>
      <c r="C153" s="287"/>
      <c r="D153" s="287"/>
      <c r="E153" s="287"/>
      <c r="F153" s="287"/>
      <c r="G153" s="287"/>
      <c r="H153" s="287"/>
      <c r="I153" s="287"/>
      <c r="J153" s="287"/>
      <c r="K153" s="287"/>
      <c r="L153" s="287"/>
      <c r="M153" s="287"/>
      <c r="N153" s="287"/>
      <c r="O153" s="287"/>
      <c r="P153" s="287"/>
      <c r="Q153" s="287"/>
      <c r="R153" s="287"/>
      <c r="S153" s="287"/>
      <c r="T153" s="287"/>
      <c r="U153" s="287"/>
      <c r="V153" s="230"/>
      <c r="W153" s="5">
        <f t="shared" si="96"/>
        <v>0</v>
      </c>
      <c r="Y153" s="5">
        <f t="shared" si="98"/>
        <v>-5</v>
      </c>
      <c r="Z153" s="231">
        <f t="shared" si="97"/>
        <v>0</v>
      </c>
      <c r="AA153" s="232"/>
      <c r="AE153" s="232"/>
      <c r="AF153" s="236"/>
      <c r="AG153" s="236"/>
      <c r="AH153" s="236"/>
      <c r="AI153" s="232"/>
      <c r="AJ153" s="236"/>
      <c r="AK153" s="236"/>
      <c r="AL153" s="232"/>
      <c r="AM153" s="236"/>
      <c r="AN153" s="236"/>
      <c r="AO153" s="232"/>
      <c r="AP153" s="236"/>
      <c r="AQ153" s="236"/>
      <c r="AR153" s="232"/>
    </row>
    <row r="154" spans="1:51" ht="12" hidden="1" customHeight="1" x14ac:dyDescent="0.2">
      <c r="A154" s="230"/>
      <c r="B154" s="287"/>
      <c r="C154" s="287"/>
      <c r="D154" s="287"/>
      <c r="E154" s="287"/>
      <c r="F154" s="287"/>
      <c r="G154" s="287"/>
      <c r="H154" s="287"/>
      <c r="I154" s="287"/>
      <c r="J154" s="287"/>
      <c r="K154" s="287"/>
      <c r="L154" s="287"/>
      <c r="M154" s="287"/>
      <c r="N154" s="287"/>
      <c r="O154" s="287"/>
      <c r="P154" s="287"/>
      <c r="Q154" s="287"/>
      <c r="R154" s="287"/>
      <c r="S154" s="287"/>
      <c r="T154" s="287"/>
      <c r="U154" s="287"/>
      <c r="V154" s="230"/>
      <c r="W154" s="5">
        <f t="shared" si="96"/>
        <v>0</v>
      </c>
      <c r="Y154" s="5">
        <f t="shared" si="98"/>
        <v>-6</v>
      </c>
      <c r="Z154" s="231">
        <f t="shared" si="97"/>
        <v>0</v>
      </c>
      <c r="AA154" s="232"/>
      <c r="AE154" s="232"/>
      <c r="AF154" s="236"/>
      <c r="AG154" s="236"/>
      <c r="AH154" s="236"/>
      <c r="AI154" s="232"/>
      <c r="AJ154" s="236"/>
      <c r="AK154" s="236"/>
      <c r="AL154" s="232"/>
      <c r="AM154" s="236"/>
      <c r="AN154" s="236"/>
      <c r="AO154" s="232"/>
      <c r="AP154" s="236"/>
      <c r="AQ154" s="236"/>
      <c r="AR154" s="232"/>
    </row>
    <row r="155" spans="1:51" ht="12" hidden="1" customHeight="1" x14ac:dyDescent="0.2">
      <c r="A155" s="230"/>
      <c r="B155" s="287"/>
      <c r="C155" s="287"/>
      <c r="D155" s="287"/>
      <c r="E155" s="287"/>
      <c r="F155" s="287"/>
      <c r="G155" s="287"/>
      <c r="H155" s="287"/>
      <c r="I155" s="287"/>
      <c r="J155" s="287"/>
      <c r="K155" s="287"/>
      <c r="L155" s="287"/>
      <c r="M155" s="287"/>
      <c r="N155" s="287"/>
      <c r="O155" s="287"/>
      <c r="P155" s="287"/>
      <c r="Q155" s="287"/>
      <c r="R155" s="287"/>
      <c r="S155" s="287"/>
      <c r="T155" s="287"/>
      <c r="U155" s="287"/>
      <c r="V155" s="230"/>
      <c r="W155" s="5">
        <f t="shared" si="96"/>
        <v>0</v>
      </c>
      <c r="Y155" s="5">
        <f t="shared" si="98"/>
        <v>-7</v>
      </c>
      <c r="Z155" s="231">
        <f t="shared" si="97"/>
        <v>0</v>
      </c>
      <c r="AA155" s="232"/>
      <c r="AE155" s="232"/>
      <c r="AF155" s="236"/>
      <c r="AG155" s="236"/>
      <c r="AH155" s="236"/>
      <c r="AI155" s="232"/>
      <c r="AJ155" s="236"/>
      <c r="AK155" s="236"/>
      <c r="AL155" s="232"/>
      <c r="AM155" s="236"/>
      <c r="AN155" s="236"/>
      <c r="AO155" s="232"/>
      <c r="AP155" s="236"/>
      <c r="AQ155" s="236"/>
      <c r="AR155" s="232"/>
    </row>
    <row r="156" spans="1:51" ht="12" hidden="1" customHeight="1" x14ac:dyDescent="0.2">
      <c r="A156" s="230"/>
      <c r="B156" s="287"/>
      <c r="C156" s="287"/>
      <c r="D156" s="287"/>
      <c r="E156" s="287"/>
      <c r="F156" s="287"/>
      <c r="G156" s="287"/>
      <c r="H156" s="287"/>
      <c r="I156" s="287"/>
      <c r="J156" s="287"/>
      <c r="K156" s="287"/>
      <c r="L156" s="287"/>
      <c r="M156" s="287"/>
      <c r="N156" s="287"/>
      <c r="O156" s="287"/>
      <c r="P156" s="287"/>
      <c r="Q156" s="287"/>
      <c r="R156" s="287"/>
      <c r="S156" s="287"/>
      <c r="T156" s="287"/>
      <c r="U156" s="287"/>
      <c r="V156" s="230"/>
      <c r="W156" s="5">
        <f t="shared" si="96"/>
        <v>0</v>
      </c>
      <c r="Y156" s="5">
        <f t="shared" si="98"/>
        <v>-8</v>
      </c>
      <c r="Z156" s="231">
        <f t="shared" si="97"/>
        <v>0</v>
      </c>
      <c r="AA156" s="232"/>
      <c r="AE156" s="232"/>
      <c r="AF156" s="236"/>
      <c r="AG156" s="236"/>
      <c r="AH156" s="236"/>
      <c r="AI156" s="232"/>
      <c r="AJ156" s="236"/>
      <c r="AK156" s="236"/>
      <c r="AL156" s="232"/>
      <c r="AM156" s="236"/>
      <c r="AN156" s="236"/>
      <c r="AO156" s="232"/>
      <c r="AP156" s="236"/>
      <c r="AQ156" s="236"/>
      <c r="AR156" s="232"/>
    </row>
    <row r="157" spans="1:51" ht="12" hidden="1" customHeight="1" x14ac:dyDescent="0.2">
      <c r="A157" s="230"/>
      <c r="B157" s="287"/>
      <c r="C157" s="287"/>
      <c r="D157" s="287"/>
      <c r="E157" s="287"/>
      <c r="F157" s="287"/>
      <c r="G157" s="287"/>
      <c r="H157" s="287"/>
      <c r="I157" s="287"/>
      <c r="J157" s="287"/>
      <c r="K157" s="287"/>
      <c r="L157" s="287"/>
      <c r="M157" s="287"/>
      <c r="N157" s="287"/>
      <c r="O157" s="287"/>
      <c r="P157" s="287"/>
      <c r="Q157" s="287"/>
      <c r="R157" s="287"/>
      <c r="S157" s="287"/>
      <c r="T157" s="287"/>
      <c r="U157" s="287"/>
      <c r="V157" s="230"/>
      <c r="W157" s="5">
        <f t="shared" si="96"/>
        <v>0</v>
      </c>
      <c r="Y157" s="5">
        <f t="shared" si="98"/>
        <v>-9</v>
      </c>
      <c r="Z157" s="231">
        <f t="shared" si="97"/>
        <v>0</v>
      </c>
      <c r="AA157" s="232"/>
      <c r="AE157" s="232"/>
      <c r="AF157" s="236"/>
      <c r="AG157" s="236"/>
      <c r="AH157" s="236"/>
      <c r="AI157" s="232"/>
      <c r="AJ157" s="236"/>
      <c r="AK157" s="236"/>
      <c r="AL157" s="232"/>
      <c r="AM157" s="236"/>
      <c r="AN157" s="236"/>
      <c r="AO157" s="232"/>
      <c r="AP157" s="236"/>
      <c r="AQ157" s="236"/>
      <c r="AR157" s="232"/>
    </row>
    <row r="158" spans="1:51" ht="12" hidden="1" customHeight="1" x14ac:dyDescent="0.2">
      <c r="A158" s="230"/>
      <c r="B158" s="287"/>
      <c r="C158" s="287"/>
      <c r="D158" s="287"/>
      <c r="E158" s="287"/>
      <c r="F158" s="287"/>
      <c r="G158" s="287"/>
      <c r="H158" s="287"/>
      <c r="I158" s="287"/>
      <c r="J158" s="287"/>
      <c r="K158" s="287"/>
      <c r="L158" s="287"/>
      <c r="M158" s="287"/>
      <c r="N158" s="287"/>
      <c r="O158" s="287"/>
      <c r="P158" s="287"/>
      <c r="Q158" s="287"/>
      <c r="R158" s="287"/>
      <c r="S158" s="287"/>
      <c r="T158" s="287"/>
      <c r="U158" s="287"/>
      <c r="V158" s="230"/>
      <c r="W158" s="5">
        <f t="shared" si="96"/>
        <v>0</v>
      </c>
      <c r="Y158" s="5">
        <f t="shared" si="98"/>
        <v>-10</v>
      </c>
      <c r="Z158" s="231">
        <f t="shared" si="97"/>
        <v>0</v>
      </c>
      <c r="AA158" s="232"/>
      <c r="AE158" s="232"/>
      <c r="AF158" s="236"/>
      <c r="AG158" s="236"/>
      <c r="AH158" s="236"/>
      <c r="AI158" s="232"/>
      <c r="AJ158" s="236"/>
      <c r="AK158" s="236"/>
      <c r="AL158" s="232"/>
      <c r="AM158" s="236"/>
      <c r="AN158" s="236"/>
      <c r="AO158" s="232"/>
      <c r="AP158" s="236"/>
      <c r="AQ158" s="236"/>
      <c r="AR158" s="232"/>
    </row>
    <row r="159" spans="1:51" ht="12" hidden="1" customHeight="1" x14ac:dyDescent="0.2">
      <c r="A159" s="230"/>
      <c r="B159" s="287"/>
      <c r="C159" s="287"/>
      <c r="D159" s="287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30"/>
      <c r="W159" s="5">
        <f t="shared" si="96"/>
        <v>0</v>
      </c>
      <c r="Y159" s="5">
        <f t="shared" si="98"/>
        <v>-11</v>
      </c>
      <c r="Z159" s="231">
        <f t="shared" si="97"/>
        <v>0</v>
      </c>
      <c r="AA159" s="232"/>
      <c r="AE159" s="232"/>
      <c r="AF159" s="236"/>
      <c r="AG159" s="236"/>
      <c r="AH159" s="236"/>
      <c r="AI159" s="232"/>
      <c r="AJ159" s="236"/>
      <c r="AK159" s="236"/>
      <c r="AL159" s="232"/>
      <c r="AM159" s="236"/>
      <c r="AN159" s="236"/>
      <c r="AO159" s="232"/>
      <c r="AP159" s="236"/>
      <c r="AQ159" s="236"/>
      <c r="AR159" s="232"/>
    </row>
    <row r="160" spans="1:51" ht="12" hidden="1" customHeight="1" x14ac:dyDescent="0.2">
      <c r="A160" s="230"/>
      <c r="B160" s="287"/>
      <c r="C160" s="287"/>
      <c r="D160" s="287"/>
      <c r="E160" s="287"/>
      <c r="F160" s="287"/>
      <c r="G160" s="287"/>
      <c r="H160" s="287"/>
      <c r="I160" s="287"/>
      <c r="J160" s="287"/>
      <c r="K160" s="287"/>
      <c r="L160" s="287"/>
      <c r="M160" s="287"/>
      <c r="N160" s="287"/>
      <c r="O160" s="287"/>
      <c r="P160" s="287"/>
      <c r="Q160" s="287"/>
      <c r="R160" s="287"/>
      <c r="S160" s="287"/>
      <c r="T160" s="287"/>
      <c r="U160" s="287"/>
      <c r="V160" s="230"/>
      <c r="W160" s="5">
        <f t="shared" si="96"/>
        <v>0</v>
      </c>
      <c r="Y160" s="5">
        <f t="shared" si="98"/>
        <v>-12</v>
      </c>
      <c r="Z160" s="231">
        <f t="shared" si="97"/>
        <v>0</v>
      </c>
      <c r="AA160" s="232"/>
      <c r="AE160" s="232"/>
      <c r="AF160" s="236"/>
      <c r="AG160" s="236"/>
      <c r="AH160" s="236"/>
      <c r="AI160" s="232"/>
      <c r="AJ160" s="236"/>
      <c r="AK160" s="236"/>
      <c r="AL160" s="232"/>
      <c r="AM160" s="236"/>
      <c r="AN160" s="236"/>
      <c r="AO160" s="232"/>
      <c r="AP160" s="236"/>
      <c r="AQ160" s="236"/>
      <c r="AR160" s="232"/>
    </row>
    <row r="161" spans="1:44" ht="12" hidden="1" customHeight="1" x14ac:dyDescent="0.2">
      <c r="A161" s="230"/>
      <c r="B161" s="287"/>
      <c r="C161" s="287"/>
      <c r="D161" s="287"/>
      <c r="E161" s="287"/>
      <c r="F161" s="287"/>
      <c r="G161" s="287"/>
      <c r="H161" s="287"/>
      <c r="I161" s="287"/>
      <c r="J161" s="287"/>
      <c r="K161" s="287"/>
      <c r="L161" s="287"/>
      <c r="M161" s="287"/>
      <c r="N161" s="287"/>
      <c r="O161" s="287"/>
      <c r="P161" s="287"/>
      <c r="Q161" s="287"/>
      <c r="R161" s="287"/>
      <c r="S161" s="287"/>
      <c r="T161" s="287"/>
      <c r="U161" s="287"/>
      <c r="V161" s="230"/>
      <c r="W161" s="5">
        <f t="shared" si="96"/>
        <v>0</v>
      </c>
      <c r="Y161" s="5">
        <f t="shared" si="98"/>
        <v>-13</v>
      </c>
      <c r="Z161" s="231">
        <f t="shared" si="97"/>
        <v>0</v>
      </c>
      <c r="AA161" s="232"/>
      <c r="AE161" s="232"/>
      <c r="AF161" s="236"/>
      <c r="AG161" s="236"/>
      <c r="AH161" s="236"/>
      <c r="AI161" s="232"/>
      <c r="AJ161" s="236"/>
      <c r="AK161" s="236"/>
      <c r="AL161" s="232"/>
      <c r="AM161" s="236"/>
      <c r="AN161" s="236"/>
      <c r="AO161" s="232"/>
      <c r="AP161" s="236"/>
      <c r="AQ161" s="236"/>
      <c r="AR161" s="232"/>
    </row>
    <row r="162" spans="1:44" ht="12" hidden="1" customHeight="1" x14ac:dyDescent="0.2">
      <c r="A162" s="230"/>
      <c r="B162" s="287"/>
      <c r="C162" s="287"/>
      <c r="D162" s="287"/>
      <c r="E162" s="287"/>
      <c r="F162" s="287"/>
      <c r="G162" s="287"/>
      <c r="H162" s="287"/>
      <c r="I162" s="287"/>
      <c r="J162" s="287"/>
      <c r="K162" s="287"/>
      <c r="L162" s="287"/>
      <c r="M162" s="287"/>
      <c r="N162" s="287"/>
      <c r="O162" s="287"/>
      <c r="P162" s="287"/>
      <c r="Q162" s="287"/>
      <c r="R162" s="287"/>
      <c r="S162" s="287"/>
      <c r="T162" s="287"/>
      <c r="U162" s="287"/>
      <c r="V162" s="230"/>
      <c r="W162" s="5">
        <f t="shared" si="96"/>
        <v>0</v>
      </c>
      <c r="Y162" s="5">
        <f t="shared" si="98"/>
        <v>-14</v>
      </c>
      <c r="Z162" s="231">
        <f t="shared" si="97"/>
        <v>0</v>
      </c>
      <c r="AA162" s="232"/>
      <c r="AE162" s="232"/>
      <c r="AF162" s="236"/>
      <c r="AG162" s="236"/>
      <c r="AH162" s="236"/>
      <c r="AI162" s="232"/>
      <c r="AJ162" s="236"/>
      <c r="AK162" s="236"/>
      <c r="AL162" s="232"/>
      <c r="AM162" s="236"/>
      <c r="AN162" s="236"/>
      <c r="AO162" s="232"/>
      <c r="AP162" s="236"/>
      <c r="AQ162" s="236"/>
      <c r="AR162" s="232"/>
    </row>
    <row r="163" spans="1:44" ht="12" hidden="1" customHeight="1" x14ac:dyDescent="0.2">
      <c r="A163" s="230"/>
      <c r="B163" s="287"/>
      <c r="C163" s="287"/>
      <c r="D163" s="287"/>
      <c r="E163" s="287"/>
      <c r="F163" s="287"/>
      <c r="G163" s="287"/>
      <c r="H163" s="287"/>
      <c r="I163" s="287"/>
      <c r="J163" s="287"/>
      <c r="K163" s="287"/>
      <c r="L163" s="287"/>
      <c r="M163" s="287"/>
      <c r="N163" s="287"/>
      <c r="O163" s="287"/>
      <c r="P163" s="287"/>
      <c r="Q163" s="287"/>
      <c r="R163" s="287"/>
      <c r="S163" s="287"/>
      <c r="T163" s="287"/>
      <c r="U163" s="287"/>
      <c r="V163" s="230"/>
      <c r="W163" s="5">
        <f t="shared" si="96"/>
        <v>0</v>
      </c>
      <c r="Y163" s="5">
        <f t="shared" si="98"/>
        <v>-15</v>
      </c>
      <c r="Z163" s="231">
        <f t="shared" si="97"/>
        <v>0</v>
      </c>
      <c r="AA163" s="232"/>
      <c r="AE163" s="232"/>
      <c r="AF163" s="236"/>
      <c r="AG163" s="236"/>
      <c r="AH163" s="236"/>
      <c r="AI163" s="232"/>
      <c r="AJ163" s="236"/>
      <c r="AK163" s="236"/>
      <c r="AL163" s="232"/>
      <c r="AM163" s="236"/>
      <c r="AN163" s="236"/>
      <c r="AO163" s="232"/>
      <c r="AP163" s="236"/>
      <c r="AQ163" s="236"/>
      <c r="AR163" s="232"/>
    </row>
    <row r="164" spans="1:44" ht="12" hidden="1" customHeight="1" x14ac:dyDescent="0.2">
      <c r="A164" s="230"/>
      <c r="B164" s="287"/>
      <c r="C164" s="287"/>
      <c r="D164" s="287"/>
      <c r="E164" s="287"/>
      <c r="F164" s="287"/>
      <c r="G164" s="287"/>
      <c r="H164" s="287"/>
      <c r="I164" s="287"/>
      <c r="J164" s="287"/>
      <c r="K164" s="287"/>
      <c r="L164" s="287"/>
      <c r="M164" s="287"/>
      <c r="N164" s="287"/>
      <c r="O164" s="287"/>
      <c r="P164" s="287"/>
      <c r="Q164" s="287"/>
      <c r="R164" s="287"/>
      <c r="S164" s="287"/>
      <c r="T164" s="287"/>
      <c r="U164" s="287"/>
      <c r="V164" s="230"/>
      <c r="W164" s="5">
        <f t="shared" si="96"/>
        <v>0</v>
      </c>
      <c r="Y164" s="5">
        <f t="shared" si="98"/>
        <v>-16</v>
      </c>
      <c r="Z164" s="231">
        <f t="shared" si="97"/>
        <v>0</v>
      </c>
      <c r="AA164" s="232"/>
      <c r="AE164" s="232"/>
      <c r="AF164" s="236"/>
      <c r="AG164" s="236"/>
      <c r="AH164" s="236"/>
      <c r="AI164" s="232"/>
      <c r="AJ164" s="236"/>
      <c r="AK164" s="236"/>
      <c r="AL164" s="232"/>
      <c r="AM164" s="236"/>
      <c r="AN164" s="236"/>
      <c r="AO164" s="232"/>
      <c r="AP164" s="236"/>
      <c r="AQ164" s="236"/>
      <c r="AR164" s="232"/>
    </row>
    <row r="165" spans="1:44" ht="12" hidden="1" customHeight="1" x14ac:dyDescent="0.2">
      <c r="A165" s="230"/>
      <c r="B165" s="287"/>
      <c r="C165" s="287"/>
      <c r="D165" s="287"/>
      <c r="E165" s="287"/>
      <c r="F165" s="287"/>
      <c r="G165" s="287"/>
      <c r="H165" s="287"/>
      <c r="I165" s="287"/>
      <c r="J165" s="287"/>
      <c r="K165" s="287"/>
      <c r="L165" s="287"/>
      <c r="M165" s="287"/>
      <c r="N165" s="287"/>
      <c r="O165" s="287"/>
      <c r="P165" s="287"/>
      <c r="Q165" s="287"/>
      <c r="R165" s="287"/>
      <c r="S165" s="287"/>
      <c r="T165" s="287"/>
      <c r="U165" s="287"/>
      <c r="V165" s="230"/>
      <c r="W165" s="5">
        <f t="shared" si="96"/>
        <v>0</v>
      </c>
      <c r="Y165" s="5">
        <f t="shared" si="98"/>
        <v>-17</v>
      </c>
      <c r="Z165" s="231">
        <f t="shared" si="97"/>
        <v>0</v>
      </c>
      <c r="AA165" s="232"/>
      <c r="AE165" s="232"/>
      <c r="AF165" s="236"/>
      <c r="AG165" s="236"/>
      <c r="AH165" s="236"/>
      <c r="AI165" s="232"/>
      <c r="AJ165" s="236"/>
      <c r="AK165" s="236"/>
      <c r="AL165" s="232"/>
      <c r="AM165" s="236"/>
      <c r="AN165" s="236"/>
      <c r="AO165" s="232"/>
      <c r="AP165" s="236"/>
      <c r="AQ165" s="236"/>
      <c r="AR165" s="232"/>
    </row>
    <row r="166" spans="1:44" ht="12" hidden="1" customHeight="1" x14ac:dyDescent="0.2">
      <c r="A166" s="230"/>
      <c r="B166" s="287"/>
      <c r="C166" s="287"/>
      <c r="D166" s="287"/>
      <c r="E166" s="287"/>
      <c r="F166" s="287"/>
      <c r="G166" s="287"/>
      <c r="H166" s="287"/>
      <c r="I166" s="287"/>
      <c r="J166" s="287"/>
      <c r="K166" s="287"/>
      <c r="L166" s="287"/>
      <c r="M166" s="287"/>
      <c r="N166" s="287"/>
      <c r="O166" s="287"/>
      <c r="P166" s="287"/>
      <c r="Q166" s="287"/>
      <c r="R166" s="287"/>
      <c r="S166" s="287"/>
      <c r="T166" s="287"/>
      <c r="U166" s="287"/>
      <c r="V166" s="230"/>
      <c r="W166" s="5">
        <f t="shared" si="96"/>
        <v>0</v>
      </c>
      <c r="Y166" s="5">
        <f t="shared" si="98"/>
        <v>-18</v>
      </c>
      <c r="Z166" s="231">
        <f t="shared" si="97"/>
        <v>0</v>
      </c>
      <c r="AA166" s="232"/>
      <c r="AE166" s="232"/>
      <c r="AF166" s="236"/>
      <c r="AG166" s="236"/>
      <c r="AH166" s="236"/>
      <c r="AI166" s="232"/>
      <c r="AJ166" s="236"/>
      <c r="AK166" s="236"/>
      <c r="AL166" s="232"/>
      <c r="AM166" s="236"/>
      <c r="AN166" s="236"/>
      <c r="AO166" s="232"/>
      <c r="AP166" s="236"/>
      <c r="AQ166" s="236"/>
      <c r="AR166" s="232"/>
    </row>
    <row r="167" spans="1:44" ht="12" hidden="1" customHeight="1" x14ac:dyDescent="0.2">
      <c r="A167" s="230"/>
      <c r="B167" s="287"/>
      <c r="C167" s="287"/>
      <c r="D167" s="287"/>
      <c r="E167" s="287"/>
      <c r="F167" s="287"/>
      <c r="G167" s="287"/>
      <c r="H167" s="287"/>
      <c r="I167" s="287"/>
      <c r="J167" s="287"/>
      <c r="K167" s="287"/>
      <c r="L167" s="287"/>
      <c r="M167" s="287"/>
      <c r="N167" s="287"/>
      <c r="O167" s="287"/>
      <c r="P167" s="287"/>
      <c r="Q167" s="287"/>
      <c r="R167" s="287"/>
      <c r="S167" s="287"/>
      <c r="T167" s="287"/>
      <c r="U167" s="287"/>
      <c r="V167" s="230"/>
      <c r="W167" s="5">
        <f t="shared" si="96"/>
        <v>0</v>
      </c>
      <c r="Y167" s="5">
        <f t="shared" si="98"/>
        <v>-19</v>
      </c>
      <c r="Z167" s="231">
        <f t="shared" si="97"/>
        <v>0</v>
      </c>
      <c r="AA167" s="232"/>
      <c r="AE167" s="232"/>
      <c r="AF167" s="236"/>
      <c r="AG167" s="236"/>
      <c r="AH167" s="236"/>
      <c r="AI167" s="232"/>
      <c r="AJ167" s="236"/>
      <c r="AK167" s="236"/>
      <c r="AL167" s="232"/>
      <c r="AM167" s="236"/>
      <c r="AN167" s="236"/>
      <c r="AO167" s="232"/>
      <c r="AP167" s="236"/>
      <c r="AQ167" s="236"/>
      <c r="AR167" s="232"/>
    </row>
    <row r="168" spans="1:44" ht="12" hidden="1" customHeight="1" x14ac:dyDescent="0.2">
      <c r="A168" s="230"/>
      <c r="B168" s="287"/>
      <c r="C168" s="287"/>
      <c r="D168" s="287"/>
      <c r="E168" s="287"/>
      <c r="F168" s="287"/>
      <c r="G168" s="287"/>
      <c r="H168" s="287"/>
      <c r="I168" s="287"/>
      <c r="J168" s="287"/>
      <c r="K168" s="287"/>
      <c r="L168" s="287"/>
      <c r="M168" s="287"/>
      <c r="N168" s="287"/>
      <c r="O168" s="287"/>
      <c r="P168" s="287"/>
      <c r="Q168" s="287"/>
      <c r="R168" s="287"/>
      <c r="S168" s="287"/>
      <c r="T168" s="287"/>
      <c r="U168" s="287"/>
      <c r="V168" s="230"/>
      <c r="W168" s="5">
        <f t="shared" si="96"/>
        <v>0</v>
      </c>
      <c r="Y168" s="5">
        <f t="shared" si="98"/>
        <v>-20</v>
      </c>
      <c r="Z168" s="231">
        <f t="shared" si="97"/>
        <v>0</v>
      </c>
      <c r="AA168" s="232"/>
      <c r="AE168" s="232"/>
      <c r="AF168" s="236"/>
      <c r="AG168" s="236"/>
      <c r="AH168" s="236"/>
      <c r="AI168" s="232"/>
      <c r="AJ168" s="236"/>
      <c r="AK168" s="236"/>
      <c r="AL168" s="232"/>
      <c r="AM168" s="236"/>
      <c r="AN168" s="236"/>
      <c r="AO168" s="232"/>
      <c r="AP168" s="236"/>
      <c r="AQ168" s="236"/>
      <c r="AR168" s="232"/>
    </row>
    <row r="169" spans="1:44" ht="12" hidden="1" customHeight="1" x14ac:dyDescent="0.2">
      <c r="A169" s="230"/>
      <c r="B169" s="287"/>
      <c r="C169" s="287"/>
      <c r="D169" s="287"/>
      <c r="E169" s="287"/>
      <c r="F169" s="287"/>
      <c r="G169" s="287"/>
      <c r="H169" s="287"/>
      <c r="I169" s="287"/>
      <c r="J169" s="287"/>
      <c r="K169" s="287"/>
      <c r="L169" s="287"/>
      <c r="M169" s="287"/>
      <c r="N169" s="287"/>
      <c r="O169" s="287"/>
      <c r="P169" s="287"/>
      <c r="Q169" s="287"/>
      <c r="R169" s="287"/>
      <c r="S169" s="287"/>
      <c r="T169" s="287"/>
      <c r="U169" s="287"/>
      <c r="V169" s="230"/>
      <c r="W169" s="5">
        <f t="shared" si="96"/>
        <v>0</v>
      </c>
      <c r="Y169" s="5">
        <f t="shared" si="98"/>
        <v>-21</v>
      </c>
      <c r="Z169" s="231">
        <f t="shared" si="97"/>
        <v>0</v>
      </c>
      <c r="AA169" s="232"/>
      <c r="AE169" s="232"/>
      <c r="AF169" s="236"/>
      <c r="AG169" s="236"/>
      <c r="AH169" s="236"/>
      <c r="AI169" s="232"/>
      <c r="AJ169" s="236"/>
      <c r="AK169" s="236"/>
      <c r="AL169" s="232"/>
      <c r="AM169" s="236"/>
      <c r="AN169" s="236"/>
      <c r="AO169" s="232"/>
      <c r="AP169" s="236"/>
      <c r="AQ169" s="236"/>
      <c r="AR169" s="232"/>
    </row>
    <row r="170" spans="1:44" ht="12" hidden="1" customHeight="1" x14ac:dyDescent="0.2">
      <c r="A170" s="230"/>
      <c r="B170" s="287"/>
      <c r="C170" s="287"/>
      <c r="D170" s="287"/>
      <c r="E170" s="287"/>
      <c r="F170" s="287"/>
      <c r="G170" s="287"/>
      <c r="H170" s="287"/>
      <c r="I170" s="287"/>
      <c r="J170" s="287"/>
      <c r="K170" s="287"/>
      <c r="L170" s="287"/>
      <c r="M170" s="287"/>
      <c r="N170" s="287"/>
      <c r="O170" s="287"/>
      <c r="P170" s="287"/>
      <c r="Q170" s="287"/>
      <c r="R170" s="287"/>
      <c r="S170" s="287"/>
      <c r="T170" s="287"/>
      <c r="U170" s="287"/>
      <c r="V170" s="230"/>
      <c r="W170" s="5">
        <f t="shared" si="96"/>
        <v>0</v>
      </c>
      <c r="Y170" s="5">
        <f t="shared" si="98"/>
        <v>-22</v>
      </c>
      <c r="Z170" s="231">
        <f t="shared" si="97"/>
        <v>0</v>
      </c>
      <c r="AA170" s="232"/>
      <c r="AE170" s="232"/>
      <c r="AF170" s="236"/>
      <c r="AG170" s="236"/>
      <c r="AH170" s="236"/>
      <c r="AI170" s="232"/>
      <c r="AJ170" s="236"/>
      <c r="AK170" s="236"/>
      <c r="AL170" s="232"/>
      <c r="AM170" s="236"/>
      <c r="AN170" s="236"/>
      <c r="AO170" s="232"/>
      <c r="AP170" s="236"/>
      <c r="AQ170" s="236"/>
      <c r="AR170" s="232"/>
    </row>
    <row r="171" spans="1:44" ht="12" hidden="1" customHeight="1" x14ac:dyDescent="0.2">
      <c r="A171" s="230"/>
      <c r="B171" s="287"/>
      <c r="C171" s="287"/>
      <c r="D171" s="287"/>
      <c r="E171" s="287"/>
      <c r="F171" s="287"/>
      <c r="G171" s="287"/>
      <c r="H171" s="287"/>
      <c r="I171" s="287"/>
      <c r="J171" s="287"/>
      <c r="K171" s="287"/>
      <c r="L171" s="287"/>
      <c r="M171" s="287"/>
      <c r="N171" s="287"/>
      <c r="O171" s="287"/>
      <c r="P171" s="287"/>
      <c r="Q171" s="287"/>
      <c r="R171" s="287"/>
      <c r="S171" s="287"/>
      <c r="T171" s="287"/>
      <c r="U171" s="287"/>
      <c r="V171" s="230"/>
      <c r="W171" s="5">
        <f t="shared" si="96"/>
        <v>0</v>
      </c>
      <c r="Y171" s="5">
        <f t="shared" si="98"/>
        <v>-23</v>
      </c>
      <c r="Z171" s="231">
        <f t="shared" si="97"/>
        <v>0</v>
      </c>
      <c r="AA171" s="232"/>
      <c r="AE171" s="232"/>
      <c r="AF171" s="236"/>
      <c r="AG171" s="236"/>
      <c r="AH171" s="236"/>
      <c r="AI171" s="232"/>
      <c r="AJ171" s="236"/>
      <c r="AK171" s="236"/>
      <c r="AL171" s="232"/>
      <c r="AM171" s="236"/>
      <c r="AN171" s="236"/>
      <c r="AO171" s="232"/>
      <c r="AP171" s="236"/>
      <c r="AQ171" s="236"/>
      <c r="AR171" s="232"/>
    </row>
    <row r="172" spans="1:44" ht="12" hidden="1" customHeight="1" x14ac:dyDescent="0.2">
      <c r="A172" s="230"/>
      <c r="B172" s="287"/>
      <c r="C172" s="287"/>
      <c r="D172" s="287"/>
      <c r="E172" s="287"/>
      <c r="F172" s="287"/>
      <c r="G172" s="287"/>
      <c r="H172" s="287"/>
      <c r="I172" s="287"/>
      <c r="J172" s="287"/>
      <c r="K172" s="287"/>
      <c r="L172" s="287"/>
      <c r="M172" s="287"/>
      <c r="N172" s="287"/>
      <c r="O172" s="287"/>
      <c r="P172" s="287"/>
      <c r="Q172" s="287"/>
      <c r="R172" s="287"/>
      <c r="S172" s="287"/>
      <c r="T172" s="287"/>
      <c r="U172" s="287"/>
      <c r="V172" s="230"/>
      <c r="W172" s="5">
        <f t="shared" si="96"/>
        <v>0</v>
      </c>
      <c r="Y172" s="5">
        <f t="shared" si="98"/>
        <v>-24</v>
      </c>
      <c r="Z172" s="231">
        <f t="shared" si="97"/>
        <v>0</v>
      </c>
      <c r="AA172" s="232"/>
      <c r="AE172" s="232"/>
      <c r="AF172" s="236"/>
      <c r="AG172" s="236"/>
      <c r="AH172" s="236"/>
      <c r="AI172" s="232"/>
      <c r="AJ172" s="236"/>
      <c r="AK172" s="236"/>
      <c r="AL172" s="232"/>
      <c r="AM172" s="236"/>
      <c r="AN172" s="236"/>
      <c r="AO172" s="232"/>
      <c r="AP172" s="236"/>
      <c r="AQ172" s="236"/>
      <c r="AR172" s="232"/>
    </row>
    <row r="173" spans="1:44" ht="12" hidden="1" customHeight="1" x14ac:dyDescent="0.2">
      <c r="A173" s="230"/>
      <c r="B173" s="287"/>
      <c r="C173" s="287"/>
      <c r="D173" s="287"/>
      <c r="E173" s="287"/>
      <c r="F173" s="287"/>
      <c r="G173" s="287"/>
      <c r="H173" s="287"/>
      <c r="I173" s="287"/>
      <c r="J173" s="287"/>
      <c r="K173" s="287"/>
      <c r="L173" s="287"/>
      <c r="M173" s="287"/>
      <c r="N173" s="287"/>
      <c r="O173" s="287"/>
      <c r="P173" s="287"/>
      <c r="Q173" s="287"/>
      <c r="R173" s="287"/>
      <c r="S173" s="287"/>
      <c r="T173" s="287"/>
      <c r="U173" s="287"/>
      <c r="V173" s="230"/>
      <c r="W173" s="5">
        <f t="shared" si="96"/>
        <v>0</v>
      </c>
      <c r="Y173" s="5">
        <f t="shared" si="98"/>
        <v>-25</v>
      </c>
      <c r="Z173" s="231">
        <f t="shared" si="97"/>
        <v>0</v>
      </c>
      <c r="AA173" s="232"/>
      <c r="AE173" s="232"/>
      <c r="AF173" s="236"/>
      <c r="AG173" s="236"/>
      <c r="AH173" s="236"/>
      <c r="AI173" s="232"/>
      <c r="AJ173" s="236"/>
      <c r="AK173" s="236"/>
      <c r="AL173" s="232"/>
      <c r="AM173" s="236"/>
      <c r="AN173" s="236"/>
      <c r="AO173" s="232"/>
      <c r="AP173" s="236"/>
      <c r="AQ173" s="236"/>
      <c r="AR173" s="232"/>
    </row>
    <row r="174" spans="1:44" ht="12" hidden="1" customHeight="1" x14ac:dyDescent="0.2">
      <c r="A174" s="230"/>
      <c r="B174" s="287"/>
      <c r="C174" s="287"/>
      <c r="D174" s="287"/>
      <c r="E174" s="287"/>
      <c r="F174" s="287"/>
      <c r="G174" s="287"/>
      <c r="H174" s="287"/>
      <c r="I174" s="287"/>
      <c r="J174" s="287"/>
      <c r="K174" s="287"/>
      <c r="L174" s="287"/>
      <c r="M174" s="287"/>
      <c r="N174" s="287"/>
      <c r="O174" s="287"/>
      <c r="P174" s="287"/>
      <c r="Q174" s="287"/>
      <c r="R174" s="287"/>
      <c r="S174" s="287"/>
      <c r="T174" s="287"/>
      <c r="U174" s="287"/>
      <c r="V174" s="230"/>
      <c r="W174" s="5">
        <f t="shared" si="96"/>
        <v>0</v>
      </c>
      <c r="Y174" s="5">
        <f t="shared" si="98"/>
        <v>-26</v>
      </c>
      <c r="Z174" s="231">
        <f t="shared" si="97"/>
        <v>0</v>
      </c>
      <c r="AA174" s="232"/>
      <c r="AE174" s="232"/>
      <c r="AF174" s="236"/>
      <c r="AG174" s="236"/>
      <c r="AH174" s="236"/>
      <c r="AI174" s="232"/>
      <c r="AJ174" s="236"/>
      <c r="AK174" s="236"/>
      <c r="AL174" s="232"/>
      <c r="AM174" s="236"/>
      <c r="AN174" s="236"/>
      <c r="AO174" s="232"/>
      <c r="AP174" s="236"/>
      <c r="AQ174" s="236"/>
      <c r="AR174" s="232"/>
    </row>
    <row r="175" spans="1:44" ht="12" hidden="1" customHeight="1" x14ac:dyDescent="0.2">
      <c r="A175" s="230"/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7"/>
      <c r="P175" s="287"/>
      <c r="Q175" s="287"/>
      <c r="R175" s="287"/>
      <c r="S175" s="287"/>
      <c r="T175" s="287"/>
      <c r="U175" s="287"/>
      <c r="V175" s="230"/>
      <c r="W175" s="5">
        <f t="shared" si="96"/>
        <v>0</v>
      </c>
      <c r="Y175" s="5">
        <f t="shared" si="98"/>
        <v>-27</v>
      </c>
      <c r="Z175" s="231">
        <f t="shared" si="97"/>
        <v>0</v>
      </c>
      <c r="AA175" s="232"/>
      <c r="AE175" s="232"/>
      <c r="AF175" s="236"/>
      <c r="AG175" s="236"/>
      <c r="AH175" s="236"/>
      <c r="AI175" s="232"/>
      <c r="AJ175" s="236"/>
      <c r="AK175" s="236"/>
      <c r="AL175" s="232"/>
      <c r="AM175" s="236"/>
      <c r="AN175" s="236"/>
      <c r="AO175" s="232"/>
      <c r="AP175" s="236"/>
      <c r="AQ175" s="236"/>
      <c r="AR175" s="232"/>
    </row>
    <row r="176" spans="1:44" ht="12" hidden="1" customHeight="1" x14ac:dyDescent="0.2">
      <c r="A176" s="230"/>
      <c r="B176" s="287"/>
      <c r="C176" s="287"/>
      <c r="D176" s="287"/>
      <c r="E176" s="287"/>
      <c r="F176" s="287"/>
      <c r="G176" s="287"/>
      <c r="H176" s="287"/>
      <c r="I176" s="287"/>
      <c r="J176" s="287"/>
      <c r="K176" s="287"/>
      <c r="L176" s="287"/>
      <c r="M176" s="287"/>
      <c r="N176" s="287"/>
      <c r="O176" s="287"/>
      <c r="P176" s="287"/>
      <c r="Q176" s="287"/>
      <c r="R176" s="287"/>
      <c r="S176" s="287"/>
      <c r="T176" s="287"/>
      <c r="U176" s="287"/>
      <c r="V176" s="230"/>
      <c r="W176" s="5">
        <f t="shared" si="96"/>
        <v>0</v>
      </c>
      <c r="Y176" s="5">
        <f t="shared" si="98"/>
        <v>-28</v>
      </c>
      <c r="Z176" s="231">
        <f t="shared" si="97"/>
        <v>0</v>
      </c>
      <c r="AA176" s="232"/>
      <c r="AE176" s="232"/>
      <c r="AF176" s="236"/>
      <c r="AG176" s="236"/>
      <c r="AH176" s="236"/>
      <c r="AI176" s="232"/>
      <c r="AJ176" s="236"/>
      <c r="AK176" s="236"/>
      <c r="AL176" s="232"/>
      <c r="AM176" s="236"/>
      <c r="AN176" s="236"/>
      <c r="AO176" s="232"/>
      <c r="AP176" s="236"/>
      <c r="AQ176" s="236"/>
      <c r="AR176" s="232"/>
    </row>
    <row r="177" spans="1:44" ht="12" hidden="1" customHeight="1" x14ac:dyDescent="0.2">
      <c r="A177" s="230"/>
      <c r="B177" s="287"/>
      <c r="C177" s="287"/>
      <c r="D177" s="287"/>
      <c r="E177" s="287"/>
      <c r="F177" s="287"/>
      <c r="G177" s="287"/>
      <c r="H177" s="287"/>
      <c r="I177" s="287"/>
      <c r="J177" s="287"/>
      <c r="K177" s="287"/>
      <c r="L177" s="287"/>
      <c r="M177" s="287"/>
      <c r="N177" s="287"/>
      <c r="O177" s="287"/>
      <c r="P177" s="287"/>
      <c r="Q177" s="287"/>
      <c r="R177" s="287"/>
      <c r="S177" s="287"/>
      <c r="T177" s="287"/>
      <c r="U177" s="287"/>
      <c r="V177" s="230"/>
      <c r="W177" s="5">
        <f t="shared" si="96"/>
        <v>0</v>
      </c>
      <c r="Y177" s="5">
        <f t="shared" si="98"/>
        <v>-29</v>
      </c>
      <c r="Z177" s="231">
        <f t="shared" si="97"/>
        <v>0</v>
      </c>
      <c r="AA177" s="232"/>
      <c r="AE177" s="232"/>
      <c r="AF177" s="236"/>
      <c r="AG177" s="236"/>
      <c r="AH177" s="236"/>
      <c r="AI177" s="232"/>
      <c r="AJ177" s="236"/>
      <c r="AK177" s="236"/>
      <c r="AL177" s="232"/>
      <c r="AM177" s="236"/>
      <c r="AN177" s="236"/>
      <c r="AO177" s="232"/>
      <c r="AP177" s="236"/>
      <c r="AQ177" s="236"/>
      <c r="AR177" s="232"/>
    </row>
    <row r="178" spans="1:44" ht="12" hidden="1" customHeight="1" x14ac:dyDescent="0.2">
      <c r="A178" s="230"/>
      <c r="B178" s="287"/>
      <c r="C178" s="287"/>
      <c r="D178" s="287"/>
      <c r="E178" s="287"/>
      <c r="F178" s="287"/>
      <c r="G178" s="287"/>
      <c r="H178" s="287"/>
      <c r="I178" s="287"/>
      <c r="J178" s="287"/>
      <c r="K178" s="287"/>
      <c r="L178" s="287"/>
      <c r="M178" s="287"/>
      <c r="N178" s="287"/>
      <c r="O178" s="287"/>
      <c r="P178" s="287"/>
      <c r="Q178" s="287"/>
      <c r="R178" s="287"/>
      <c r="S178" s="287"/>
      <c r="T178" s="287"/>
      <c r="U178" s="287"/>
      <c r="V178" s="230"/>
      <c r="W178" s="5">
        <f t="shared" si="96"/>
        <v>0</v>
      </c>
      <c r="Y178" s="5">
        <f t="shared" si="98"/>
        <v>-30</v>
      </c>
      <c r="Z178" s="231">
        <f t="shared" si="97"/>
        <v>0</v>
      </c>
      <c r="AA178" s="232"/>
      <c r="AE178" s="232"/>
      <c r="AF178" s="236"/>
      <c r="AG178" s="236"/>
      <c r="AH178" s="236"/>
      <c r="AI178" s="232"/>
      <c r="AJ178" s="236"/>
      <c r="AK178" s="236"/>
      <c r="AL178" s="232"/>
      <c r="AM178" s="236"/>
      <c r="AN178" s="236"/>
      <c r="AO178" s="232"/>
      <c r="AP178" s="236"/>
      <c r="AQ178" s="236"/>
      <c r="AR178" s="232"/>
    </row>
    <row r="179" spans="1:44" ht="12" hidden="1" customHeight="1" x14ac:dyDescent="0.2">
      <c r="A179" s="230"/>
      <c r="B179" s="287"/>
      <c r="C179" s="287"/>
      <c r="D179" s="287"/>
      <c r="E179" s="287"/>
      <c r="F179" s="287"/>
      <c r="G179" s="287"/>
      <c r="H179" s="287"/>
      <c r="I179" s="287"/>
      <c r="J179" s="287"/>
      <c r="K179" s="287"/>
      <c r="L179" s="287"/>
      <c r="M179" s="287"/>
      <c r="N179" s="287"/>
      <c r="O179" s="287"/>
      <c r="P179" s="287"/>
      <c r="Q179" s="287"/>
      <c r="R179" s="287"/>
      <c r="S179" s="287"/>
      <c r="T179" s="287"/>
      <c r="U179" s="287"/>
      <c r="V179" s="230"/>
      <c r="W179" s="5">
        <f t="shared" si="96"/>
        <v>0</v>
      </c>
      <c r="Y179" s="5">
        <f t="shared" si="98"/>
        <v>-31</v>
      </c>
      <c r="Z179" s="231">
        <f t="shared" si="97"/>
        <v>0</v>
      </c>
      <c r="AA179" s="232"/>
      <c r="AE179" s="232"/>
      <c r="AF179" s="236"/>
      <c r="AG179" s="236"/>
      <c r="AH179" s="236"/>
      <c r="AI179" s="232"/>
      <c r="AJ179" s="236"/>
      <c r="AK179" s="236"/>
      <c r="AL179" s="232"/>
      <c r="AM179" s="236"/>
      <c r="AN179" s="236"/>
      <c r="AO179" s="232"/>
      <c r="AP179" s="236"/>
      <c r="AQ179" s="236"/>
      <c r="AR179" s="232"/>
    </row>
    <row r="180" spans="1:44" ht="12" hidden="1" customHeight="1" x14ac:dyDescent="0.2">
      <c r="A180" s="230"/>
      <c r="B180" s="287"/>
      <c r="C180" s="287"/>
      <c r="D180" s="287"/>
      <c r="E180" s="287"/>
      <c r="F180" s="287"/>
      <c r="G180" s="287"/>
      <c r="H180" s="287"/>
      <c r="I180" s="287"/>
      <c r="J180" s="287"/>
      <c r="K180" s="287"/>
      <c r="L180" s="287"/>
      <c r="M180" s="287"/>
      <c r="N180" s="287"/>
      <c r="O180" s="287"/>
      <c r="P180" s="287"/>
      <c r="Q180" s="287"/>
      <c r="R180" s="287"/>
      <c r="S180" s="287"/>
      <c r="T180" s="287"/>
      <c r="U180" s="287"/>
      <c r="V180" s="230"/>
      <c r="W180" s="5">
        <f t="shared" si="96"/>
        <v>0</v>
      </c>
      <c r="Y180" s="5">
        <f t="shared" si="98"/>
        <v>-32</v>
      </c>
      <c r="Z180" s="231">
        <f t="shared" si="97"/>
        <v>0</v>
      </c>
      <c r="AA180" s="232"/>
      <c r="AE180" s="232"/>
      <c r="AF180" s="236"/>
      <c r="AG180" s="236"/>
      <c r="AH180" s="236"/>
      <c r="AI180" s="232"/>
      <c r="AJ180" s="236"/>
      <c r="AK180" s="236"/>
      <c r="AL180" s="232"/>
      <c r="AM180" s="236"/>
      <c r="AN180" s="236"/>
      <c r="AO180" s="232"/>
      <c r="AP180" s="236"/>
      <c r="AQ180" s="236"/>
      <c r="AR180" s="232"/>
    </row>
    <row r="181" spans="1:44" ht="12" hidden="1" customHeight="1" x14ac:dyDescent="0.2">
      <c r="A181" s="230"/>
      <c r="B181" s="287"/>
      <c r="C181" s="287"/>
      <c r="D181" s="287"/>
      <c r="E181" s="287"/>
      <c r="F181" s="287"/>
      <c r="G181" s="287"/>
      <c r="H181" s="287"/>
      <c r="I181" s="287"/>
      <c r="J181" s="287"/>
      <c r="K181" s="287"/>
      <c r="L181" s="287"/>
      <c r="M181" s="287"/>
      <c r="N181" s="287"/>
      <c r="O181" s="287"/>
      <c r="P181" s="287"/>
      <c r="Q181" s="287"/>
      <c r="R181" s="287"/>
      <c r="S181" s="287"/>
      <c r="T181" s="287"/>
      <c r="U181" s="287"/>
      <c r="V181" s="230"/>
      <c r="W181" s="5">
        <f t="shared" si="96"/>
        <v>0</v>
      </c>
      <c r="Y181" s="5">
        <f t="shared" si="98"/>
        <v>-33</v>
      </c>
      <c r="Z181" s="231">
        <f t="shared" si="97"/>
        <v>0</v>
      </c>
      <c r="AA181" s="232"/>
      <c r="AE181" s="232"/>
      <c r="AF181" s="236"/>
      <c r="AG181" s="236"/>
      <c r="AH181" s="236"/>
      <c r="AI181" s="232"/>
      <c r="AJ181" s="236"/>
      <c r="AK181" s="236"/>
      <c r="AL181" s="232"/>
      <c r="AM181" s="236"/>
      <c r="AN181" s="236"/>
      <c r="AO181" s="232"/>
      <c r="AP181" s="236"/>
      <c r="AQ181" s="236"/>
      <c r="AR181" s="232"/>
    </row>
    <row r="182" spans="1:44" ht="12" hidden="1" customHeight="1" x14ac:dyDescent="0.2">
      <c r="A182" s="230"/>
      <c r="B182" s="287"/>
      <c r="C182" s="287"/>
      <c r="D182" s="287"/>
      <c r="E182" s="287"/>
      <c r="F182" s="287"/>
      <c r="G182" s="287"/>
      <c r="H182" s="287"/>
      <c r="I182" s="287"/>
      <c r="J182" s="287"/>
      <c r="K182" s="287"/>
      <c r="L182" s="287"/>
      <c r="M182" s="287"/>
      <c r="N182" s="287"/>
      <c r="O182" s="287"/>
      <c r="P182" s="287"/>
      <c r="Q182" s="287"/>
      <c r="R182" s="287"/>
      <c r="S182" s="287"/>
      <c r="T182" s="287"/>
      <c r="U182" s="287"/>
      <c r="V182" s="230"/>
      <c r="W182" s="5">
        <f t="shared" si="96"/>
        <v>0</v>
      </c>
      <c r="Y182" s="5">
        <f t="shared" si="98"/>
        <v>-34</v>
      </c>
      <c r="Z182" s="231">
        <f t="shared" si="97"/>
        <v>0</v>
      </c>
      <c r="AA182" s="232"/>
      <c r="AE182" s="232"/>
      <c r="AF182" s="236"/>
      <c r="AG182" s="236"/>
      <c r="AH182" s="236"/>
      <c r="AI182" s="232"/>
      <c r="AJ182" s="236"/>
      <c r="AK182" s="236"/>
      <c r="AL182" s="232"/>
      <c r="AM182" s="236"/>
      <c r="AN182" s="236"/>
      <c r="AO182" s="232"/>
      <c r="AP182" s="236"/>
      <c r="AQ182" s="236"/>
      <c r="AR182" s="232"/>
    </row>
    <row r="183" spans="1:44" ht="12" hidden="1" customHeight="1" x14ac:dyDescent="0.2">
      <c r="A183" s="230"/>
      <c r="B183" s="287"/>
      <c r="C183" s="287"/>
      <c r="D183" s="287"/>
      <c r="E183" s="287"/>
      <c r="F183" s="287"/>
      <c r="G183" s="287"/>
      <c r="H183" s="287"/>
      <c r="I183" s="287"/>
      <c r="J183" s="287"/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30"/>
      <c r="W183" s="5">
        <f t="shared" si="96"/>
        <v>0</v>
      </c>
      <c r="Y183" s="5">
        <f t="shared" si="98"/>
        <v>-35</v>
      </c>
      <c r="Z183" s="231">
        <f t="shared" si="97"/>
        <v>0</v>
      </c>
      <c r="AA183" s="232"/>
      <c r="AE183" s="232"/>
      <c r="AF183" s="236"/>
      <c r="AG183" s="236"/>
      <c r="AH183" s="236"/>
      <c r="AI183" s="232"/>
      <c r="AJ183" s="236"/>
      <c r="AK183" s="236"/>
      <c r="AL183" s="232"/>
      <c r="AM183" s="236"/>
      <c r="AN183" s="236"/>
      <c r="AO183" s="232"/>
      <c r="AP183" s="236"/>
      <c r="AQ183" s="236"/>
      <c r="AR183" s="232"/>
    </row>
    <row r="184" spans="1:44" ht="12" hidden="1" customHeight="1" x14ac:dyDescent="0.2">
      <c r="A184" s="230"/>
      <c r="B184" s="287"/>
      <c r="C184" s="287"/>
      <c r="D184" s="287"/>
      <c r="E184" s="287"/>
      <c r="F184" s="287"/>
      <c r="G184" s="287"/>
      <c r="H184" s="287"/>
      <c r="I184" s="287"/>
      <c r="J184" s="287"/>
      <c r="K184" s="287"/>
      <c r="L184" s="287"/>
      <c r="M184" s="287"/>
      <c r="N184" s="287"/>
      <c r="O184" s="287"/>
      <c r="P184" s="287"/>
      <c r="Q184" s="287"/>
      <c r="R184" s="287"/>
      <c r="S184" s="287"/>
      <c r="T184" s="287"/>
      <c r="U184" s="287"/>
      <c r="V184" s="230"/>
      <c r="W184" s="5">
        <f t="shared" si="96"/>
        <v>0</v>
      </c>
      <c r="Y184" s="5">
        <f t="shared" si="98"/>
        <v>-36</v>
      </c>
      <c r="Z184" s="231">
        <f t="shared" si="97"/>
        <v>0</v>
      </c>
      <c r="AA184" s="232"/>
      <c r="AE184" s="232"/>
      <c r="AF184" s="236"/>
      <c r="AG184" s="236"/>
      <c r="AH184" s="236"/>
      <c r="AI184" s="232"/>
      <c r="AJ184" s="236"/>
      <c r="AK184" s="236"/>
      <c r="AL184" s="232"/>
      <c r="AM184" s="236"/>
      <c r="AN184" s="236"/>
      <c r="AO184" s="232"/>
      <c r="AP184" s="236"/>
      <c r="AQ184" s="236"/>
      <c r="AR184" s="232"/>
    </row>
    <row r="185" spans="1:44" ht="12" hidden="1" customHeight="1" x14ac:dyDescent="0.2">
      <c r="A185" s="230"/>
      <c r="B185" s="287"/>
      <c r="C185" s="287"/>
      <c r="D185" s="287"/>
      <c r="E185" s="287"/>
      <c r="F185" s="287"/>
      <c r="G185" s="287"/>
      <c r="H185" s="287"/>
      <c r="I185" s="287"/>
      <c r="J185" s="287"/>
      <c r="K185" s="287"/>
      <c r="L185" s="287"/>
      <c r="M185" s="287"/>
      <c r="N185" s="287"/>
      <c r="O185" s="287"/>
      <c r="P185" s="287"/>
      <c r="Q185" s="287"/>
      <c r="R185" s="287"/>
      <c r="S185" s="287"/>
      <c r="T185" s="287"/>
      <c r="U185" s="287"/>
      <c r="V185" s="230"/>
      <c r="W185" s="5">
        <f t="shared" si="96"/>
        <v>0</v>
      </c>
      <c r="Y185" s="5">
        <f t="shared" si="98"/>
        <v>-37</v>
      </c>
      <c r="Z185" s="231">
        <f t="shared" si="97"/>
        <v>0</v>
      </c>
      <c r="AA185" s="232"/>
      <c r="AE185" s="232"/>
      <c r="AF185" s="236"/>
      <c r="AG185" s="236"/>
      <c r="AH185" s="236"/>
      <c r="AI185" s="232"/>
      <c r="AJ185" s="236"/>
      <c r="AK185" s="236"/>
      <c r="AL185" s="232"/>
      <c r="AM185" s="236"/>
      <c r="AN185" s="236"/>
      <c r="AO185" s="232"/>
      <c r="AP185" s="236"/>
      <c r="AQ185" s="236"/>
      <c r="AR185" s="232"/>
    </row>
    <row r="186" spans="1:44" ht="12" hidden="1" customHeight="1" x14ac:dyDescent="0.2">
      <c r="A186" s="230"/>
      <c r="B186" s="287"/>
      <c r="C186" s="287"/>
      <c r="D186" s="287"/>
      <c r="E186" s="287"/>
      <c r="F186" s="287"/>
      <c r="G186" s="287"/>
      <c r="H186" s="287"/>
      <c r="I186" s="287"/>
      <c r="J186" s="287"/>
      <c r="K186" s="287"/>
      <c r="L186" s="287"/>
      <c r="M186" s="287"/>
      <c r="N186" s="287"/>
      <c r="O186" s="287"/>
      <c r="P186" s="287"/>
      <c r="Q186" s="287"/>
      <c r="R186" s="287"/>
      <c r="S186" s="287"/>
      <c r="T186" s="287"/>
      <c r="U186" s="287"/>
      <c r="V186" s="230"/>
      <c r="W186" s="5">
        <f t="shared" si="96"/>
        <v>0</v>
      </c>
      <c r="Y186" s="5">
        <f t="shared" si="98"/>
        <v>-38</v>
      </c>
      <c r="Z186" s="231">
        <f t="shared" si="97"/>
        <v>0</v>
      </c>
      <c r="AA186" s="232"/>
      <c r="AE186" s="232"/>
      <c r="AF186" s="236"/>
      <c r="AG186" s="236"/>
      <c r="AH186" s="236"/>
      <c r="AI186" s="232"/>
      <c r="AJ186" s="236"/>
      <c r="AK186" s="236"/>
      <c r="AL186" s="232"/>
      <c r="AM186" s="236"/>
      <c r="AN186" s="236"/>
      <c r="AO186" s="232"/>
      <c r="AP186" s="236"/>
      <c r="AQ186" s="236"/>
      <c r="AR186" s="232"/>
    </row>
    <row r="187" spans="1:44" ht="12" hidden="1" customHeight="1" x14ac:dyDescent="0.2">
      <c r="A187" s="230"/>
      <c r="B187" s="287"/>
      <c r="C187" s="287"/>
      <c r="D187" s="287"/>
      <c r="E187" s="287"/>
      <c r="F187" s="287"/>
      <c r="G187" s="287"/>
      <c r="H187" s="287"/>
      <c r="I187" s="287"/>
      <c r="J187" s="287"/>
      <c r="K187" s="287"/>
      <c r="L187" s="287"/>
      <c r="M187" s="287"/>
      <c r="N187" s="287"/>
      <c r="O187" s="287"/>
      <c r="P187" s="287"/>
      <c r="Q187" s="287"/>
      <c r="R187" s="287"/>
      <c r="S187" s="287"/>
      <c r="T187" s="287"/>
      <c r="U187" s="287"/>
      <c r="V187" s="230"/>
      <c r="W187" s="5">
        <f t="shared" si="96"/>
        <v>0</v>
      </c>
      <c r="Y187" s="5">
        <f t="shared" si="98"/>
        <v>-39</v>
      </c>
      <c r="Z187" s="231">
        <f t="shared" si="97"/>
        <v>0</v>
      </c>
      <c r="AA187" s="232"/>
      <c r="AE187" s="232"/>
      <c r="AF187" s="236"/>
      <c r="AG187" s="236"/>
      <c r="AH187" s="236"/>
      <c r="AI187" s="232"/>
      <c r="AJ187" s="236"/>
      <c r="AK187" s="236"/>
      <c r="AL187" s="232"/>
      <c r="AM187" s="236"/>
      <c r="AN187" s="236"/>
      <c r="AO187" s="232"/>
      <c r="AP187" s="236"/>
      <c r="AQ187" s="236"/>
      <c r="AR187" s="232"/>
    </row>
    <row r="188" spans="1:44" ht="12" hidden="1" customHeight="1" x14ac:dyDescent="0.2">
      <c r="A188" s="230"/>
      <c r="B188" s="287"/>
      <c r="C188" s="287"/>
      <c r="D188" s="287"/>
      <c r="E188" s="287"/>
      <c r="F188" s="287"/>
      <c r="G188" s="287"/>
      <c r="H188" s="287"/>
      <c r="I188" s="287"/>
      <c r="J188" s="287"/>
      <c r="K188" s="287"/>
      <c r="L188" s="287"/>
      <c r="M188" s="287"/>
      <c r="N188" s="287"/>
      <c r="O188" s="287"/>
      <c r="P188" s="287"/>
      <c r="Q188" s="287"/>
      <c r="R188" s="287"/>
      <c r="S188" s="287"/>
      <c r="T188" s="287"/>
      <c r="U188" s="287"/>
      <c r="V188" s="230"/>
      <c r="W188" s="5">
        <f t="shared" si="96"/>
        <v>0</v>
      </c>
      <c r="Y188" s="5">
        <f t="shared" si="98"/>
        <v>-40</v>
      </c>
      <c r="Z188" s="231">
        <f t="shared" si="97"/>
        <v>0</v>
      </c>
      <c r="AA188" s="232"/>
      <c r="AE188" s="232"/>
      <c r="AF188" s="236"/>
      <c r="AG188" s="236"/>
      <c r="AH188" s="236"/>
      <c r="AI188" s="232"/>
      <c r="AJ188" s="236"/>
      <c r="AK188" s="236"/>
      <c r="AL188" s="232"/>
      <c r="AM188" s="236"/>
      <c r="AN188" s="236"/>
      <c r="AO188" s="232"/>
      <c r="AP188" s="236"/>
      <c r="AQ188" s="236"/>
      <c r="AR188" s="232"/>
    </row>
    <row r="189" spans="1:44" ht="12" hidden="1" customHeight="1" x14ac:dyDescent="0.2">
      <c r="A189" s="230"/>
      <c r="B189" s="287"/>
      <c r="C189" s="287"/>
      <c r="D189" s="287"/>
      <c r="E189" s="287"/>
      <c r="F189" s="287"/>
      <c r="G189" s="287"/>
      <c r="H189" s="287"/>
      <c r="I189" s="287"/>
      <c r="J189" s="287"/>
      <c r="K189" s="287"/>
      <c r="L189" s="287"/>
      <c r="M189" s="287"/>
      <c r="N189" s="287"/>
      <c r="O189" s="287"/>
      <c r="P189" s="287"/>
      <c r="Q189" s="287"/>
      <c r="R189" s="287"/>
      <c r="S189" s="287"/>
      <c r="T189" s="287"/>
      <c r="U189" s="287"/>
      <c r="V189" s="230"/>
      <c r="W189" s="5">
        <f t="shared" si="96"/>
        <v>0</v>
      </c>
      <c r="Y189" s="5">
        <f t="shared" si="98"/>
        <v>-41</v>
      </c>
      <c r="Z189" s="231">
        <f t="shared" si="97"/>
        <v>0</v>
      </c>
      <c r="AA189" s="232"/>
      <c r="AE189" s="232"/>
      <c r="AF189" s="236"/>
      <c r="AG189" s="236"/>
      <c r="AH189" s="236"/>
      <c r="AI189" s="232"/>
      <c r="AJ189" s="236"/>
      <c r="AK189" s="236"/>
      <c r="AL189" s="232"/>
      <c r="AM189" s="236"/>
      <c r="AN189" s="236"/>
      <c r="AO189" s="232"/>
      <c r="AP189" s="236"/>
      <c r="AQ189" s="236"/>
      <c r="AR189" s="232"/>
    </row>
    <row r="190" spans="1:44" ht="12" hidden="1" customHeight="1" x14ac:dyDescent="0.2">
      <c r="A190" s="230"/>
      <c r="B190" s="287"/>
      <c r="C190" s="287"/>
      <c r="D190" s="287"/>
      <c r="E190" s="287"/>
      <c r="F190" s="287"/>
      <c r="G190" s="287"/>
      <c r="H190" s="287"/>
      <c r="I190" s="287"/>
      <c r="J190" s="287"/>
      <c r="K190" s="287"/>
      <c r="L190" s="287"/>
      <c r="M190" s="287"/>
      <c r="N190" s="287"/>
      <c r="O190" s="287"/>
      <c r="P190" s="287"/>
      <c r="Q190" s="287"/>
      <c r="R190" s="287"/>
      <c r="S190" s="287"/>
      <c r="T190" s="287"/>
      <c r="U190" s="287"/>
      <c r="V190" s="230"/>
      <c r="W190" s="5">
        <f t="shared" si="96"/>
        <v>0</v>
      </c>
      <c r="Y190" s="5">
        <f t="shared" si="98"/>
        <v>-42</v>
      </c>
      <c r="Z190" s="231">
        <f t="shared" si="97"/>
        <v>0</v>
      </c>
      <c r="AA190" s="232"/>
      <c r="AE190" s="232"/>
      <c r="AF190" s="236"/>
      <c r="AG190" s="236"/>
      <c r="AH190" s="236"/>
      <c r="AI190" s="232"/>
      <c r="AJ190" s="236"/>
      <c r="AK190" s="236"/>
      <c r="AL190" s="232"/>
      <c r="AM190" s="236"/>
      <c r="AN190" s="236"/>
      <c r="AO190" s="232"/>
      <c r="AP190" s="236"/>
      <c r="AQ190" s="236"/>
      <c r="AR190" s="232"/>
    </row>
    <row r="191" spans="1:44" ht="12" hidden="1" customHeight="1" x14ac:dyDescent="0.2">
      <c r="A191" s="230"/>
      <c r="B191" s="287"/>
      <c r="C191" s="287"/>
      <c r="D191" s="287"/>
      <c r="E191" s="287"/>
      <c r="F191" s="287"/>
      <c r="G191" s="287"/>
      <c r="H191" s="287"/>
      <c r="I191" s="287"/>
      <c r="J191" s="287"/>
      <c r="K191" s="287"/>
      <c r="L191" s="287"/>
      <c r="M191" s="287"/>
      <c r="N191" s="287"/>
      <c r="O191" s="287"/>
      <c r="P191" s="287"/>
      <c r="Q191" s="287"/>
      <c r="R191" s="287"/>
      <c r="S191" s="287"/>
      <c r="T191" s="287"/>
      <c r="U191" s="287"/>
      <c r="V191" s="230"/>
      <c r="W191" s="5">
        <f t="shared" si="96"/>
        <v>0</v>
      </c>
      <c r="Y191" s="5">
        <f t="shared" si="98"/>
        <v>-43</v>
      </c>
      <c r="Z191" s="231">
        <f t="shared" si="97"/>
        <v>0</v>
      </c>
      <c r="AA191" s="232"/>
      <c r="AE191" s="232"/>
      <c r="AF191" s="236"/>
      <c r="AG191" s="236"/>
      <c r="AH191" s="236"/>
      <c r="AI191" s="232"/>
      <c r="AJ191" s="236"/>
      <c r="AK191" s="236"/>
      <c r="AL191" s="232"/>
      <c r="AM191" s="236"/>
      <c r="AN191" s="236"/>
      <c r="AO191" s="232"/>
      <c r="AP191" s="236"/>
      <c r="AQ191" s="236"/>
      <c r="AR191" s="232"/>
    </row>
    <row r="192" spans="1:44" ht="12" hidden="1" customHeight="1" x14ac:dyDescent="0.2">
      <c r="A192" s="230"/>
      <c r="B192" s="287"/>
      <c r="C192" s="287"/>
      <c r="D192" s="287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30"/>
      <c r="W192" s="5">
        <f t="shared" si="96"/>
        <v>0</v>
      </c>
      <c r="Y192" s="5">
        <f t="shared" si="98"/>
        <v>-44</v>
      </c>
      <c r="Z192" s="231">
        <f t="shared" si="97"/>
        <v>0</v>
      </c>
      <c r="AA192" s="232"/>
      <c r="AE192" s="232"/>
      <c r="AF192" s="236"/>
      <c r="AG192" s="236"/>
      <c r="AH192" s="236"/>
      <c r="AI192" s="232"/>
      <c r="AJ192" s="236"/>
      <c r="AK192" s="236"/>
      <c r="AL192" s="232"/>
      <c r="AM192" s="236"/>
      <c r="AN192" s="236"/>
      <c r="AO192" s="232"/>
      <c r="AP192" s="236"/>
      <c r="AQ192" s="236"/>
      <c r="AR192" s="232"/>
    </row>
    <row r="193" spans="1:65" ht="15" hidden="1" customHeight="1" x14ac:dyDescent="0.3">
      <c r="A193" s="230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30"/>
      <c r="S193" s="230"/>
      <c r="T193" s="230"/>
      <c r="U193" s="230"/>
      <c r="V193" s="230"/>
      <c r="W193" s="285">
        <f>AA193</f>
        <v>0</v>
      </c>
      <c r="X193" s="285"/>
      <c r="Y193" s="285"/>
      <c r="Z193" s="285"/>
      <c r="AA193" s="286">
        <f>IF(AB91&gt;63,1,0)</f>
        <v>0</v>
      </c>
      <c r="AB193" s="286"/>
      <c r="AC193" s="286"/>
      <c r="AD193" s="286"/>
      <c r="AE193" s="286"/>
    </row>
    <row r="194" spans="1:65" ht="15" hidden="1" customHeight="1" x14ac:dyDescent="0.3">
      <c r="A194" s="230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30"/>
      <c r="S194" s="230"/>
      <c r="T194" s="230"/>
      <c r="U194" s="230"/>
      <c r="V194" s="230"/>
      <c r="W194" s="231">
        <f t="shared" ref="W194:W207" si="99">W193</f>
        <v>0</v>
      </c>
    </row>
    <row r="195" spans="1:65" ht="15" hidden="1" customHeight="1" x14ac:dyDescent="0.3">
      <c r="A195" s="230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30"/>
      <c r="S195" s="230"/>
      <c r="T195" s="230"/>
      <c r="U195" s="230"/>
      <c r="V195" s="230"/>
      <c r="W195" s="231">
        <f t="shared" si="99"/>
        <v>0</v>
      </c>
    </row>
    <row r="196" spans="1:65" ht="15" hidden="1" customHeight="1" x14ac:dyDescent="0.3">
      <c r="A196" s="230"/>
      <c r="B196" s="230"/>
      <c r="C196" s="230"/>
      <c r="D196" s="230"/>
      <c r="E196" s="230"/>
      <c r="F196" s="230"/>
      <c r="G196" s="342" t="s">
        <v>601</v>
      </c>
      <c r="H196" s="343"/>
      <c r="I196" s="343"/>
      <c r="J196" s="343"/>
      <c r="K196" s="343"/>
      <c r="L196" s="343"/>
      <c r="M196" s="343"/>
      <c r="N196" s="343"/>
      <c r="O196" s="343"/>
      <c r="P196" s="343"/>
      <c r="Q196" s="343"/>
      <c r="R196" s="343"/>
      <c r="S196" s="343"/>
      <c r="T196" s="343"/>
      <c r="U196" s="343"/>
      <c r="V196" s="343"/>
      <c r="W196" s="231">
        <f t="shared" si="99"/>
        <v>0</v>
      </c>
    </row>
    <row r="197" spans="1:65" ht="15" hidden="1" customHeight="1" x14ac:dyDescent="0.3">
      <c r="A197" s="230"/>
      <c r="B197" s="230"/>
      <c r="C197" s="230"/>
      <c r="D197" s="230"/>
      <c r="E197" s="230"/>
      <c r="F197" s="230"/>
      <c r="G197" s="343"/>
      <c r="H197" s="343"/>
      <c r="I197" s="343"/>
      <c r="J197" s="343"/>
      <c r="K197" s="343"/>
      <c r="L197" s="343"/>
      <c r="M197" s="343"/>
      <c r="N197" s="343"/>
      <c r="O197" s="343"/>
      <c r="P197" s="343"/>
      <c r="Q197" s="343"/>
      <c r="R197" s="343"/>
      <c r="S197" s="343"/>
      <c r="T197" s="343"/>
      <c r="U197" s="343"/>
      <c r="V197" s="343"/>
      <c r="W197" s="231">
        <f t="shared" si="99"/>
        <v>0</v>
      </c>
    </row>
    <row r="198" spans="1:65" ht="15" hidden="1" customHeight="1" x14ac:dyDescent="0.3">
      <c r="A198" s="230"/>
      <c r="B198" s="230"/>
      <c r="C198" s="230"/>
      <c r="D198" s="230"/>
      <c r="E198" s="230"/>
      <c r="F198" s="230"/>
      <c r="G198" s="343"/>
      <c r="H198" s="343"/>
      <c r="I198" s="343"/>
      <c r="J198" s="343"/>
      <c r="K198" s="343"/>
      <c r="L198" s="343"/>
      <c r="M198" s="343"/>
      <c r="N198" s="343"/>
      <c r="O198" s="343"/>
      <c r="P198" s="343"/>
      <c r="Q198" s="343"/>
      <c r="R198" s="343"/>
      <c r="S198" s="343"/>
      <c r="T198" s="343"/>
      <c r="U198" s="343"/>
      <c r="V198" s="343"/>
      <c r="W198" s="231">
        <f t="shared" si="99"/>
        <v>0</v>
      </c>
    </row>
    <row r="199" spans="1:65" ht="15" hidden="1" customHeight="1" x14ac:dyDescent="0.3">
      <c r="A199" s="230"/>
      <c r="B199" s="230"/>
      <c r="C199" s="230"/>
      <c r="D199" s="230"/>
      <c r="E199" s="230"/>
      <c r="F199" s="230"/>
      <c r="G199" s="339" t="s">
        <v>504</v>
      </c>
      <c r="H199" s="339"/>
      <c r="I199" s="339"/>
      <c r="J199" s="339"/>
      <c r="K199" s="339"/>
      <c r="L199" s="339"/>
      <c r="M199" s="339"/>
      <c r="N199" s="339"/>
      <c r="O199" s="340" t="str">
        <f>$O$7</f>
        <v>19012733</v>
      </c>
      <c r="P199" s="340"/>
      <c r="Q199" s="340"/>
      <c r="R199" s="340"/>
      <c r="S199" s="339" t="str">
        <f>CONCATENATE("Folha 3/",X199)</f>
        <v>Folha 3/0</v>
      </c>
      <c r="T199" s="339"/>
      <c r="U199" s="339"/>
      <c r="V199" s="339"/>
      <c r="W199" s="231">
        <f t="shared" si="99"/>
        <v>0</v>
      </c>
      <c r="X199" s="5">
        <f>IF(W199=1,3,0)</f>
        <v>0</v>
      </c>
    </row>
    <row r="200" spans="1:65" ht="15" hidden="1" customHeight="1" x14ac:dyDescent="0.3">
      <c r="A200" s="230"/>
      <c r="B200" s="230"/>
      <c r="C200" s="230"/>
      <c r="D200" s="230"/>
      <c r="E200" s="230"/>
      <c r="F200" s="230"/>
      <c r="G200" s="339"/>
      <c r="H200" s="339"/>
      <c r="I200" s="339"/>
      <c r="J200" s="339"/>
      <c r="K200" s="339"/>
      <c r="L200" s="339"/>
      <c r="M200" s="339"/>
      <c r="N200" s="339"/>
      <c r="O200" s="340"/>
      <c r="P200" s="340"/>
      <c r="Q200" s="340"/>
      <c r="R200" s="340"/>
      <c r="S200" s="339"/>
      <c r="T200" s="339"/>
      <c r="U200" s="339"/>
      <c r="V200" s="339"/>
      <c r="W200" s="231">
        <f t="shared" si="99"/>
        <v>0</v>
      </c>
    </row>
    <row r="201" spans="1:65" ht="15" hidden="1" customHeight="1" x14ac:dyDescent="0.3">
      <c r="A201" s="230"/>
      <c r="B201" s="230"/>
      <c r="C201" s="230"/>
      <c r="D201" s="230"/>
      <c r="E201" s="230"/>
      <c r="F201" s="230"/>
      <c r="G201" s="339"/>
      <c r="H201" s="339"/>
      <c r="I201" s="339"/>
      <c r="J201" s="339"/>
      <c r="K201" s="339"/>
      <c r="L201" s="339"/>
      <c r="M201" s="339"/>
      <c r="N201" s="339"/>
      <c r="O201" s="340"/>
      <c r="P201" s="340"/>
      <c r="Q201" s="340"/>
      <c r="R201" s="340"/>
      <c r="S201" s="339"/>
      <c r="T201" s="339"/>
      <c r="U201" s="339"/>
      <c r="V201" s="339"/>
      <c r="W201" s="231">
        <f t="shared" si="99"/>
        <v>0</v>
      </c>
    </row>
    <row r="202" spans="1:65" ht="12.75" hidden="1" customHeight="1" x14ac:dyDescent="0.2">
      <c r="A202" s="341" t="str">
        <f>IF($A$47="","",CONCATENATE("Laboratório de Calibração acreditado pela Cgcre de acordo com a ABNT NBR ISO/IEC 17025, sob o número ",AA202,"."))</f>
        <v>Laboratório de Calibração acreditado pela Cgcre de acordo com a ABNT NBR ISO/IEC 17025, sob o número CAL 0439.</v>
      </c>
      <c r="B202" s="341"/>
      <c r="C202" s="341"/>
      <c r="D202" s="341"/>
      <c r="E202" s="341"/>
      <c r="F202" s="341"/>
      <c r="G202" s="341"/>
      <c r="H202" s="341"/>
      <c r="I202" s="341"/>
      <c r="J202" s="341"/>
      <c r="K202" s="341"/>
      <c r="L202" s="341"/>
      <c r="M202" s="341"/>
      <c r="N202" s="341"/>
      <c r="O202" s="341"/>
      <c r="P202" s="341"/>
      <c r="Q202" s="341"/>
      <c r="R202" s="341"/>
      <c r="S202" s="341"/>
      <c r="T202" s="341"/>
      <c r="U202" s="341"/>
      <c r="V202" s="341"/>
      <c r="W202" s="231">
        <f t="shared" si="99"/>
        <v>0</v>
      </c>
      <c r="X202" s="231"/>
      <c r="Y202" s="231"/>
      <c r="Z202" s="231"/>
      <c r="AA202" s="265" t="str">
        <f>VLOOKUP(Dados!$F$2,Dados!$AM$2:$AP$4,4,FALSE)</f>
        <v>CAL 0439</v>
      </c>
      <c r="AE202" s="236"/>
      <c r="AF202" s="236"/>
      <c r="AG202" s="236"/>
      <c r="AH202" s="236"/>
      <c r="AI202" s="236"/>
      <c r="AJ202" s="236"/>
      <c r="AK202" s="236"/>
      <c r="AL202" s="236"/>
      <c r="AM202" s="236"/>
      <c r="AN202" s="236"/>
      <c r="AO202" s="236"/>
      <c r="AP202" s="236"/>
      <c r="AQ202" s="236"/>
      <c r="AR202" s="236"/>
      <c r="AS202" s="236"/>
      <c r="AT202" s="236"/>
      <c r="AU202" s="236"/>
      <c r="AV202" s="236"/>
      <c r="AW202" s="236"/>
      <c r="AX202" s="236"/>
      <c r="AY202" s="236"/>
      <c r="AZ202" s="236"/>
      <c r="BA202" s="236"/>
      <c r="BB202" s="236"/>
      <c r="BC202" s="236"/>
      <c r="BD202" s="236"/>
      <c r="BE202" s="236"/>
      <c r="BF202" s="236"/>
      <c r="BG202" s="236"/>
      <c r="BH202" s="236"/>
      <c r="BI202" s="236"/>
      <c r="BJ202" s="236"/>
      <c r="BK202" s="236"/>
      <c r="BL202" s="236"/>
      <c r="BM202" s="236"/>
    </row>
    <row r="203" spans="1:65" ht="15" hidden="1" customHeight="1" x14ac:dyDescent="0.3">
      <c r="A203" s="230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30"/>
      <c r="S203" s="230"/>
      <c r="T203" s="230"/>
      <c r="U203" s="230"/>
      <c r="V203" s="230"/>
      <c r="W203" s="5">
        <f t="shared" si="99"/>
        <v>0</v>
      </c>
    </row>
    <row r="204" spans="1:65" ht="12.75" hidden="1" customHeight="1" x14ac:dyDescent="0.3">
      <c r="A204" s="240" t="s">
        <v>607</v>
      </c>
      <c r="B204" s="273"/>
      <c r="C204" s="273"/>
      <c r="D204" s="273"/>
      <c r="E204" s="273"/>
      <c r="F204" s="273"/>
      <c r="G204" s="273"/>
      <c r="H204" s="273"/>
      <c r="I204" s="273"/>
      <c r="J204" s="273"/>
      <c r="K204" s="273"/>
      <c r="L204" s="273"/>
      <c r="M204" s="273"/>
      <c r="N204" s="273"/>
      <c r="O204" s="273"/>
      <c r="P204" s="273"/>
      <c r="Q204" s="273"/>
      <c r="R204" s="273"/>
      <c r="S204" s="273"/>
      <c r="T204" s="273"/>
      <c r="U204" s="273"/>
      <c r="V204" s="273"/>
      <c r="W204" s="5">
        <f t="shared" si="99"/>
        <v>0</v>
      </c>
    </row>
    <row r="205" spans="1:65" ht="15" hidden="1" customHeight="1" x14ac:dyDescent="0.3">
      <c r="A205" s="273"/>
      <c r="B205" s="273"/>
      <c r="C205" s="273"/>
      <c r="D205" s="273"/>
      <c r="E205" s="273"/>
      <c r="F205" s="273"/>
      <c r="G205" s="273"/>
      <c r="H205" s="273"/>
      <c r="I205" s="273"/>
      <c r="J205" s="273"/>
      <c r="K205" s="273"/>
      <c r="L205" s="273"/>
      <c r="M205" s="273"/>
      <c r="N205" s="273"/>
      <c r="O205" s="273"/>
      <c r="P205" s="273"/>
      <c r="Q205" s="273"/>
      <c r="R205" s="273"/>
      <c r="S205" s="273"/>
      <c r="T205" s="273"/>
      <c r="U205" s="273"/>
      <c r="V205" s="273"/>
      <c r="W205" s="5">
        <f t="shared" si="99"/>
        <v>0</v>
      </c>
    </row>
    <row r="206" spans="1:65" ht="12.75" hidden="1" customHeight="1" x14ac:dyDescent="0.3">
      <c r="A206" s="273"/>
      <c r="B206" s="330" t="s">
        <v>608</v>
      </c>
      <c r="C206" s="331"/>
      <c r="D206" s="331"/>
      <c r="E206" s="331" t="s">
        <v>633</v>
      </c>
      <c r="F206" s="331"/>
      <c r="G206" s="331"/>
      <c r="H206" s="331" t="s">
        <v>609</v>
      </c>
      <c r="I206" s="331"/>
      <c r="J206" s="331"/>
      <c r="K206" s="331"/>
      <c r="L206" s="334" t="s">
        <v>510</v>
      </c>
      <c r="M206" s="334"/>
      <c r="N206" s="334"/>
      <c r="O206" s="334" t="s">
        <v>511</v>
      </c>
      <c r="P206" s="334"/>
      <c r="Q206" s="334"/>
      <c r="R206" s="334" t="s">
        <v>293</v>
      </c>
      <c r="S206" s="334"/>
      <c r="T206" s="334" t="s">
        <v>167</v>
      </c>
      <c r="U206" s="336"/>
      <c r="V206" s="273"/>
      <c r="W206" s="5">
        <f t="shared" si="99"/>
        <v>0</v>
      </c>
    </row>
    <row r="207" spans="1:65" ht="12.75" hidden="1" customHeight="1" x14ac:dyDescent="0.2">
      <c r="A207" s="273"/>
      <c r="B207" s="332"/>
      <c r="C207" s="333"/>
      <c r="D207" s="333"/>
      <c r="E207" s="333"/>
      <c r="F207" s="333"/>
      <c r="G207" s="333"/>
      <c r="H207" s="333"/>
      <c r="I207" s="333"/>
      <c r="J207" s="333"/>
      <c r="K207" s="333"/>
      <c r="L207" s="335"/>
      <c r="M207" s="335"/>
      <c r="N207" s="335"/>
      <c r="O207" s="335"/>
      <c r="P207" s="335"/>
      <c r="Q207" s="335"/>
      <c r="R207" s="335"/>
      <c r="S207" s="335"/>
      <c r="T207" s="335"/>
      <c r="U207" s="337"/>
      <c r="V207" s="273"/>
      <c r="W207" s="5">
        <f t="shared" si="99"/>
        <v>0</v>
      </c>
      <c r="Z207" s="231"/>
      <c r="AA207" s="232">
        <v>5</v>
      </c>
      <c r="AE207" s="232">
        <v>5</v>
      </c>
      <c r="AF207" s="236"/>
      <c r="AG207" s="236"/>
      <c r="AH207" s="236"/>
      <c r="AI207" s="232">
        <v>5</v>
      </c>
      <c r="AJ207" s="236"/>
      <c r="AK207" s="236"/>
      <c r="AL207" s="232">
        <v>5</v>
      </c>
      <c r="AM207" s="236"/>
      <c r="AN207" s="236"/>
      <c r="AO207" s="232">
        <v>5</v>
      </c>
      <c r="AP207" s="236"/>
      <c r="AQ207" s="236"/>
      <c r="AR207" s="232">
        <v>5</v>
      </c>
      <c r="AS207" s="236"/>
    </row>
    <row r="208" spans="1:65" ht="12" hidden="1" customHeight="1" x14ac:dyDescent="0.2">
      <c r="A208" s="273"/>
      <c r="B208" s="338" t="str">
        <f>IF(Dados!$Z$9=3,IF(Z208=0,"",CONCATENATE(Z208," - Faixa de medição : (",AB208,AD208,AE208,") ",AG208)),IF(Z208=0,"",Z208))</f>
        <v/>
      </c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273"/>
      <c r="W208" s="5">
        <f>IF(X208=0,0,IF(W209=0,0,1))</f>
        <v>0</v>
      </c>
      <c r="X208" s="5">
        <f>IF(AS208&lt;=$AA$90,1,0)</f>
        <v>0</v>
      </c>
      <c r="Z208" s="289">
        <f>'Resultados - 7'!$G$4</f>
        <v>0</v>
      </c>
      <c r="AA208" s="290"/>
      <c r="AB208" s="290">
        <f>'Resultados - 7'!$N$4</f>
        <v>0</v>
      </c>
      <c r="AC208" s="290"/>
      <c r="AD208" s="290" t="str">
        <f>'Resultados - 7'!$P$4</f>
        <v>~</v>
      </c>
      <c r="AE208" s="290">
        <f>'Resultados - 7'!$Q$4</f>
        <v>0</v>
      </c>
      <c r="AF208" s="290"/>
      <c r="AG208" s="290" t="str">
        <f>'Resultados - 7'!$G$12</f>
        <v>µL</v>
      </c>
      <c r="AH208" s="291"/>
      <c r="AI208" s="290"/>
      <c r="AJ208" s="291"/>
      <c r="AK208" s="291"/>
      <c r="AL208" s="290"/>
      <c r="AM208" s="291"/>
      <c r="AN208" s="291"/>
      <c r="AO208" s="290"/>
      <c r="AP208" s="291"/>
      <c r="AQ208" s="291"/>
      <c r="AR208" s="292"/>
      <c r="AS208" s="232">
        <v>7</v>
      </c>
    </row>
    <row r="209" spans="1:51" ht="12" hidden="1" customHeight="1" x14ac:dyDescent="0.2">
      <c r="A209" s="273"/>
      <c r="B209" s="327" t="str">
        <f>AA209</f>
        <v/>
      </c>
      <c r="C209" s="328"/>
      <c r="D209" s="328"/>
      <c r="E209" s="328" t="str">
        <f>IF(B209="","",AG208)</f>
        <v/>
      </c>
      <c r="F209" s="328"/>
      <c r="G209" s="328"/>
      <c r="H209" s="328" t="str">
        <f>AE209</f>
        <v/>
      </c>
      <c r="I209" s="328"/>
      <c r="J209" s="328"/>
      <c r="K209" s="328"/>
      <c r="L209" s="328" t="str">
        <f>AI209</f>
        <v/>
      </c>
      <c r="M209" s="328"/>
      <c r="N209" s="328"/>
      <c r="O209" s="328" t="str">
        <f>AL209</f>
        <v/>
      </c>
      <c r="P209" s="328"/>
      <c r="Q209" s="328"/>
      <c r="R209" s="328" t="str">
        <f>AO209</f>
        <v/>
      </c>
      <c r="S209" s="328"/>
      <c r="T209" s="328" t="str">
        <f>AR209</f>
        <v/>
      </c>
      <c r="U209" s="329"/>
      <c r="V209" s="273"/>
      <c r="W209" s="5">
        <f t="shared" ref="W209:W255" si="100">IF(X209=0,0,IF(B209="",0,1))</f>
        <v>0</v>
      </c>
      <c r="X209" s="5">
        <f t="shared" ref="X209:X255" si="101">IF(AS209&lt;=$AA$90,1,0)</f>
        <v>0</v>
      </c>
      <c r="Z209" s="293">
        <v>1</v>
      </c>
      <c r="AA209" s="232" t="str">
        <f>IF(AE209="","",VLOOKUP(CONCATENATE($Z209,AA$59),'Resultados - 7'!$A$10:$G$155,AA$58,FALSE))</f>
        <v/>
      </c>
      <c r="AE209" s="232" t="str">
        <f>VLOOKUP(CONCATENATE($Z209,AE$59),'Resultados - 7'!$A$10:$G$155,AE$58,FALSE)</f>
        <v/>
      </c>
      <c r="AF209" s="236"/>
      <c r="AG209" s="236"/>
      <c r="AH209" s="236"/>
      <c r="AI209" s="232" t="str">
        <f>VLOOKUP(CONCATENATE($Z209,AI$59),'Resultados - 7'!$A$10:$G$155,AI$58,FALSE)</f>
        <v/>
      </c>
      <c r="AJ209" s="236"/>
      <c r="AK209" s="236"/>
      <c r="AL209" s="232" t="str">
        <f>VLOOKUP(CONCATENATE($Z209,AL$59),'Resultados - 7'!$A$10:$G$155,AL$58,FALSE)</f>
        <v/>
      </c>
      <c r="AM209" s="236"/>
      <c r="AN209" s="236"/>
      <c r="AO209" s="232" t="str">
        <f>VLOOKUP(CONCATENATE($Z209,AO$59),'Resultados - 7'!$A$10:$G$155,AO$58,FALSE)</f>
        <v/>
      </c>
      <c r="AP209" s="236"/>
      <c r="AQ209" s="236"/>
      <c r="AR209" s="197" t="str">
        <f>VLOOKUP(CONCATENATE($Z209,AR$59),'Resultados - 7'!$A$10:$G$155,AR$58,FALSE)</f>
        <v/>
      </c>
      <c r="AS209" s="232">
        <f t="shared" ref="AS209:AS215" si="102">AS208</f>
        <v>7</v>
      </c>
      <c r="AU209" s="232">
        <f>ABS(AV209)</f>
        <v>0</v>
      </c>
      <c r="AV209" s="232">
        <f>IF(AI209="",0,AI209*1)</f>
        <v>0</v>
      </c>
      <c r="AW209" s="236"/>
      <c r="AX209" s="236"/>
      <c r="AY209" s="232">
        <f>IF(AL209="",0,AL209*1)</f>
        <v>0</v>
      </c>
    </row>
    <row r="210" spans="1:51" ht="12" hidden="1" customHeight="1" x14ac:dyDescent="0.2">
      <c r="A210" s="230"/>
      <c r="B210" s="327" t="str">
        <f t="shared" ref="B210:B215" si="103">AA210</f>
        <v/>
      </c>
      <c r="C210" s="328"/>
      <c r="D210" s="328"/>
      <c r="E210" s="328" t="str">
        <f>IF(B210="","",E209)</f>
        <v/>
      </c>
      <c r="F210" s="328"/>
      <c r="G210" s="328"/>
      <c r="H210" s="328" t="str">
        <f t="shared" ref="H210:H215" si="104">AE210</f>
        <v/>
      </c>
      <c r="I210" s="328"/>
      <c r="J210" s="328"/>
      <c r="K210" s="328"/>
      <c r="L210" s="328" t="str">
        <f t="shared" ref="L210:L215" si="105">AI210</f>
        <v/>
      </c>
      <c r="M210" s="328"/>
      <c r="N210" s="328"/>
      <c r="O210" s="328" t="str">
        <f t="shared" ref="O210:O215" si="106">AL210</f>
        <v/>
      </c>
      <c r="P210" s="328"/>
      <c r="Q210" s="328"/>
      <c r="R210" s="328" t="str">
        <f t="shared" ref="R210:R215" si="107">AO210</f>
        <v/>
      </c>
      <c r="S210" s="328"/>
      <c r="T210" s="328" t="str">
        <f t="shared" ref="T210:T215" si="108">AR210</f>
        <v/>
      </c>
      <c r="U210" s="329"/>
      <c r="V210" s="230"/>
      <c r="W210" s="5">
        <f t="shared" si="100"/>
        <v>0</v>
      </c>
      <c r="X210" s="5">
        <f t="shared" si="101"/>
        <v>0</v>
      </c>
      <c r="Z210" s="293">
        <f>Z209+1</f>
        <v>2</v>
      </c>
      <c r="AA210" s="232" t="str">
        <f>IF(AE210="","",VLOOKUP(CONCATENATE($Z210,AA$59),'Resultados - 7'!$A$10:$G$155,AA$58,FALSE))</f>
        <v/>
      </c>
      <c r="AE210" s="232" t="str">
        <f>VLOOKUP(CONCATENATE($Z210,AE$59),'Resultados - 7'!$A$10:$G$155,AE$58,FALSE)</f>
        <v/>
      </c>
      <c r="AF210" s="236"/>
      <c r="AG210" s="236"/>
      <c r="AH210" s="236"/>
      <c r="AI210" s="232" t="str">
        <f>VLOOKUP(CONCATENATE($Z210,AI$59),'Resultados - 7'!$A$10:$G$155,AI$58,FALSE)</f>
        <v/>
      </c>
      <c r="AJ210" s="236"/>
      <c r="AK210" s="236"/>
      <c r="AL210" s="232" t="str">
        <f>VLOOKUP(CONCATENATE($Z210,AL$59),'Resultados - 7'!$A$10:$G$155,AL$58,FALSE)</f>
        <v/>
      </c>
      <c r="AM210" s="236"/>
      <c r="AN210" s="236"/>
      <c r="AO210" s="232" t="str">
        <f>VLOOKUP(CONCATENATE($Z210,AO$59),'Resultados - 7'!$A$10:$G$155,AO$58,FALSE)</f>
        <v/>
      </c>
      <c r="AP210" s="236"/>
      <c r="AQ210" s="236"/>
      <c r="AR210" s="197" t="str">
        <f>VLOOKUP(CONCATENATE($Z210,AR$59),'Resultados - 7'!$A$10:$G$155,AR$58,FALSE)</f>
        <v/>
      </c>
      <c r="AS210" s="232">
        <f t="shared" si="102"/>
        <v>7</v>
      </c>
      <c r="AU210" s="232">
        <f t="shared" ref="AU210:AU215" si="109">ABS(AV210)</f>
        <v>0</v>
      </c>
      <c r="AV210" s="232">
        <f t="shared" ref="AV210:AV215" si="110">IF(AI210="",0,AI210*1)</f>
        <v>0</v>
      </c>
      <c r="AW210" s="236"/>
      <c r="AX210" s="236"/>
      <c r="AY210" s="232">
        <f t="shared" ref="AY210:AY215" si="111">IF(AL210="",0,AL210*1)</f>
        <v>0</v>
      </c>
    </row>
    <row r="211" spans="1:51" ht="12" hidden="1" customHeight="1" x14ac:dyDescent="0.2">
      <c r="A211" s="230"/>
      <c r="B211" s="327" t="str">
        <f t="shared" si="103"/>
        <v/>
      </c>
      <c r="C211" s="328"/>
      <c r="D211" s="328"/>
      <c r="E211" s="328" t="str">
        <f t="shared" ref="E211:E215" si="112">IF(B211="","",E210)</f>
        <v/>
      </c>
      <c r="F211" s="328"/>
      <c r="G211" s="328"/>
      <c r="H211" s="328" t="str">
        <f t="shared" si="104"/>
        <v/>
      </c>
      <c r="I211" s="328"/>
      <c r="J211" s="328"/>
      <c r="K211" s="328"/>
      <c r="L211" s="328" t="str">
        <f t="shared" si="105"/>
        <v/>
      </c>
      <c r="M211" s="328"/>
      <c r="N211" s="328"/>
      <c r="O211" s="328" t="str">
        <f t="shared" si="106"/>
        <v/>
      </c>
      <c r="P211" s="328"/>
      <c r="Q211" s="328"/>
      <c r="R211" s="328" t="str">
        <f t="shared" si="107"/>
        <v/>
      </c>
      <c r="S211" s="328"/>
      <c r="T211" s="328" t="str">
        <f t="shared" si="108"/>
        <v/>
      </c>
      <c r="U211" s="329"/>
      <c r="V211" s="230"/>
      <c r="W211" s="5">
        <f t="shared" si="100"/>
        <v>0</v>
      </c>
      <c r="X211" s="5">
        <f t="shared" si="101"/>
        <v>0</v>
      </c>
      <c r="Z211" s="293">
        <f t="shared" ref="Z211:Z215" si="113">Z210+1</f>
        <v>3</v>
      </c>
      <c r="AA211" s="232" t="str">
        <f>IF(AE211="","",VLOOKUP(CONCATENATE($Z211,AA$59),'Resultados - 7'!$A$10:$G$155,AA$58,FALSE))</f>
        <v/>
      </c>
      <c r="AE211" s="232" t="str">
        <f>VLOOKUP(CONCATENATE($Z211,AE$59),'Resultados - 7'!$A$10:$G$155,AE$58,FALSE)</f>
        <v/>
      </c>
      <c r="AF211" s="236"/>
      <c r="AG211" s="236"/>
      <c r="AH211" s="236"/>
      <c r="AI211" s="232" t="str">
        <f>VLOOKUP(CONCATENATE($Z211,AI$59),'Resultados - 7'!$A$10:$G$155,AI$58,FALSE)</f>
        <v/>
      </c>
      <c r="AJ211" s="236"/>
      <c r="AK211" s="236"/>
      <c r="AL211" s="232" t="str">
        <f>VLOOKUP(CONCATENATE($Z211,AL$59),'Resultados - 7'!$A$10:$G$155,AL$58,FALSE)</f>
        <v/>
      </c>
      <c r="AM211" s="236"/>
      <c r="AN211" s="236"/>
      <c r="AO211" s="232" t="str">
        <f>VLOOKUP(CONCATENATE($Z211,AO$59),'Resultados - 7'!$A$10:$G$155,AO$58,FALSE)</f>
        <v/>
      </c>
      <c r="AP211" s="236"/>
      <c r="AQ211" s="236"/>
      <c r="AR211" s="197" t="str">
        <f>VLOOKUP(CONCATENATE($Z211,AR$59),'Resultados - 7'!$A$10:$G$155,AR$58,FALSE)</f>
        <v/>
      </c>
      <c r="AS211" s="232">
        <f t="shared" si="102"/>
        <v>7</v>
      </c>
      <c r="AU211" s="232">
        <f t="shared" si="109"/>
        <v>0</v>
      </c>
      <c r="AV211" s="232">
        <f t="shared" si="110"/>
        <v>0</v>
      </c>
      <c r="AW211" s="236"/>
      <c r="AX211" s="236"/>
      <c r="AY211" s="232">
        <f t="shared" si="111"/>
        <v>0</v>
      </c>
    </row>
    <row r="212" spans="1:51" ht="12" hidden="1" customHeight="1" x14ac:dyDescent="0.2">
      <c r="A212" s="230"/>
      <c r="B212" s="327" t="str">
        <f t="shared" si="103"/>
        <v/>
      </c>
      <c r="C212" s="328"/>
      <c r="D212" s="328"/>
      <c r="E212" s="328" t="str">
        <f t="shared" si="112"/>
        <v/>
      </c>
      <c r="F212" s="328"/>
      <c r="G212" s="328"/>
      <c r="H212" s="328" t="str">
        <f t="shared" si="104"/>
        <v/>
      </c>
      <c r="I212" s="328"/>
      <c r="J212" s="328"/>
      <c r="K212" s="328"/>
      <c r="L212" s="328" t="str">
        <f t="shared" si="105"/>
        <v/>
      </c>
      <c r="M212" s="328"/>
      <c r="N212" s="328"/>
      <c r="O212" s="328" t="str">
        <f t="shared" si="106"/>
        <v/>
      </c>
      <c r="P212" s="328"/>
      <c r="Q212" s="328"/>
      <c r="R212" s="328" t="str">
        <f t="shared" si="107"/>
        <v/>
      </c>
      <c r="S212" s="328"/>
      <c r="T212" s="328" t="str">
        <f t="shared" si="108"/>
        <v/>
      </c>
      <c r="U212" s="329"/>
      <c r="V212" s="230"/>
      <c r="W212" s="5">
        <f t="shared" si="100"/>
        <v>0</v>
      </c>
      <c r="X212" s="5">
        <f t="shared" si="101"/>
        <v>0</v>
      </c>
      <c r="Z212" s="293">
        <f t="shared" si="113"/>
        <v>4</v>
      </c>
      <c r="AA212" s="232" t="str">
        <f>IF(AE212="","",VLOOKUP(CONCATENATE($Z212,AA$59),'Resultados - 7'!$A$10:$G$155,AA$58,FALSE))</f>
        <v/>
      </c>
      <c r="AE212" s="232" t="str">
        <f>VLOOKUP(CONCATENATE($Z212,AE$59),'Resultados - 7'!$A$10:$G$155,AE$58,FALSE)</f>
        <v/>
      </c>
      <c r="AF212" s="236"/>
      <c r="AG212" s="236"/>
      <c r="AH212" s="236"/>
      <c r="AI212" s="232" t="str">
        <f>VLOOKUP(CONCATENATE($Z212,AI$59),'Resultados - 7'!$A$10:$G$155,AI$58,FALSE)</f>
        <v/>
      </c>
      <c r="AJ212" s="236"/>
      <c r="AK212" s="236"/>
      <c r="AL212" s="232" t="str">
        <f>VLOOKUP(CONCATENATE($Z212,AL$59),'Resultados - 7'!$A$10:$G$155,AL$58,FALSE)</f>
        <v/>
      </c>
      <c r="AM212" s="236"/>
      <c r="AN212" s="236"/>
      <c r="AO212" s="232" t="str">
        <f>VLOOKUP(CONCATENATE($Z212,AO$59),'Resultados - 7'!$A$10:$G$155,AO$58,FALSE)</f>
        <v/>
      </c>
      <c r="AP212" s="236"/>
      <c r="AQ212" s="236"/>
      <c r="AR212" s="197" t="str">
        <f>VLOOKUP(CONCATENATE($Z212,AR$59),'Resultados - 7'!$A$10:$G$155,AR$58,FALSE)</f>
        <v/>
      </c>
      <c r="AS212" s="232">
        <f t="shared" si="102"/>
        <v>7</v>
      </c>
      <c r="AU212" s="232">
        <f t="shared" si="109"/>
        <v>0</v>
      </c>
      <c r="AV212" s="232">
        <f t="shared" si="110"/>
        <v>0</v>
      </c>
      <c r="AW212" s="236"/>
      <c r="AX212" s="236"/>
      <c r="AY212" s="232">
        <f t="shared" si="111"/>
        <v>0</v>
      </c>
    </row>
    <row r="213" spans="1:51" ht="12" hidden="1" customHeight="1" x14ac:dyDescent="0.2">
      <c r="A213" s="230"/>
      <c r="B213" s="327" t="str">
        <f t="shared" si="103"/>
        <v/>
      </c>
      <c r="C213" s="328"/>
      <c r="D213" s="328"/>
      <c r="E213" s="328" t="str">
        <f t="shared" si="112"/>
        <v/>
      </c>
      <c r="F213" s="328"/>
      <c r="G213" s="328"/>
      <c r="H213" s="328" t="str">
        <f t="shared" si="104"/>
        <v/>
      </c>
      <c r="I213" s="328"/>
      <c r="J213" s="328"/>
      <c r="K213" s="328"/>
      <c r="L213" s="328" t="str">
        <f t="shared" si="105"/>
        <v/>
      </c>
      <c r="M213" s="328"/>
      <c r="N213" s="328"/>
      <c r="O213" s="328" t="str">
        <f t="shared" si="106"/>
        <v/>
      </c>
      <c r="P213" s="328"/>
      <c r="Q213" s="328"/>
      <c r="R213" s="328" t="str">
        <f t="shared" si="107"/>
        <v/>
      </c>
      <c r="S213" s="328"/>
      <c r="T213" s="328" t="str">
        <f t="shared" si="108"/>
        <v/>
      </c>
      <c r="U213" s="329"/>
      <c r="V213" s="230"/>
      <c r="W213" s="5">
        <f t="shared" si="100"/>
        <v>0</v>
      </c>
      <c r="X213" s="5">
        <f t="shared" si="101"/>
        <v>0</v>
      </c>
      <c r="Z213" s="293">
        <f t="shared" si="113"/>
        <v>5</v>
      </c>
      <c r="AA213" s="232" t="str">
        <f>IF(AE213="","",VLOOKUP(CONCATENATE($Z213,AA$59),'Resultados - 7'!$A$10:$G$155,AA$58,FALSE))</f>
        <v/>
      </c>
      <c r="AE213" s="232" t="str">
        <f>VLOOKUP(CONCATENATE($Z213,AE$59),'Resultados - 7'!$A$10:$G$155,AE$58,FALSE)</f>
        <v/>
      </c>
      <c r="AF213" s="236"/>
      <c r="AG213" s="236"/>
      <c r="AH213" s="236"/>
      <c r="AI213" s="232" t="str">
        <f>VLOOKUP(CONCATENATE($Z213,AI$59),'Resultados - 7'!$A$10:$G$155,AI$58,FALSE)</f>
        <v/>
      </c>
      <c r="AJ213" s="236"/>
      <c r="AK213" s="236"/>
      <c r="AL213" s="232" t="str">
        <f>VLOOKUP(CONCATENATE($Z213,AL$59),'Resultados - 7'!$A$10:$G$155,AL$58,FALSE)</f>
        <v/>
      </c>
      <c r="AM213" s="236"/>
      <c r="AN213" s="236"/>
      <c r="AO213" s="232" t="str">
        <f>VLOOKUP(CONCATENATE($Z213,AO$59),'Resultados - 7'!$A$10:$G$155,AO$58,FALSE)</f>
        <v/>
      </c>
      <c r="AP213" s="236"/>
      <c r="AQ213" s="236"/>
      <c r="AR213" s="197" t="str">
        <f>VLOOKUP(CONCATENATE($Z213,AR$59),'Resultados - 7'!$A$10:$G$155,AR$58,FALSE)</f>
        <v/>
      </c>
      <c r="AS213" s="232">
        <f t="shared" si="102"/>
        <v>7</v>
      </c>
      <c r="AU213" s="232">
        <f t="shared" si="109"/>
        <v>0</v>
      </c>
      <c r="AV213" s="232">
        <f t="shared" si="110"/>
        <v>0</v>
      </c>
      <c r="AW213" s="236"/>
      <c r="AX213" s="236"/>
      <c r="AY213" s="232">
        <f t="shared" si="111"/>
        <v>0</v>
      </c>
    </row>
    <row r="214" spans="1:51" ht="12" hidden="1" customHeight="1" x14ac:dyDescent="0.2">
      <c r="A214" s="230"/>
      <c r="B214" s="327" t="str">
        <f t="shared" si="103"/>
        <v/>
      </c>
      <c r="C214" s="328"/>
      <c r="D214" s="328"/>
      <c r="E214" s="328" t="str">
        <f t="shared" si="112"/>
        <v/>
      </c>
      <c r="F214" s="328"/>
      <c r="G214" s="328"/>
      <c r="H214" s="328" t="str">
        <f t="shared" si="104"/>
        <v/>
      </c>
      <c r="I214" s="328"/>
      <c r="J214" s="328"/>
      <c r="K214" s="328"/>
      <c r="L214" s="328" t="str">
        <f t="shared" si="105"/>
        <v/>
      </c>
      <c r="M214" s="328"/>
      <c r="N214" s="328"/>
      <c r="O214" s="328" t="str">
        <f t="shared" si="106"/>
        <v/>
      </c>
      <c r="P214" s="328"/>
      <c r="Q214" s="328"/>
      <c r="R214" s="328" t="str">
        <f t="shared" si="107"/>
        <v/>
      </c>
      <c r="S214" s="328"/>
      <c r="T214" s="328" t="str">
        <f t="shared" si="108"/>
        <v/>
      </c>
      <c r="U214" s="329"/>
      <c r="V214" s="230"/>
      <c r="W214" s="5">
        <f t="shared" si="100"/>
        <v>0</v>
      </c>
      <c r="X214" s="5">
        <f t="shared" si="101"/>
        <v>0</v>
      </c>
      <c r="Z214" s="293">
        <f t="shared" si="113"/>
        <v>6</v>
      </c>
      <c r="AA214" s="232" t="str">
        <f>IF(AE214="","",VLOOKUP(CONCATENATE($Z214,AA$59),'Resultados - 7'!$A$10:$G$155,AA$58,FALSE))</f>
        <v/>
      </c>
      <c r="AE214" s="232" t="str">
        <f>VLOOKUP(CONCATENATE($Z214,AE$59),'Resultados - 7'!$A$10:$G$155,AE$58,FALSE)</f>
        <v/>
      </c>
      <c r="AF214" s="236"/>
      <c r="AG214" s="236"/>
      <c r="AH214" s="236"/>
      <c r="AI214" s="232" t="str">
        <f>VLOOKUP(CONCATENATE($Z214,AI$59),'Resultados - 7'!$A$10:$G$155,AI$58,FALSE)</f>
        <v/>
      </c>
      <c r="AJ214" s="236"/>
      <c r="AK214" s="236"/>
      <c r="AL214" s="232" t="str">
        <f>VLOOKUP(CONCATENATE($Z214,AL$59),'Resultados - 7'!$A$10:$G$155,AL$58,FALSE)</f>
        <v/>
      </c>
      <c r="AM214" s="236"/>
      <c r="AN214" s="236"/>
      <c r="AO214" s="232" t="str">
        <f>VLOOKUP(CONCATENATE($Z214,AO$59),'Resultados - 7'!$A$10:$G$155,AO$58,FALSE)</f>
        <v/>
      </c>
      <c r="AP214" s="236"/>
      <c r="AQ214" s="236"/>
      <c r="AR214" s="197" t="str">
        <f>VLOOKUP(CONCATENATE($Z214,AR$59),'Resultados - 7'!$A$10:$G$155,AR$58,FALSE)</f>
        <v/>
      </c>
      <c r="AS214" s="232">
        <f t="shared" si="102"/>
        <v>7</v>
      </c>
      <c r="AU214" s="232">
        <f t="shared" si="109"/>
        <v>0</v>
      </c>
      <c r="AV214" s="232">
        <f t="shared" si="110"/>
        <v>0</v>
      </c>
      <c r="AW214" s="236"/>
      <c r="AX214" s="236"/>
      <c r="AY214" s="232">
        <f t="shared" si="111"/>
        <v>0</v>
      </c>
    </row>
    <row r="215" spans="1:51" ht="12" hidden="1" customHeight="1" x14ac:dyDescent="0.2">
      <c r="A215" s="230"/>
      <c r="B215" s="327" t="str">
        <f t="shared" si="103"/>
        <v/>
      </c>
      <c r="C215" s="328"/>
      <c r="D215" s="328"/>
      <c r="E215" s="328" t="str">
        <f t="shared" si="112"/>
        <v/>
      </c>
      <c r="F215" s="328"/>
      <c r="G215" s="328"/>
      <c r="H215" s="328" t="str">
        <f t="shared" si="104"/>
        <v/>
      </c>
      <c r="I215" s="328"/>
      <c r="J215" s="328"/>
      <c r="K215" s="328"/>
      <c r="L215" s="328" t="str">
        <f t="shared" si="105"/>
        <v/>
      </c>
      <c r="M215" s="328"/>
      <c r="N215" s="328"/>
      <c r="O215" s="328" t="str">
        <f t="shared" si="106"/>
        <v/>
      </c>
      <c r="P215" s="328"/>
      <c r="Q215" s="328"/>
      <c r="R215" s="328" t="str">
        <f t="shared" si="107"/>
        <v/>
      </c>
      <c r="S215" s="328"/>
      <c r="T215" s="328" t="str">
        <f t="shared" si="108"/>
        <v/>
      </c>
      <c r="U215" s="329"/>
      <c r="V215" s="230"/>
      <c r="W215" s="5">
        <f t="shared" si="100"/>
        <v>0</v>
      </c>
      <c r="X215" s="5">
        <f t="shared" si="101"/>
        <v>0</v>
      </c>
      <c r="Z215" s="294">
        <f t="shared" si="113"/>
        <v>7</v>
      </c>
      <c r="AA215" s="232" t="str">
        <f>IF(AE215="","",VLOOKUP(CONCATENATE($Z215,AA$59),'Resultados - 7'!$A$10:$G$155,AA$58,FALSE))</f>
        <v/>
      </c>
      <c r="AB215" s="296"/>
      <c r="AC215" s="296"/>
      <c r="AD215" s="296"/>
      <c r="AE215" s="295" t="str">
        <f>VLOOKUP(CONCATENATE($Z215,AE$59),'Resultados - 7'!$A$10:$G$155,AE$58,FALSE)</f>
        <v/>
      </c>
      <c r="AF215" s="297"/>
      <c r="AG215" s="297"/>
      <c r="AH215" s="297"/>
      <c r="AI215" s="295" t="str">
        <f>VLOOKUP(CONCATENATE($Z215,AI$59),'Resultados - 7'!$A$10:$G$155,AI$58,FALSE)</f>
        <v/>
      </c>
      <c r="AJ215" s="297"/>
      <c r="AK215" s="297"/>
      <c r="AL215" s="295" t="str">
        <f>VLOOKUP(CONCATENATE($Z215,AL$59),'Resultados - 7'!$A$10:$G$155,AL$58,FALSE)</f>
        <v/>
      </c>
      <c r="AM215" s="297"/>
      <c r="AN215" s="297"/>
      <c r="AO215" s="295" t="str">
        <f>VLOOKUP(CONCATENATE($Z215,AO$59),'Resultados - 7'!$A$10:$G$155,AO$58,FALSE)</f>
        <v/>
      </c>
      <c r="AP215" s="297"/>
      <c r="AQ215" s="297"/>
      <c r="AR215" s="298" t="str">
        <f>VLOOKUP(CONCATENATE($Z215,AR$59),'Resultados - 7'!$A$10:$G$155,AR$58,FALSE)</f>
        <v/>
      </c>
      <c r="AS215" s="232">
        <f t="shared" si="102"/>
        <v>7</v>
      </c>
      <c r="AU215" s="232">
        <f t="shared" si="109"/>
        <v>0</v>
      </c>
      <c r="AV215" s="232">
        <f t="shared" si="110"/>
        <v>0</v>
      </c>
      <c r="AW215" s="236"/>
      <c r="AX215" s="236"/>
      <c r="AY215" s="232">
        <f t="shared" si="111"/>
        <v>0</v>
      </c>
    </row>
    <row r="216" spans="1:51" ht="12" hidden="1" customHeight="1" x14ac:dyDescent="0.2">
      <c r="A216" s="230"/>
      <c r="B216" s="338" t="str">
        <f>IF(Dados!$Z$9=3,IF(Z216=0,"",CONCATENATE(Z216," - Faixa de medição : (",AB216,AD216,AE216,") ",AG216)),IF(Z216=0,"",Z216))</f>
        <v/>
      </c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230"/>
      <c r="W216" s="5">
        <f>IF(X216=0,0,IF(W217=0,0,1))</f>
        <v>0</v>
      </c>
      <c r="X216" s="5">
        <f t="shared" si="101"/>
        <v>0</v>
      </c>
      <c r="Z216" s="289">
        <f>'Resultados - 8'!$G$4</f>
        <v>0</v>
      </c>
      <c r="AA216" s="290"/>
      <c r="AB216" s="290">
        <f>'Resultados - 8'!$N$4</f>
        <v>0</v>
      </c>
      <c r="AC216" s="290"/>
      <c r="AD216" s="290" t="str">
        <f>'Resultados - 8'!$P$4</f>
        <v>~</v>
      </c>
      <c r="AE216" s="290">
        <f>'Resultados - 8'!$Q$4</f>
        <v>0</v>
      </c>
      <c r="AF216" s="290"/>
      <c r="AG216" s="290" t="str">
        <f>'Resultados - 8'!$G$12</f>
        <v>µL</v>
      </c>
      <c r="AH216" s="291"/>
      <c r="AI216" s="290"/>
      <c r="AJ216" s="291"/>
      <c r="AK216" s="291"/>
      <c r="AL216" s="290"/>
      <c r="AM216" s="291"/>
      <c r="AN216" s="291"/>
      <c r="AO216" s="290"/>
      <c r="AP216" s="291"/>
      <c r="AQ216" s="291"/>
      <c r="AR216" s="292"/>
      <c r="AS216" s="232">
        <f>AS215+1</f>
        <v>8</v>
      </c>
    </row>
    <row r="217" spans="1:51" ht="12" hidden="1" customHeight="1" x14ac:dyDescent="0.2">
      <c r="A217" s="230"/>
      <c r="B217" s="327" t="str">
        <f>AA217</f>
        <v/>
      </c>
      <c r="C217" s="328"/>
      <c r="D217" s="328"/>
      <c r="E217" s="328" t="str">
        <f>IF(B217="","",AG216)</f>
        <v/>
      </c>
      <c r="F217" s="328"/>
      <c r="G217" s="328"/>
      <c r="H217" s="328" t="str">
        <f>AE217</f>
        <v/>
      </c>
      <c r="I217" s="328"/>
      <c r="J217" s="328"/>
      <c r="K217" s="328"/>
      <c r="L217" s="328" t="str">
        <f>AI217</f>
        <v/>
      </c>
      <c r="M217" s="328"/>
      <c r="N217" s="328"/>
      <c r="O217" s="328" t="str">
        <f>AL217</f>
        <v/>
      </c>
      <c r="P217" s="328"/>
      <c r="Q217" s="328"/>
      <c r="R217" s="328" t="str">
        <f>AO217</f>
        <v/>
      </c>
      <c r="S217" s="328"/>
      <c r="T217" s="328" t="str">
        <f>AR217</f>
        <v/>
      </c>
      <c r="U217" s="329"/>
      <c r="V217" s="230"/>
      <c r="W217" s="5">
        <f t="shared" si="100"/>
        <v>0</v>
      </c>
      <c r="X217" s="5">
        <f t="shared" si="101"/>
        <v>0</v>
      </c>
      <c r="Z217" s="293">
        <v>1</v>
      </c>
      <c r="AA217" s="232" t="str">
        <f>IF(AE217="","",VLOOKUP(CONCATENATE($Z217,AA$59),'Resultados - 8'!$A$10:$G$155,AA$58,FALSE))</f>
        <v/>
      </c>
      <c r="AE217" s="232" t="str">
        <f>VLOOKUP(CONCATENATE($Z217,AE$59),'Resultados - 8'!$A$10:$G$155,AE$58,FALSE)</f>
        <v/>
      </c>
      <c r="AF217" s="236"/>
      <c r="AG217" s="236"/>
      <c r="AH217" s="236"/>
      <c r="AI217" s="232" t="str">
        <f>VLOOKUP(CONCATENATE($Z217,AI$59),'Resultados - 8'!$A$10:$G$155,AI$58,FALSE)</f>
        <v/>
      </c>
      <c r="AJ217" s="236"/>
      <c r="AK217" s="236"/>
      <c r="AL217" s="232" t="str">
        <f>VLOOKUP(CONCATENATE($Z217,AL$59),'Resultados - 8'!$A$10:$G$155,AL$58,FALSE)</f>
        <v/>
      </c>
      <c r="AM217" s="236"/>
      <c r="AN217" s="236"/>
      <c r="AO217" s="232" t="str">
        <f>VLOOKUP(CONCATENATE($Z217,AO$59),'Resultados - 8'!$A$10:$G$155,AO$58,FALSE)</f>
        <v/>
      </c>
      <c r="AP217" s="236"/>
      <c r="AQ217" s="236"/>
      <c r="AR217" s="197" t="str">
        <f>VLOOKUP(CONCATENATE($Z217,AR$59),'Resultados - 8'!$A$10:$G$155,AR$58,FALSE)</f>
        <v/>
      </c>
      <c r="AS217" s="232">
        <f t="shared" ref="AS217:AS223" si="114">AS216</f>
        <v>8</v>
      </c>
      <c r="AU217" s="232">
        <f t="shared" ref="AU217:AU255" si="115">ABS(AV217)</f>
        <v>0</v>
      </c>
      <c r="AV217" s="232">
        <f>IF(AI217="",0,AI217*1)</f>
        <v>0</v>
      </c>
      <c r="AW217" s="236"/>
      <c r="AX217" s="236"/>
      <c r="AY217" s="232">
        <f>IF(AL217="",0,AL217*1)</f>
        <v>0</v>
      </c>
    </row>
    <row r="218" spans="1:51" ht="12" hidden="1" customHeight="1" x14ac:dyDescent="0.2">
      <c r="A218" s="230"/>
      <c r="B218" s="327" t="str">
        <f t="shared" ref="B218:B223" si="116">AA218</f>
        <v/>
      </c>
      <c r="C218" s="328"/>
      <c r="D218" s="328"/>
      <c r="E218" s="328" t="str">
        <f>IF(B218="","",E217)</f>
        <v/>
      </c>
      <c r="F218" s="328"/>
      <c r="G218" s="328"/>
      <c r="H218" s="328" t="str">
        <f t="shared" ref="H218:H223" si="117">AE218</f>
        <v/>
      </c>
      <c r="I218" s="328"/>
      <c r="J218" s="328"/>
      <c r="K218" s="328"/>
      <c r="L218" s="328" t="str">
        <f t="shared" ref="L218:L223" si="118">AI218</f>
        <v/>
      </c>
      <c r="M218" s="328"/>
      <c r="N218" s="328"/>
      <c r="O218" s="328" t="str">
        <f t="shared" ref="O218:O223" si="119">AL218</f>
        <v/>
      </c>
      <c r="P218" s="328"/>
      <c r="Q218" s="328"/>
      <c r="R218" s="328" t="str">
        <f t="shared" ref="R218:R223" si="120">AO218</f>
        <v/>
      </c>
      <c r="S218" s="328"/>
      <c r="T218" s="328" t="str">
        <f t="shared" ref="T218:T223" si="121">AR218</f>
        <v/>
      </c>
      <c r="U218" s="329"/>
      <c r="V218" s="230"/>
      <c r="W218" s="5">
        <f t="shared" si="100"/>
        <v>0</v>
      </c>
      <c r="X218" s="5">
        <f t="shared" si="101"/>
        <v>0</v>
      </c>
      <c r="Z218" s="293">
        <f>Z217+1</f>
        <v>2</v>
      </c>
      <c r="AA218" s="232" t="str">
        <f>IF(AE218="","",VLOOKUP(CONCATENATE($Z218,AA$59),'Resultados - 8'!$A$10:$G$155,AA$58,FALSE))</f>
        <v/>
      </c>
      <c r="AE218" s="232" t="str">
        <f>VLOOKUP(CONCATENATE($Z218,AE$59),'Resultados - 8'!$A$10:$G$155,AE$58,FALSE)</f>
        <v/>
      </c>
      <c r="AF218" s="236"/>
      <c r="AG218" s="236"/>
      <c r="AH218" s="236"/>
      <c r="AI218" s="232" t="str">
        <f>VLOOKUP(CONCATENATE($Z218,AI$59),'Resultados - 8'!$A$10:$G$155,AI$58,FALSE)</f>
        <v/>
      </c>
      <c r="AJ218" s="236"/>
      <c r="AK218" s="236"/>
      <c r="AL218" s="232" t="str">
        <f>VLOOKUP(CONCATENATE($Z218,AL$59),'Resultados - 8'!$A$10:$G$155,AL$58,FALSE)</f>
        <v/>
      </c>
      <c r="AM218" s="236"/>
      <c r="AN218" s="236"/>
      <c r="AO218" s="232" t="str">
        <f>VLOOKUP(CONCATENATE($Z218,AO$59),'Resultados - 8'!$A$10:$G$155,AO$58,FALSE)</f>
        <v/>
      </c>
      <c r="AP218" s="236"/>
      <c r="AQ218" s="236"/>
      <c r="AR218" s="197" t="str">
        <f>VLOOKUP(CONCATENATE($Z218,AR$59),'Resultados - 8'!$A$10:$G$155,AR$58,FALSE)</f>
        <v/>
      </c>
      <c r="AS218" s="232">
        <f t="shared" si="114"/>
        <v>8</v>
      </c>
      <c r="AU218" s="232">
        <f t="shared" si="115"/>
        <v>0</v>
      </c>
      <c r="AV218" s="232">
        <f t="shared" ref="AV218:AV223" si="122">IF(AI218="",0,AI218*1)</f>
        <v>0</v>
      </c>
      <c r="AW218" s="236"/>
      <c r="AX218" s="236"/>
      <c r="AY218" s="232">
        <f t="shared" ref="AY218:AY223" si="123">IF(AL218="",0,AL218*1)</f>
        <v>0</v>
      </c>
    </row>
    <row r="219" spans="1:51" ht="12" hidden="1" customHeight="1" x14ac:dyDescent="0.2">
      <c r="A219" s="230"/>
      <c r="B219" s="327" t="str">
        <f t="shared" si="116"/>
        <v/>
      </c>
      <c r="C219" s="328"/>
      <c r="D219" s="328"/>
      <c r="E219" s="328" t="str">
        <f t="shared" ref="E219:E223" si="124">IF(B219="","",E218)</f>
        <v/>
      </c>
      <c r="F219" s="328"/>
      <c r="G219" s="328"/>
      <c r="H219" s="328" t="str">
        <f t="shared" si="117"/>
        <v/>
      </c>
      <c r="I219" s="328"/>
      <c r="J219" s="328"/>
      <c r="K219" s="328"/>
      <c r="L219" s="328" t="str">
        <f t="shared" si="118"/>
        <v/>
      </c>
      <c r="M219" s="328"/>
      <c r="N219" s="328"/>
      <c r="O219" s="328" t="str">
        <f t="shared" si="119"/>
        <v/>
      </c>
      <c r="P219" s="328"/>
      <c r="Q219" s="328"/>
      <c r="R219" s="328" t="str">
        <f t="shared" si="120"/>
        <v/>
      </c>
      <c r="S219" s="328"/>
      <c r="T219" s="328" t="str">
        <f t="shared" si="121"/>
        <v/>
      </c>
      <c r="U219" s="329"/>
      <c r="V219" s="230"/>
      <c r="W219" s="5">
        <f t="shared" si="100"/>
        <v>0</v>
      </c>
      <c r="X219" s="5">
        <f t="shared" si="101"/>
        <v>0</v>
      </c>
      <c r="Z219" s="293">
        <f t="shared" ref="Z219:Z223" si="125">Z218+1</f>
        <v>3</v>
      </c>
      <c r="AA219" s="232" t="str">
        <f>IF(AE219="","",VLOOKUP(CONCATENATE($Z219,AA$59),'Resultados - 8'!$A$10:$G$155,AA$58,FALSE))</f>
        <v/>
      </c>
      <c r="AE219" s="232" t="str">
        <f>VLOOKUP(CONCATENATE($Z219,AE$59),'Resultados - 8'!$A$10:$G$155,AE$58,FALSE)</f>
        <v/>
      </c>
      <c r="AF219" s="236"/>
      <c r="AG219" s="236"/>
      <c r="AH219" s="236"/>
      <c r="AI219" s="232" t="str">
        <f>VLOOKUP(CONCATENATE($Z219,AI$59),'Resultados - 8'!$A$10:$G$155,AI$58,FALSE)</f>
        <v/>
      </c>
      <c r="AJ219" s="236"/>
      <c r="AK219" s="236"/>
      <c r="AL219" s="232" t="str">
        <f>VLOOKUP(CONCATENATE($Z219,AL$59),'Resultados - 8'!$A$10:$G$155,AL$58,FALSE)</f>
        <v/>
      </c>
      <c r="AM219" s="236"/>
      <c r="AN219" s="236"/>
      <c r="AO219" s="232" t="str">
        <f>VLOOKUP(CONCATENATE($Z219,AO$59),'Resultados - 8'!$A$10:$G$155,AO$58,FALSE)</f>
        <v/>
      </c>
      <c r="AP219" s="236"/>
      <c r="AQ219" s="236"/>
      <c r="AR219" s="197" t="str">
        <f>VLOOKUP(CONCATENATE($Z219,AR$59),'Resultados - 8'!$A$10:$G$155,AR$58,FALSE)</f>
        <v/>
      </c>
      <c r="AS219" s="232">
        <f t="shared" si="114"/>
        <v>8</v>
      </c>
      <c r="AU219" s="232">
        <f t="shared" si="115"/>
        <v>0</v>
      </c>
      <c r="AV219" s="232">
        <f t="shared" si="122"/>
        <v>0</v>
      </c>
      <c r="AW219" s="236"/>
      <c r="AX219" s="236"/>
      <c r="AY219" s="232">
        <f t="shared" si="123"/>
        <v>0</v>
      </c>
    </row>
    <row r="220" spans="1:51" ht="12" hidden="1" customHeight="1" x14ac:dyDescent="0.2">
      <c r="A220" s="230"/>
      <c r="B220" s="327" t="str">
        <f t="shared" si="116"/>
        <v/>
      </c>
      <c r="C220" s="328"/>
      <c r="D220" s="328"/>
      <c r="E220" s="328" t="str">
        <f t="shared" si="124"/>
        <v/>
      </c>
      <c r="F220" s="328"/>
      <c r="G220" s="328"/>
      <c r="H220" s="328" t="str">
        <f t="shared" si="117"/>
        <v/>
      </c>
      <c r="I220" s="328"/>
      <c r="J220" s="328"/>
      <c r="K220" s="328"/>
      <c r="L220" s="328" t="str">
        <f t="shared" si="118"/>
        <v/>
      </c>
      <c r="M220" s="328"/>
      <c r="N220" s="328"/>
      <c r="O220" s="328" t="str">
        <f t="shared" si="119"/>
        <v/>
      </c>
      <c r="P220" s="328"/>
      <c r="Q220" s="328"/>
      <c r="R220" s="328" t="str">
        <f t="shared" si="120"/>
        <v/>
      </c>
      <c r="S220" s="328"/>
      <c r="T220" s="328" t="str">
        <f t="shared" si="121"/>
        <v/>
      </c>
      <c r="U220" s="329"/>
      <c r="V220" s="230"/>
      <c r="W220" s="5">
        <f t="shared" si="100"/>
        <v>0</v>
      </c>
      <c r="X220" s="5">
        <f t="shared" si="101"/>
        <v>0</v>
      </c>
      <c r="Z220" s="293">
        <f t="shared" si="125"/>
        <v>4</v>
      </c>
      <c r="AA220" s="232" t="str">
        <f>IF(AE220="","",VLOOKUP(CONCATENATE($Z220,AA$59),'Resultados - 8'!$A$10:$G$155,AA$58,FALSE))</f>
        <v/>
      </c>
      <c r="AE220" s="232" t="str">
        <f>VLOOKUP(CONCATENATE($Z220,AE$59),'Resultados - 8'!$A$10:$G$155,AE$58,FALSE)</f>
        <v/>
      </c>
      <c r="AF220" s="236"/>
      <c r="AG220" s="236"/>
      <c r="AH220" s="236"/>
      <c r="AI220" s="232" t="str">
        <f>VLOOKUP(CONCATENATE($Z220,AI$59),'Resultados - 8'!$A$10:$G$155,AI$58,FALSE)</f>
        <v/>
      </c>
      <c r="AJ220" s="236"/>
      <c r="AK220" s="236"/>
      <c r="AL220" s="232" t="str">
        <f>VLOOKUP(CONCATENATE($Z220,AL$59),'Resultados - 8'!$A$10:$G$155,AL$58,FALSE)</f>
        <v/>
      </c>
      <c r="AM220" s="236"/>
      <c r="AN220" s="236"/>
      <c r="AO220" s="232" t="str">
        <f>VLOOKUP(CONCATENATE($Z220,AO$59),'Resultados - 8'!$A$10:$G$155,AO$58,FALSE)</f>
        <v/>
      </c>
      <c r="AP220" s="236"/>
      <c r="AQ220" s="236"/>
      <c r="AR220" s="197" t="str">
        <f>VLOOKUP(CONCATENATE($Z220,AR$59),'Resultados - 8'!$A$10:$G$155,AR$58,FALSE)</f>
        <v/>
      </c>
      <c r="AS220" s="232">
        <f t="shared" si="114"/>
        <v>8</v>
      </c>
      <c r="AU220" s="232">
        <f t="shared" si="115"/>
        <v>0</v>
      </c>
      <c r="AV220" s="232">
        <f t="shared" si="122"/>
        <v>0</v>
      </c>
      <c r="AW220" s="236"/>
      <c r="AX220" s="236"/>
      <c r="AY220" s="232">
        <f t="shared" si="123"/>
        <v>0</v>
      </c>
    </row>
    <row r="221" spans="1:51" ht="12" hidden="1" customHeight="1" x14ac:dyDescent="0.2">
      <c r="A221" s="230"/>
      <c r="B221" s="327" t="str">
        <f t="shared" si="116"/>
        <v/>
      </c>
      <c r="C221" s="328"/>
      <c r="D221" s="328"/>
      <c r="E221" s="328" t="str">
        <f t="shared" si="124"/>
        <v/>
      </c>
      <c r="F221" s="328"/>
      <c r="G221" s="328"/>
      <c r="H221" s="328" t="str">
        <f t="shared" si="117"/>
        <v/>
      </c>
      <c r="I221" s="328"/>
      <c r="J221" s="328"/>
      <c r="K221" s="328"/>
      <c r="L221" s="328" t="str">
        <f t="shared" si="118"/>
        <v/>
      </c>
      <c r="M221" s="328"/>
      <c r="N221" s="328"/>
      <c r="O221" s="328" t="str">
        <f t="shared" si="119"/>
        <v/>
      </c>
      <c r="P221" s="328"/>
      <c r="Q221" s="328"/>
      <c r="R221" s="328" t="str">
        <f t="shared" si="120"/>
        <v/>
      </c>
      <c r="S221" s="328"/>
      <c r="T221" s="328" t="str">
        <f t="shared" si="121"/>
        <v/>
      </c>
      <c r="U221" s="329"/>
      <c r="V221" s="230"/>
      <c r="W221" s="5">
        <f t="shared" si="100"/>
        <v>0</v>
      </c>
      <c r="X221" s="5">
        <f t="shared" si="101"/>
        <v>0</v>
      </c>
      <c r="Z221" s="293">
        <f t="shared" si="125"/>
        <v>5</v>
      </c>
      <c r="AA221" s="232" t="str">
        <f>IF(AE221="","",VLOOKUP(CONCATENATE($Z221,AA$59),'Resultados - 8'!$A$10:$G$155,AA$58,FALSE))</f>
        <v/>
      </c>
      <c r="AE221" s="232" t="str">
        <f>VLOOKUP(CONCATENATE($Z221,AE$59),'Resultados - 8'!$A$10:$G$155,AE$58,FALSE)</f>
        <v/>
      </c>
      <c r="AF221" s="236"/>
      <c r="AG221" s="236"/>
      <c r="AH221" s="236"/>
      <c r="AI221" s="232" t="str">
        <f>VLOOKUP(CONCATENATE($Z221,AI$59),'Resultados - 8'!$A$10:$G$155,AI$58,FALSE)</f>
        <v/>
      </c>
      <c r="AJ221" s="236"/>
      <c r="AK221" s="236"/>
      <c r="AL221" s="232" t="str">
        <f>VLOOKUP(CONCATENATE($Z221,AL$59),'Resultados - 8'!$A$10:$G$155,AL$58,FALSE)</f>
        <v/>
      </c>
      <c r="AM221" s="236"/>
      <c r="AN221" s="236"/>
      <c r="AO221" s="232" t="str">
        <f>VLOOKUP(CONCATENATE($Z221,AO$59),'Resultados - 8'!$A$10:$G$155,AO$58,FALSE)</f>
        <v/>
      </c>
      <c r="AP221" s="236"/>
      <c r="AQ221" s="236"/>
      <c r="AR221" s="197" t="str">
        <f>VLOOKUP(CONCATENATE($Z221,AR$59),'Resultados - 8'!$A$10:$G$155,AR$58,FALSE)</f>
        <v/>
      </c>
      <c r="AS221" s="232">
        <f t="shared" si="114"/>
        <v>8</v>
      </c>
      <c r="AU221" s="232">
        <f t="shared" si="115"/>
        <v>0</v>
      </c>
      <c r="AV221" s="232">
        <f t="shared" si="122"/>
        <v>0</v>
      </c>
      <c r="AW221" s="236"/>
      <c r="AX221" s="236"/>
      <c r="AY221" s="232">
        <f t="shared" si="123"/>
        <v>0</v>
      </c>
    </row>
    <row r="222" spans="1:51" ht="12" hidden="1" customHeight="1" x14ac:dyDescent="0.2">
      <c r="A222" s="230"/>
      <c r="B222" s="327" t="str">
        <f t="shared" si="116"/>
        <v/>
      </c>
      <c r="C222" s="328"/>
      <c r="D222" s="328"/>
      <c r="E222" s="328" t="str">
        <f t="shared" si="124"/>
        <v/>
      </c>
      <c r="F222" s="328"/>
      <c r="G222" s="328"/>
      <c r="H222" s="328" t="str">
        <f t="shared" si="117"/>
        <v/>
      </c>
      <c r="I222" s="328"/>
      <c r="J222" s="328"/>
      <c r="K222" s="328"/>
      <c r="L222" s="328" t="str">
        <f t="shared" si="118"/>
        <v/>
      </c>
      <c r="M222" s="328"/>
      <c r="N222" s="328"/>
      <c r="O222" s="328" t="str">
        <f t="shared" si="119"/>
        <v/>
      </c>
      <c r="P222" s="328"/>
      <c r="Q222" s="328"/>
      <c r="R222" s="328" t="str">
        <f t="shared" si="120"/>
        <v/>
      </c>
      <c r="S222" s="328"/>
      <c r="T222" s="328" t="str">
        <f t="shared" si="121"/>
        <v/>
      </c>
      <c r="U222" s="329"/>
      <c r="V222" s="230"/>
      <c r="W222" s="5">
        <f t="shared" si="100"/>
        <v>0</v>
      </c>
      <c r="X222" s="5">
        <f t="shared" si="101"/>
        <v>0</v>
      </c>
      <c r="Z222" s="293">
        <f t="shared" si="125"/>
        <v>6</v>
      </c>
      <c r="AA222" s="232" t="str">
        <f>IF(AE222="","",VLOOKUP(CONCATENATE($Z222,AA$59),'Resultados - 8'!$A$10:$G$155,AA$58,FALSE))</f>
        <v/>
      </c>
      <c r="AE222" s="232" t="str">
        <f>VLOOKUP(CONCATENATE($Z222,AE$59),'Resultados - 8'!$A$10:$G$155,AE$58,FALSE)</f>
        <v/>
      </c>
      <c r="AF222" s="236"/>
      <c r="AG222" s="236"/>
      <c r="AH222" s="236"/>
      <c r="AI222" s="232" t="str">
        <f>VLOOKUP(CONCATENATE($Z222,AI$59),'Resultados - 8'!$A$10:$G$155,AI$58,FALSE)</f>
        <v/>
      </c>
      <c r="AJ222" s="236"/>
      <c r="AK222" s="236"/>
      <c r="AL222" s="232" t="str">
        <f>VLOOKUP(CONCATENATE($Z222,AL$59),'Resultados - 8'!$A$10:$G$155,AL$58,FALSE)</f>
        <v/>
      </c>
      <c r="AM222" s="236"/>
      <c r="AN222" s="236"/>
      <c r="AO222" s="232" t="str">
        <f>VLOOKUP(CONCATENATE($Z222,AO$59),'Resultados - 8'!$A$10:$G$155,AO$58,FALSE)</f>
        <v/>
      </c>
      <c r="AP222" s="236"/>
      <c r="AQ222" s="236"/>
      <c r="AR222" s="197" t="str">
        <f>VLOOKUP(CONCATENATE($Z222,AR$59),'Resultados - 8'!$A$10:$G$155,AR$58,FALSE)</f>
        <v/>
      </c>
      <c r="AS222" s="232">
        <f t="shared" si="114"/>
        <v>8</v>
      </c>
      <c r="AU222" s="232">
        <f t="shared" si="115"/>
        <v>0</v>
      </c>
      <c r="AV222" s="232">
        <f t="shared" si="122"/>
        <v>0</v>
      </c>
      <c r="AW222" s="236"/>
      <c r="AX222" s="236"/>
      <c r="AY222" s="232">
        <f t="shared" si="123"/>
        <v>0</v>
      </c>
    </row>
    <row r="223" spans="1:51" ht="12" hidden="1" customHeight="1" x14ac:dyDescent="0.2">
      <c r="A223" s="230"/>
      <c r="B223" s="327" t="str">
        <f t="shared" si="116"/>
        <v/>
      </c>
      <c r="C223" s="328"/>
      <c r="D223" s="328"/>
      <c r="E223" s="328" t="str">
        <f t="shared" si="124"/>
        <v/>
      </c>
      <c r="F223" s="328"/>
      <c r="G223" s="328"/>
      <c r="H223" s="328" t="str">
        <f t="shared" si="117"/>
        <v/>
      </c>
      <c r="I223" s="328"/>
      <c r="J223" s="328"/>
      <c r="K223" s="328"/>
      <c r="L223" s="328" t="str">
        <f t="shared" si="118"/>
        <v/>
      </c>
      <c r="M223" s="328"/>
      <c r="N223" s="328"/>
      <c r="O223" s="328" t="str">
        <f t="shared" si="119"/>
        <v/>
      </c>
      <c r="P223" s="328"/>
      <c r="Q223" s="328"/>
      <c r="R223" s="328" t="str">
        <f t="shared" si="120"/>
        <v/>
      </c>
      <c r="S223" s="328"/>
      <c r="T223" s="328" t="str">
        <f t="shared" si="121"/>
        <v/>
      </c>
      <c r="U223" s="329"/>
      <c r="V223" s="230"/>
      <c r="W223" s="5">
        <f t="shared" si="100"/>
        <v>0</v>
      </c>
      <c r="X223" s="5">
        <f t="shared" si="101"/>
        <v>0</v>
      </c>
      <c r="Z223" s="294">
        <f t="shared" si="125"/>
        <v>7</v>
      </c>
      <c r="AA223" s="232" t="str">
        <f>IF(AE223="","",VLOOKUP(CONCATENATE($Z223,AA$59),'Resultados - 8'!$A$10:$G$155,AA$58,FALSE))</f>
        <v/>
      </c>
      <c r="AB223" s="296"/>
      <c r="AC223" s="296"/>
      <c r="AD223" s="296"/>
      <c r="AE223" s="295" t="str">
        <f>VLOOKUP(CONCATENATE($Z223,AE$59),'Resultados - 8'!$A$10:$G$155,AE$58,FALSE)</f>
        <v/>
      </c>
      <c r="AF223" s="297"/>
      <c r="AG223" s="297"/>
      <c r="AH223" s="297"/>
      <c r="AI223" s="295" t="str">
        <f>VLOOKUP(CONCATENATE($Z223,AI$59),'Resultados - 8'!$A$10:$G$155,AI$58,FALSE)</f>
        <v/>
      </c>
      <c r="AJ223" s="297"/>
      <c r="AK223" s="297"/>
      <c r="AL223" s="295" t="str">
        <f>VLOOKUP(CONCATENATE($Z223,AL$59),'Resultados - 8'!$A$10:$G$155,AL$58,FALSE)</f>
        <v/>
      </c>
      <c r="AM223" s="297"/>
      <c r="AN223" s="297"/>
      <c r="AO223" s="295" t="str">
        <f>VLOOKUP(CONCATENATE($Z223,AO$59),'Resultados - 8'!$A$10:$G$155,AO$58,FALSE)</f>
        <v/>
      </c>
      <c r="AP223" s="297"/>
      <c r="AQ223" s="297"/>
      <c r="AR223" s="298" t="str">
        <f>VLOOKUP(CONCATENATE($Z223,AR$59),'Resultados - 8'!$A$10:$G$155,AR$58,FALSE)</f>
        <v/>
      </c>
      <c r="AS223" s="232">
        <f t="shared" si="114"/>
        <v>8</v>
      </c>
      <c r="AU223" s="232">
        <f t="shared" si="115"/>
        <v>0</v>
      </c>
      <c r="AV223" s="232">
        <f t="shared" si="122"/>
        <v>0</v>
      </c>
      <c r="AW223" s="236"/>
      <c r="AX223" s="236"/>
      <c r="AY223" s="232">
        <f t="shared" si="123"/>
        <v>0</v>
      </c>
    </row>
    <row r="224" spans="1:51" ht="12" hidden="1" customHeight="1" x14ac:dyDescent="0.2">
      <c r="A224" s="230"/>
      <c r="B224" s="338" t="str">
        <f>IF(Dados!$Z$9=3,IF(Z224=0,"",CONCATENATE(Z224," - Faixa de medição : (",AB224,AD224,AE224,") ",AG224)),IF(Z224=0,"",Z224))</f>
        <v/>
      </c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230"/>
      <c r="W224" s="5">
        <f t="shared" ref="W224" si="126">IF(X224=0,0,IF(W225=0,0,1))</f>
        <v>0</v>
      </c>
      <c r="X224" s="5">
        <f t="shared" si="101"/>
        <v>0</v>
      </c>
      <c r="Z224" s="289">
        <f>'Resultados - 9'!$G$4</f>
        <v>0</v>
      </c>
      <c r="AA224" s="290"/>
      <c r="AB224" s="290">
        <f>'Resultados - 9'!$N$4</f>
        <v>0</v>
      </c>
      <c r="AC224" s="290"/>
      <c r="AD224" s="290" t="str">
        <f>'Resultados - 9'!$P$4</f>
        <v>~</v>
      </c>
      <c r="AE224" s="290">
        <f>'Resultados - 9'!$Q$4</f>
        <v>0</v>
      </c>
      <c r="AF224" s="290"/>
      <c r="AG224" s="290" t="str">
        <f>'Resultados - 9'!$G$12</f>
        <v>µL</v>
      </c>
      <c r="AH224" s="291"/>
      <c r="AI224" s="290"/>
      <c r="AJ224" s="291"/>
      <c r="AK224" s="291"/>
      <c r="AL224" s="290"/>
      <c r="AM224" s="291"/>
      <c r="AN224" s="291"/>
      <c r="AO224" s="290"/>
      <c r="AP224" s="291"/>
      <c r="AQ224" s="291"/>
      <c r="AR224" s="292"/>
      <c r="AS224" s="232">
        <f>AS223+1</f>
        <v>9</v>
      </c>
    </row>
    <row r="225" spans="1:51" ht="12" hidden="1" customHeight="1" x14ac:dyDescent="0.2">
      <c r="A225" s="230"/>
      <c r="B225" s="327" t="str">
        <f>AA225</f>
        <v/>
      </c>
      <c r="C225" s="328"/>
      <c r="D225" s="328"/>
      <c r="E225" s="328" t="str">
        <f>IF(B225="","",AG224)</f>
        <v/>
      </c>
      <c r="F225" s="328"/>
      <c r="G225" s="328"/>
      <c r="H225" s="328" t="str">
        <f>AE225</f>
        <v/>
      </c>
      <c r="I225" s="328"/>
      <c r="J225" s="328"/>
      <c r="K225" s="328"/>
      <c r="L225" s="328" t="str">
        <f>AI225</f>
        <v/>
      </c>
      <c r="M225" s="328"/>
      <c r="N225" s="328"/>
      <c r="O225" s="328" t="str">
        <f>AL225</f>
        <v/>
      </c>
      <c r="P225" s="328"/>
      <c r="Q225" s="328"/>
      <c r="R225" s="328" t="str">
        <f>AO225</f>
        <v/>
      </c>
      <c r="S225" s="328"/>
      <c r="T225" s="328" t="str">
        <f>AR225</f>
        <v/>
      </c>
      <c r="U225" s="329"/>
      <c r="V225" s="230"/>
      <c r="W225" s="5">
        <f t="shared" si="100"/>
        <v>0</v>
      </c>
      <c r="X225" s="5">
        <f t="shared" si="101"/>
        <v>0</v>
      </c>
      <c r="Z225" s="293">
        <v>1</v>
      </c>
      <c r="AA225" s="232" t="str">
        <f>IF(AE225="","",VLOOKUP(CONCATENATE($Z225,AA$59),'Resultados - 9'!$A$10:$G$155,AA$58,FALSE))</f>
        <v/>
      </c>
      <c r="AE225" s="232" t="str">
        <f>VLOOKUP(CONCATENATE($Z225,AE$59),'Resultados - 9'!$A$10:$G$155,AE$58,FALSE)</f>
        <v/>
      </c>
      <c r="AF225" s="236"/>
      <c r="AG225" s="236"/>
      <c r="AH225" s="236"/>
      <c r="AI225" s="232" t="str">
        <f>VLOOKUP(CONCATENATE($Z225,AI$59),'Resultados - 9'!$A$10:$G$155,AI$58,FALSE)</f>
        <v/>
      </c>
      <c r="AJ225" s="236"/>
      <c r="AK225" s="236"/>
      <c r="AL225" s="232" t="str">
        <f>VLOOKUP(CONCATENATE($Z225,AL$59),'Resultados - 9'!$A$10:$G$155,AL$58,FALSE)</f>
        <v/>
      </c>
      <c r="AM225" s="236"/>
      <c r="AN225" s="236"/>
      <c r="AO225" s="232" t="str">
        <f>VLOOKUP(CONCATENATE($Z225,AO$59),'Resultados - 9'!$A$10:$G$155,AO$58,FALSE)</f>
        <v/>
      </c>
      <c r="AP225" s="236"/>
      <c r="AQ225" s="236"/>
      <c r="AR225" s="197" t="str">
        <f>VLOOKUP(CONCATENATE($Z225,AR$59),'Resultados - 9'!$A$10:$G$155,AR$58,FALSE)</f>
        <v/>
      </c>
      <c r="AS225" s="232">
        <f t="shared" ref="AS225:AS231" si="127">AS224</f>
        <v>9</v>
      </c>
      <c r="AU225" s="232">
        <f t="shared" ref="AU225" si="128">ABS(AV225)</f>
        <v>0</v>
      </c>
      <c r="AV225" s="232">
        <f>IF(AI225="",0,AI225*1)</f>
        <v>0</v>
      </c>
      <c r="AW225" s="236"/>
      <c r="AX225" s="236"/>
      <c r="AY225" s="232">
        <f>IF(AL225="",0,AL225*1)</f>
        <v>0</v>
      </c>
    </row>
    <row r="226" spans="1:51" ht="12" hidden="1" customHeight="1" x14ac:dyDescent="0.2">
      <c r="A226" s="230"/>
      <c r="B226" s="327" t="str">
        <f t="shared" ref="B226:B231" si="129">AA226</f>
        <v/>
      </c>
      <c r="C226" s="328"/>
      <c r="D226" s="328"/>
      <c r="E226" s="328" t="str">
        <f>IF(B226="","",E225)</f>
        <v/>
      </c>
      <c r="F226" s="328"/>
      <c r="G226" s="328"/>
      <c r="H226" s="328" t="str">
        <f t="shared" ref="H226:H231" si="130">AE226</f>
        <v/>
      </c>
      <c r="I226" s="328"/>
      <c r="J226" s="328"/>
      <c r="K226" s="328"/>
      <c r="L226" s="328" t="str">
        <f t="shared" ref="L226:L231" si="131">AI226</f>
        <v/>
      </c>
      <c r="M226" s="328"/>
      <c r="N226" s="328"/>
      <c r="O226" s="328" t="str">
        <f t="shared" ref="O226:O231" si="132">AL226</f>
        <v/>
      </c>
      <c r="P226" s="328"/>
      <c r="Q226" s="328"/>
      <c r="R226" s="328" t="str">
        <f t="shared" ref="R226:R231" si="133">AO226</f>
        <v/>
      </c>
      <c r="S226" s="328"/>
      <c r="T226" s="328" t="str">
        <f t="shared" ref="T226:T231" si="134">AR226</f>
        <v/>
      </c>
      <c r="U226" s="329"/>
      <c r="V226" s="230"/>
      <c r="W226" s="5">
        <f t="shared" si="100"/>
        <v>0</v>
      </c>
      <c r="X226" s="5">
        <f t="shared" si="101"/>
        <v>0</v>
      </c>
      <c r="Z226" s="293">
        <f>Z225+1</f>
        <v>2</v>
      </c>
      <c r="AA226" s="232" t="str">
        <f>IF(AE226="","",VLOOKUP(CONCATENATE($Z226,AA$59),'Resultados - 9'!$A$10:$G$155,AA$58,FALSE))</f>
        <v/>
      </c>
      <c r="AE226" s="232" t="str">
        <f>VLOOKUP(CONCATENATE($Z226,AE$59),'Resultados - 9'!$A$10:$G$155,AE$58,FALSE)</f>
        <v/>
      </c>
      <c r="AF226" s="236"/>
      <c r="AG226" s="236"/>
      <c r="AH226" s="236"/>
      <c r="AI226" s="232" t="str">
        <f>VLOOKUP(CONCATENATE($Z226,AI$59),'Resultados - 9'!$A$10:$G$155,AI$58,FALSE)</f>
        <v/>
      </c>
      <c r="AJ226" s="236"/>
      <c r="AK226" s="236"/>
      <c r="AL226" s="232" t="str">
        <f>VLOOKUP(CONCATENATE($Z226,AL$59),'Resultados - 9'!$A$10:$G$155,AL$58,FALSE)</f>
        <v/>
      </c>
      <c r="AM226" s="236"/>
      <c r="AN226" s="236"/>
      <c r="AO226" s="232" t="str">
        <f>VLOOKUP(CONCATENATE($Z226,AO$59),'Resultados - 9'!$A$10:$G$155,AO$58,FALSE)</f>
        <v/>
      </c>
      <c r="AP226" s="236"/>
      <c r="AQ226" s="236"/>
      <c r="AR226" s="197" t="str">
        <f>VLOOKUP(CONCATENATE($Z226,AR$59),'Resultados - 9'!$A$10:$G$155,AR$58,FALSE)</f>
        <v/>
      </c>
      <c r="AS226" s="232">
        <f t="shared" si="127"/>
        <v>9</v>
      </c>
      <c r="AU226" s="232">
        <f t="shared" si="115"/>
        <v>0</v>
      </c>
      <c r="AV226" s="232">
        <f t="shared" ref="AV226:AV231" si="135">IF(AI226="",0,AI226*1)</f>
        <v>0</v>
      </c>
      <c r="AW226" s="236"/>
      <c r="AX226" s="236"/>
      <c r="AY226" s="232">
        <f t="shared" ref="AY226:AY231" si="136">IF(AL226="",0,AL226*1)</f>
        <v>0</v>
      </c>
    </row>
    <row r="227" spans="1:51" ht="12" hidden="1" customHeight="1" x14ac:dyDescent="0.2">
      <c r="A227" s="230"/>
      <c r="B227" s="327" t="str">
        <f t="shared" si="129"/>
        <v/>
      </c>
      <c r="C227" s="328"/>
      <c r="D227" s="328"/>
      <c r="E227" s="328" t="str">
        <f t="shared" ref="E227:E231" si="137">IF(B227="","",E226)</f>
        <v/>
      </c>
      <c r="F227" s="328"/>
      <c r="G227" s="328"/>
      <c r="H227" s="328" t="str">
        <f t="shared" si="130"/>
        <v/>
      </c>
      <c r="I227" s="328"/>
      <c r="J227" s="328"/>
      <c r="K227" s="328"/>
      <c r="L227" s="328" t="str">
        <f t="shared" si="131"/>
        <v/>
      </c>
      <c r="M227" s="328"/>
      <c r="N227" s="328"/>
      <c r="O227" s="328" t="str">
        <f t="shared" si="132"/>
        <v/>
      </c>
      <c r="P227" s="328"/>
      <c r="Q227" s="328"/>
      <c r="R227" s="328" t="str">
        <f t="shared" si="133"/>
        <v/>
      </c>
      <c r="S227" s="328"/>
      <c r="T227" s="328" t="str">
        <f t="shared" si="134"/>
        <v/>
      </c>
      <c r="U227" s="329"/>
      <c r="V227" s="230"/>
      <c r="W227" s="5">
        <f t="shared" si="100"/>
        <v>0</v>
      </c>
      <c r="X227" s="5">
        <f t="shared" si="101"/>
        <v>0</v>
      </c>
      <c r="Z227" s="293">
        <f t="shared" ref="Z227:Z231" si="138">Z226+1</f>
        <v>3</v>
      </c>
      <c r="AA227" s="232" t="str">
        <f>IF(AE227="","",VLOOKUP(CONCATENATE($Z227,AA$59),'Resultados - 9'!$A$10:$G$155,AA$58,FALSE))</f>
        <v/>
      </c>
      <c r="AE227" s="232" t="str">
        <f>VLOOKUP(CONCATENATE($Z227,AE$59),'Resultados - 9'!$A$10:$G$155,AE$58,FALSE)</f>
        <v/>
      </c>
      <c r="AF227" s="236"/>
      <c r="AG227" s="236"/>
      <c r="AH227" s="236"/>
      <c r="AI227" s="232" t="str">
        <f>VLOOKUP(CONCATENATE($Z227,AI$59),'Resultados - 9'!$A$10:$G$155,AI$58,FALSE)</f>
        <v/>
      </c>
      <c r="AJ227" s="236"/>
      <c r="AK227" s="236"/>
      <c r="AL227" s="232" t="str">
        <f>VLOOKUP(CONCATENATE($Z227,AL$59),'Resultados - 9'!$A$10:$G$155,AL$58,FALSE)</f>
        <v/>
      </c>
      <c r="AM227" s="236"/>
      <c r="AN227" s="236"/>
      <c r="AO227" s="232" t="str">
        <f>VLOOKUP(CONCATENATE($Z227,AO$59),'Resultados - 9'!$A$10:$G$155,AO$58,FALSE)</f>
        <v/>
      </c>
      <c r="AP227" s="236"/>
      <c r="AQ227" s="236"/>
      <c r="AR227" s="197" t="str">
        <f>VLOOKUP(CONCATENATE($Z227,AR$59),'Resultados - 9'!$A$10:$G$155,AR$58,FALSE)</f>
        <v/>
      </c>
      <c r="AS227" s="232">
        <f t="shared" si="127"/>
        <v>9</v>
      </c>
      <c r="AU227" s="232">
        <f t="shared" si="115"/>
        <v>0</v>
      </c>
      <c r="AV227" s="232">
        <f t="shared" si="135"/>
        <v>0</v>
      </c>
      <c r="AW227" s="236"/>
      <c r="AX227" s="236"/>
      <c r="AY227" s="232">
        <f t="shared" si="136"/>
        <v>0</v>
      </c>
    </row>
    <row r="228" spans="1:51" ht="12" hidden="1" customHeight="1" x14ac:dyDescent="0.2">
      <c r="A228" s="230"/>
      <c r="B228" s="327" t="str">
        <f t="shared" si="129"/>
        <v/>
      </c>
      <c r="C228" s="328"/>
      <c r="D228" s="328"/>
      <c r="E228" s="328" t="str">
        <f t="shared" si="137"/>
        <v/>
      </c>
      <c r="F228" s="328"/>
      <c r="G228" s="328"/>
      <c r="H228" s="328" t="str">
        <f t="shared" si="130"/>
        <v/>
      </c>
      <c r="I228" s="328"/>
      <c r="J228" s="328"/>
      <c r="K228" s="328"/>
      <c r="L228" s="328" t="str">
        <f t="shared" si="131"/>
        <v/>
      </c>
      <c r="M228" s="328"/>
      <c r="N228" s="328"/>
      <c r="O228" s="328" t="str">
        <f t="shared" si="132"/>
        <v/>
      </c>
      <c r="P228" s="328"/>
      <c r="Q228" s="328"/>
      <c r="R228" s="328" t="str">
        <f t="shared" si="133"/>
        <v/>
      </c>
      <c r="S228" s="328"/>
      <c r="T228" s="328" t="str">
        <f t="shared" si="134"/>
        <v/>
      </c>
      <c r="U228" s="329"/>
      <c r="V228" s="230"/>
      <c r="W228" s="5">
        <f t="shared" si="100"/>
        <v>0</v>
      </c>
      <c r="X228" s="5">
        <f t="shared" si="101"/>
        <v>0</v>
      </c>
      <c r="Z228" s="293">
        <f t="shared" si="138"/>
        <v>4</v>
      </c>
      <c r="AA228" s="232" t="str">
        <f>IF(AE228="","",VLOOKUP(CONCATENATE($Z228,AA$59),'Resultados - 9'!$A$10:$G$155,AA$58,FALSE))</f>
        <v/>
      </c>
      <c r="AE228" s="232" t="str">
        <f>VLOOKUP(CONCATENATE($Z228,AE$59),'Resultados - 9'!$A$10:$G$155,AE$58,FALSE)</f>
        <v/>
      </c>
      <c r="AF228" s="236"/>
      <c r="AG228" s="236"/>
      <c r="AH228" s="236"/>
      <c r="AI228" s="232" t="str">
        <f>VLOOKUP(CONCATENATE($Z228,AI$59),'Resultados - 9'!$A$10:$G$155,AI$58,FALSE)</f>
        <v/>
      </c>
      <c r="AJ228" s="236"/>
      <c r="AK228" s="236"/>
      <c r="AL228" s="232" t="str">
        <f>VLOOKUP(CONCATENATE($Z228,AL$59),'Resultados - 9'!$A$10:$G$155,AL$58,FALSE)</f>
        <v/>
      </c>
      <c r="AM228" s="236"/>
      <c r="AN228" s="236"/>
      <c r="AO228" s="232" t="str">
        <f>VLOOKUP(CONCATENATE($Z228,AO$59),'Resultados - 9'!$A$10:$G$155,AO$58,FALSE)</f>
        <v/>
      </c>
      <c r="AP228" s="236"/>
      <c r="AQ228" s="236"/>
      <c r="AR228" s="197" t="str">
        <f>VLOOKUP(CONCATENATE($Z228,AR$59),'Resultados - 9'!$A$10:$G$155,AR$58,FALSE)</f>
        <v/>
      </c>
      <c r="AS228" s="232">
        <f t="shared" si="127"/>
        <v>9</v>
      </c>
      <c r="AU228" s="232">
        <f t="shared" si="115"/>
        <v>0</v>
      </c>
      <c r="AV228" s="232">
        <f t="shared" si="135"/>
        <v>0</v>
      </c>
      <c r="AW228" s="236"/>
      <c r="AX228" s="236"/>
      <c r="AY228" s="232">
        <f t="shared" si="136"/>
        <v>0</v>
      </c>
    </row>
    <row r="229" spans="1:51" ht="12" hidden="1" customHeight="1" x14ac:dyDescent="0.2">
      <c r="A229" s="230"/>
      <c r="B229" s="327" t="str">
        <f t="shared" si="129"/>
        <v/>
      </c>
      <c r="C229" s="328"/>
      <c r="D229" s="328"/>
      <c r="E229" s="328" t="str">
        <f t="shared" si="137"/>
        <v/>
      </c>
      <c r="F229" s="328"/>
      <c r="G229" s="328"/>
      <c r="H229" s="328" t="str">
        <f t="shared" si="130"/>
        <v/>
      </c>
      <c r="I229" s="328"/>
      <c r="J229" s="328"/>
      <c r="K229" s="328"/>
      <c r="L229" s="328" t="str">
        <f t="shared" si="131"/>
        <v/>
      </c>
      <c r="M229" s="328"/>
      <c r="N229" s="328"/>
      <c r="O229" s="328" t="str">
        <f t="shared" si="132"/>
        <v/>
      </c>
      <c r="P229" s="328"/>
      <c r="Q229" s="328"/>
      <c r="R229" s="328" t="str">
        <f t="shared" si="133"/>
        <v/>
      </c>
      <c r="S229" s="328"/>
      <c r="T229" s="328" t="str">
        <f t="shared" si="134"/>
        <v/>
      </c>
      <c r="U229" s="329"/>
      <c r="V229" s="230"/>
      <c r="W229" s="5">
        <f t="shared" si="100"/>
        <v>0</v>
      </c>
      <c r="X229" s="5">
        <f t="shared" si="101"/>
        <v>0</v>
      </c>
      <c r="Z229" s="293">
        <f t="shared" si="138"/>
        <v>5</v>
      </c>
      <c r="AA229" s="232" t="str">
        <f>IF(AE229="","",VLOOKUP(CONCATENATE($Z229,AA$59),'Resultados - 9'!$A$10:$G$155,AA$58,FALSE))</f>
        <v/>
      </c>
      <c r="AE229" s="232" t="str">
        <f>VLOOKUP(CONCATENATE($Z229,AE$59),'Resultados - 9'!$A$10:$G$155,AE$58,FALSE)</f>
        <v/>
      </c>
      <c r="AF229" s="236"/>
      <c r="AG229" s="236"/>
      <c r="AH229" s="236"/>
      <c r="AI229" s="232" t="str">
        <f>VLOOKUP(CONCATENATE($Z229,AI$59),'Resultados - 9'!$A$10:$G$155,AI$58,FALSE)</f>
        <v/>
      </c>
      <c r="AJ229" s="236"/>
      <c r="AK229" s="236"/>
      <c r="AL229" s="232" t="str">
        <f>VLOOKUP(CONCATENATE($Z229,AL$59),'Resultados - 9'!$A$10:$G$155,AL$58,FALSE)</f>
        <v/>
      </c>
      <c r="AM229" s="236"/>
      <c r="AN229" s="236"/>
      <c r="AO229" s="232" t="str">
        <f>VLOOKUP(CONCATENATE($Z229,AO$59),'Resultados - 9'!$A$10:$G$155,AO$58,FALSE)</f>
        <v/>
      </c>
      <c r="AP229" s="236"/>
      <c r="AQ229" s="236"/>
      <c r="AR229" s="197" t="str">
        <f>VLOOKUP(CONCATENATE($Z229,AR$59),'Resultados - 9'!$A$10:$G$155,AR$58,FALSE)</f>
        <v/>
      </c>
      <c r="AS229" s="232">
        <f t="shared" si="127"/>
        <v>9</v>
      </c>
      <c r="AU229" s="232">
        <f t="shared" si="115"/>
        <v>0</v>
      </c>
      <c r="AV229" s="232">
        <f t="shared" si="135"/>
        <v>0</v>
      </c>
      <c r="AW229" s="236"/>
      <c r="AX229" s="236"/>
      <c r="AY229" s="232">
        <f t="shared" si="136"/>
        <v>0</v>
      </c>
    </row>
    <row r="230" spans="1:51" ht="12" hidden="1" customHeight="1" x14ac:dyDescent="0.2">
      <c r="A230" s="230"/>
      <c r="B230" s="327" t="str">
        <f t="shared" si="129"/>
        <v/>
      </c>
      <c r="C230" s="328"/>
      <c r="D230" s="328"/>
      <c r="E230" s="328" t="str">
        <f t="shared" si="137"/>
        <v/>
      </c>
      <c r="F230" s="328"/>
      <c r="G230" s="328"/>
      <c r="H230" s="328" t="str">
        <f t="shared" si="130"/>
        <v/>
      </c>
      <c r="I230" s="328"/>
      <c r="J230" s="328"/>
      <c r="K230" s="328"/>
      <c r="L230" s="328" t="str">
        <f t="shared" si="131"/>
        <v/>
      </c>
      <c r="M230" s="328"/>
      <c r="N230" s="328"/>
      <c r="O230" s="328" t="str">
        <f t="shared" si="132"/>
        <v/>
      </c>
      <c r="P230" s="328"/>
      <c r="Q230" s="328"/>
      <c r="R230" s="328" t="str">
        <f t="shared" si="133"/>
        <v/>
      </c>
      <c r="S230" s="328"/>
      <c r="T230" s="328" t="str">
        <f t="shared" si="134"/>
        <v/>
      </c>
      <c r="U230" s="329"/>
      <c r="V230" s="230"/>
      <c r="W230" s="5">
        <f t="shared" si="100"/>
        <v>0</v>
      </c>
      <c r="X230" s="5">
        <f t="shared" si="101"/>
        <v>0</v>
      </c>
      <c r="Z230" s="293">
        <f t="shared" si="138"/>
        <v>6</v>
      </c>
      <c r="AA230" s="232" t="str">
        <f>IF(AE230="","",VLOOKUP(CONCATENATE($Z230,AA$59),'Resultados - 9'!$A$10:$G$155,AA$58,FALSE))</f>
        <v/>
      </c>
      <c r="AE230" s="232" t="str">
        <f>VLOOKUP(CONCATENATE($Z230,AE$59),'Resultados - 9'!$A$10:$G$155,AE$58,FALSE)</f>
        <v/>
      </c>
      <c r="AF230" s="236"/>
      <c r="AG230" s="236"/>
      <c r="AH230" s="236"/>
      <c r="AI230" s="232" t="str">
        <f>VLOOKUP(CONCATENATE($Z230,AI$59),'Resultados - 9'!$A$10:$G$155,AI$58,FALSE)</f>
        <v/>
      </c>
      <c r="AJ230" s="236"/>
      <c r="AK230" s="236"/>
      <c r="AL230" s="232" t="str">
        <f>VLOOKUP(CONCATENATE($Z230,AL$59),'Resultados - 9'!$A$10:$G$155,AL$58,FALSE)</f>
        <v/>
      </c>
      <c r="AM230" s="236"/>
      <c r="AN230" s="236"/>
      <c r="AO230" s="232" t="str">
        <f>VLOOKUP(CONCATENATE($Z230,AO$59),'Resultados - 9'!$A$10:$G$155,AO$58,FALSE)</f>
        <v/>
      </c>
      <c r="AP230" s="236"/>
      <c r="AQ230" s="236"/>
      <c r="AR230" s="197" t="str">
        <f>VLOOKUP(CONCATENATE($Z230,AR$59),'Resultados - 9'!$A$10:$G$155,AR$58,FALSE)</f>
        <v/>
      </c>
      <c r="AS230" s="232">
        <f t="shared" si="127"/>
        <v>9</v>
      </c>
      <c r="AU230" s="232">
        <f t="shared" si="115"/>
        <v>0</v>
      </c>
      <c r="AV230" s="232">
        <f t="shared" si="135"/>
        <v>0</v>
      </c>
      <c r="AW230" s="236"/>
      <c r="AX230" s="236"/>
      <c r="AY230" s="232">
        <f t="shared" si="136"/>
        <v>0</v>
      </c>
    </row>
    <row r="231" spans="1:51" ht="12" hidden="1" customHeight="1" x14ac:dyDescent="0.2">
      <c r="A231" s="230"/>
      <c r="B231" s="327" t="str">
        <f t="shared" si="129"/>
        <v/>
      </c>
      <c r="C231" s="328"/>
      <c r="D231" s="328"/>
      <c r="E231" s="328" t="str">
        <f t="shared" si="137"/>
        <v/>
      </c>
      <c r="F231" s="328"/>
      <c r="G231" s="328"/>
      <c r="H231" s="328" t="str">
        <f t="shared" si="130"/>
        <v/>
      </c>
      <c r="I231" s="328"/>
      <c r="J231" s="328"/>
      <c r="K231" s="328"/>
      <c r="L231" s="328" t="str">
        <f t="shared" si="131"/>
        <v/>
      </c>
      <c r="M231" s="328"/>
      <c r="N231" s="328"/>
      <c r="O231" s="328" t="str">
        <f t="shared" si="132"/>
        <v/>
      </c>
      <c r="P231" s="328"/>
      <c r="Q231" s="328"/>
      <c r="R231" s="328" t="str">
        <f t="shared" si="133"/>
        <v/>
      </c>
      <c r="S231" s="328"/>
      <c r="T231" s="328" t="str">
        <f t="shared" si="134"/>
        <v/>
      </c>
      <c r="U231" s="329"/>
      <c r="V231" s="230"/>
      <c r="W231" s="5">
        <f t="shared" si="100"/>
        <v>0</v>
      </c>
      <c r="X231" s="5">
        <f t="shared" si="101"/>
        <v>0</v>
      </c>
      <c r="Z231" s="294">
        <f t="shared" si="138"/>
        <v>7</v>
      </c>
      <c r="AA231" s="232" t="str">
        <f>IF(AE231="","",VLOOKUP(CONCATENATE($Z231,AA$59),'Resultados - 9'!$A$10:$G$155,AA$58,FALSE))</f>
        <v/>
      </c>
      <c r="AB231" s="296"/>
      <c r="AC231" s="296"/>
      <c r="AD231" s="296"/>
      <c r="AE231" s="295" t="str">
        <f>VLOOKUP(CONCATENATE($Z231,AE$59),'Resultados - 9'!$A$10:$G$155,AE$58,FALSE)</f>
        <v/>
      </c>
      <c r="AF231" s="297"/>
      <c r="AG231" s="297"/>
      <c r="AH231" s="297"/>
      <c r="AI231" s="295" t="str">
        <f>VLOOKUP(CONCATENATE($Z231,AI$59),'Resultados - 9'!$A$10:$G$155,AI$58,FALSE)</f>
        <v/>
      </c>
      <c r="AJ231" s="297"/>
      <c r="AK231" s="297"/>
      <c r="AL231" s="295" t="str">
        <f>VLOOKUP(CONCATENATE($Z231,AL$59),'Resultados - 9'!$A$10:$G$155,AL$58,FALSE)</f>
        <v/>
      </c>
      <c r="AM231" s="297"/>
      <c r="AN231" s="297"/>
      <c r="AO231" s="295" t="str">
        <f>VLOOKUP(CONCATENATE($Z231,AO$59),'Resultados - 9'!$A$10:$G$155,AO$58,FALSE)</f>
        <v/>
      </c>
      <c r="AP231" s="297"/>
      <c r="AQ231" s="297"/>
      <c r="AR231" s="298" t="str">
        <f>VLOOKUP(CONCATENATE($Z231,AR$59),'Resultados - 9'!$A$10:$G$155,AR$58,FALSE)</f>
        <v/>
      </c>
      <c r="AS231" s="232">
        <f t="shared" si="127"/>
        <v>9</v>
      </c>
      <c r="AU231" s="232">
        <f t="shared" si="115"/>
        <v>0</v>
      </c>
      <c r="AV231" s="232">
        <f t="shared" si="135"/>
        <v>0</v>
      </c>
      <c r="AW231" s="236"/>
      <c r="AX231" s="236"/>
      <c r="AY231" s="232">
        <f t="shared" si="136"/>
        <v>0</v>
      </c>
    </row>
    <row r="232" spans="1:51" ht="12" hidden="1" customHeight="1" x14ac:dyDescent="0.2">
      <c r="A232" s="230"/>
      <c r="B232" s="338" t="str">
        <f>IF(Dados!$Z$9=3,IF(Z232=0,"",CONCATENATE(Z232," - Faixa de medição : (",AB232,AD232,AE232,") ",AG232)),IF(Z232=0,"",Z232))</f>
        <v/>
      </c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230"/>
      <c r="W232" s="5">
        <f t="shared" ref="W232" si="139">IF(X232=0,0,IF(W233=0,0,1))</f>
        <v>0</v>
      </c>
      <c r="X232" s="5">
        <f t="shared" si="101"/>
        <v>0</v>
      </c>
      <c r="Z232" s="289">
        <f>'Resultados - 10'!$G$4</f>
        <v>0</v>
      </c>
      <c r="AA232" s="290"/>
      <c r="AB232" s="290">
        <f>'Resultados - 10'!$N$4</f>
        <v>0</v>
      </c>
      <c r="AC232" s="290"/>
      <c r="AD232" s="290" t="str">
        <f>'Resultados - 10'!$P$4</f>
        <v>~</v>
      </c>
      <c r="AE232" s="290">
        <f>'Resultados - 10'!$Q$4</f>
        <v>0</v>
      </c>
      <c r="AF232" s="290"/>
      <c r="AG232" s="290" t="str">
        <f>'Resultados - 10'!$G$12</f>
        <v>µL</v>
      </c>
      <c r="AH232" s="291"/>
      <c r="AI232" s="290"/>
      <c r="AJ232" s="291"/>
      <c r="AK232" s="291"/>
      <c r="AL232" s="290"/>
      <c r="AM232" s="291"/>
      <c r="AN232" s="291"/>
      <c r="AO232" s="290"/>
      <c r="AP232" s="291"/>
      <c r="AQ232" s="291"/>
      <c r="AR232" s="292"/>
      <c r="AS232" s="232">
        <f t="shared" ref="AS232" si="140">AS231+1</f>
        <v>10</v>
      </c>
    </row>
    <row r="233" spans="1:51" ht="12" hidden="1" customHeight="1" x14ac:dyDescent="0.2">
      <c r="A233" s="230"/>
      <c r="B233" s="327" t="str">
        <f>AA233</f>
        <v/>
      </c>
      <c r="C233" s="328"/>
      <c r="D233" s="328"/>
      <c r="E233" s="328" t="str">
        <f>IF(B233="","",AG232)</f>
        <v/>
      </c>
      <c r="F233" s="328"/>
      <c r="G233" s="328"/>
      <c r="H233" s="328" t="str">
        <f>AE233</f>
        <v/>
      </c>
      <c r="I233" s="328"/>
      <c r="J233" s="328"/>
      <c r="K233" s="328"/>
      <c r="L233" s="328" t="str">
        <f>AI233</f>
        <v/>
      </c>
      <c r="M233" s="328"/>
      <c r="N233" s="328"/>
      <c r="O233" s="328" t="str">
        <f>AL233</f>
        <v/>
      </c>
      <c r="P233" s="328"/>
      <c r="Q233" s="328"/>
      <c r="R233" s="328" t="str">
        <f>AO233</f>
        <v/>
      </c>
      <c r="S233" s="328"/>
      <c r="T233" s="328" t="str">
        <f>AR233</f>
        <v/>
      </c>
      <c r="U233" s="329"/>
      <c r="V233" s="230"/>
      <c r="W233" s="5">
        <f t="shared" si="100"/>
        <v>0</v>
      </c>
      <c r="X233" s="5">
        <f t="shared" si="101"/>
        <v>0</v>
      </c>
      <c r="Z233" s="293">
        <v>1</v>
      </c>
      <c r="AA233" s="232" t="str">
        <f>IF(AE233="","",VLOOKUP(CONCATENATE($Z233,AA$59),'Resultados - 10'!$A$10:$G$155,AA$58,FALSE))</f>
        <v/>
      </c>
      <c r="AE233" s="232" t="str">
        <f>VLOOKUP(CONCATENATE($Z233,AE$59),'Resultados - 10'!$A$10:$G$155,AE$58,FALSE)</f>
        <v/>
      </c>
      <c r="AF233" s="236"/>
      <c r="AG233" s="236"/>
      <c r="AH233" s="236"/>
      <c r="AI233" s="232" t="str">
        <f>VLOOKUP(CONCATENATE($Z233,AI$59),'Resultados - 10'!$A$10:$G$155,AI$58,FALSE)</f>
        <v/>
      </c>
      <c r="AJ233" s="236"/>
      <c r="AK233" s="236"/>
      <c r="AL233" s="232" t="str">
        <f>VLOOKUP(CONCATENATE($Z233,AL$59),'Resultados - 10'!$A$10:$G$155,AL$58,FALSE)</f>
        <v/>
      </c>
      <c r="AM233" s="236"/>
      <c r="AN233" s="236"/>
      <c r="AO233" s="232" t="str">
        <f>VLOOKUP(CONCATENATE($Z233,AO$59),'Resultados - 10'!$A$10:$G$155,AO$58,FALSE)</f>
        <v/>
      </c>
      <c r="AP233" s="236"/>
      <c r="AQ233" s="236"/>
      <c r="AR233" s="197" t="str">
        <f>VLOOKUP(CONCATENATE($Z233,AR$59),'Resultados - 10'!$A$10:$G$155,AR$58,FALSE)</f>
        <v/>
      </c>
      <c r="AS233" s="232">
        <f t="shared" ref="AS233:AS239" si="141">AS232</f>
        <v>10</v>
      </c>
      <c r="AU233" s="232">
        <f t="shared" ref="AU233" si="142">ABS(AV233)</f>
        <v>0</v>
      </c>
      <c r="AV233" s="232">
        <f>IF(AI233="",0,AI233*1)</f>
        <v>0</v>
      </c>
      <c r="AW233" s="236"/>
      <c r="AX233" s="236"/>
      <c r="AY233" s="232">
        <f>IF(AL233="",0,AL233*1)</f>
        <v>0</v>
      </c>
    </row>
    <row r="234" spans="1:51" ht="12" hidden="1" customHeight="1" x14ac:dyDescent="0.2">
      <c r="A234" s="230"/>
      <c r="B234" s="327" t="str">
        <f t="shared" ref="B234:B239" si="143">AA234</f>
        <v/>
      </c>
      <c r="C234" s="328"/>
      <c r="D234" s="328"/>
      <c r="E234" s="328" t="str">
        <f>IF(B234="","",E233)</f>
        <v/>
      </c>
      <c r="F234" s="328"/>
      <c r="G234" s="328"/>
      <c r="H234" s="328" t="str">
        <f t="shared" ref="H234:H239" si="144">AE234</f>
        <v/>
      </c>
      <c r="I234" s="328"/>
      <c r="J234" s="328"/>
      <c r="K234" s="328"/>
      <c r="L234" s="328" t="str">
        <f t="shared" ref="L234:L239" si="145">AI234</f>
        <v/>
      </c>
      <c r="M234" s="328"/>
      <c r="N234" s="328"/>
      <c r="O234" s="328" t="str">
        <f t="shared" ref="O234:O239" si="146">AL234</f>
        <v/>
      </c>
      <c r="P234" s="328"/>
      <c r="Q234" s="328"/>
      <c r="R234" s="328" t="str">
        <f t="shared" ref="R234:R239" si="147">AO234</f>
        <v/>
      </c>
      <c r="S234" s="328"/>
      <c r="T234" s="328" t="str">
        <f t="shared" ref="T234:T239" si="148">AR234</f>
        <v/>
      </c>
      <c r="U234" s="329"/>
      <c r="V234" s="230"/>
      <c r="W234" s="5">
        <f t="shared" si="100"/>
        <v>0</v>
      </c>
      <c r="X234" s="5">
        <f t="shared" si="101"/>
        <v>0</v>
      </c>
      <c r="Z234" s="293">
        <f>Z233+1</f>
        <v>2</v>
      </c>
      <c r="AA234" s="232" t="str">
        <f>IF(AE234="","",VLOOKUP(CONCATENATE($Z234,AA$59),'Resultados - 10'!$A$10:$G$155,AA$58,FALSE))</f>
        <v/>
      </c>
      <c r="AE234" s="232" t="str">
        <f>VLOOKUP(CONCATENATE($Z234,AE$59),'Resultados - 10'!$A$10:$G$155,AE$58,FALSE)</f>
        <v/>
      </c>
      <c r="AF234" s="236"/>
      <c r="AG234" s="236"/>
      <c r="AH234" s="236"/>
      <c r="AI234" s="232" t="str">
        <f>VLOOKUP(CONCATENATE($Z234,AI$59),'Resultados - 10'!$A$10:$G$155,AI$58,FALSE)</f>
        <v/>
      </c>
      <c r="AJ234" s="236"/>
      <c r="AK234" s="236"/>
      <c r="AL234" s="232" t="str">
        <f>VLOOKUP(CONCATENATE($Z234,AL$59),'Resultados - 10'!$A$10:$G$155,AL$58,FALSE)</f>
        <v/>
      </c>
      <c r="AM234" s="236"/>
      <c r="AN234" s="236"/>
      <c r="AO234" s="232" t="str">
        <f>VLOOKUP(CONCATENATE($Z234,AO$59),'Resultados - 10'!$A$10:$G$155,AO$58,FALSE)</f>
        <v/>
      </c>
      <c r="AP234" s="236"/>
      <c r="AQ234" s="236"/>
      <c r="AR234" s="197" t="str">
        <f>VLOOKUP(CONCATENATE($Z234,AR$59),'Resultados - 10'!$A$10:$G$155,AR$58,FALSE)</f>
        <v/>
      </c>
      <c r="AS234" s="232">
        <f t="shared" si="141"/>
        <v>10</v>
      </c>
      <c r="AU234" s="232">
        <f t="shared" si="115"/>
        <v>0</v>
      </c>
      <c r="AV234" s="232">
        <f t="shared" ref="AV234:AV239" si="149">IF(AI234="",0,AI234*1)</f>
        <v>0</v>
      </c>
      <c r="AW234" s="236"/>
      <c r="AX234" s="236"/>
      <c r="AY234" s="232">
        <f t="shared" ref="AY234:AY239" si="150">IF(AL234="",0,AL234*1)</f>
        <v>0</v>
      </c>
    </row>
    <row r="235" spans="1:51" ht="12" hidden="1" customHeight="1" x14ac:dyDescent="0.2">
      <c r="A235" s="230"/>
      <c r="B235" s="327" t="str">
        <f t="shared" si="143"/>
        <v/>
      </c>
      <c r="C235" s="328"/>
      <c r="D235" s="328"/>
      <c r="E235" s="328" t="str">
        <f t="shared" ref="E235:E239" si="151">IF(B235="","",E234)</f>
        <v/>
      </c>
      <c r="F235" s="328"/>
      <c r="G235" s="328"/>
      <c r="H235" s="328" t="str">
        <f t="shared" si="144"/>
        <v/>
      </c>
      <c r="I235" s="328"/>
      <c r="J235" s="328"/>
      <c r="K235" s="328"/>
      <c r="L235" s="328" t="str">
        <f t="shared" si="145"/>
        <v/>
      </c>
      <c r="M235" s="328"/>
      <c r="N235" s="328"/>
      <c r="O235" s="328" t="str">
        <f t="shared" si="146"/>
        <v/>
      </c>
      <c r="P235" s="328"/>
      <c r="Q235" s="328"/>
      <c r="R235" s="328" t="str">
        <f t="shared" si="147"/>
        <v/>
      </c>
      <c r="S235" s="328"/>
      <c r="T235" s="328" t="str">
        <f t="shared" si="148"/>
        <v/>
      </c>
      <c r="U235" s="329"/>
      <c r="V235" s="230"/>
      <c r="W235" s="5">
        <f t="shared" si="100"/>
        <v>0</v>
      </c>
      <c r="X235" s="5">
        <f t="shared" si="101"/>
        <v>0</v>
      </c>
      <c r="Z235" s="293">
        <f t="shared" ref="Z235:Z239" si="152">Z234+1</f>
        <v>3</v>
      </c>
      <c r="AA235" s="232" t="str">
        <f>IF(AE235="","",VLOOKUP(CONCATENATE($Z235,AA$59),'Resultados - 10'!$A$10:$G$155,AA$58,FALSE))</f>
        <v/>
      </c>
      <c r="AE235" s="232" t="str">
        <f>VLOOKUP(CONCATENATE($Z235,AE$59),'Resultados - 10'!$A$10:$G$155,AE$58,FALSE)</f>
        <v/>
      </c>
      <c r="AF235" s="236"/>
      <c r="AG235" s="236"/>
      <c r="AH235" s="236"/>
      <c r="AI235" s="232" t="str">
        <f>VLOOKUP(CONCATENATE($Z235,AI$59),'Resultados - 10'!$A$10:$G$155,AI$58,FALSE)</f>
        <v/>
      </c>
      <c r="AJ235" s="236"/>
      <c r="AK235" s="236"/>
      <c r="AL235" s="232" t="str">
        <f>VLOOKUP(CONCATENATE($Z235,AL$59),'Resultados - 10'!$A$10:$G$155,AL$58,FALSE)</f>
        <v/>
      </c>
      <c r="AM235" s="236"/>
      <c r="AN235" s="236"/>
      <c r="AO235" s="232" t="str">
        <f>VLOOKUP(CONCATENATE($Z235,AO$59),'Resultados - 10'!$A$10:$G$155,AO$58,FALSE)</f>
        <v/>
      </c>
      <c r="AP235" s="236"/>
      <c r="AQ235" s="236"/>
      <c r="AR235" s="197" t="str">
        <f>VLOOKUP(CONCATENATE($Z235,AR$59),'Resultados - 10'!$A$10:$G$155,AR$58,FALSE)</f>
        <v/>
      </c>
      <c r="AS235" s="232">
        <f t="shared" si="141"/>
        <v>10</v>
      </c>
      <c r="AU235" s="232">
        <f t="shared" si="115"/>
        <v>0</v>
      </c>
      <c r="AV235" s="232">
        <f t="shared" si="149"/>
        <v>0</v>
      </c>
      <c r="AW235" s="236"/>
      <c r="AX235" s="236"/>
      <c r="AY235" s="232">
        <f t="shared" si="150"/>
        <v>0</v>
      </c>
    </row>
    <row r="236" spans="1:51" ht="12" hidden="1" customHeight="1" x14ac:dyDescent="0.2">
      <c r="A236" s="230"/>
      <c r="B236" s="327" t="str">
        <f t="shared" si="143"/>
        <v/>
      </c>
      <c r="C236" s="328"/>
      <c r="D236" s="328"/>
      <c r="E236" s="328" t="str">
        <f t="shared" si="151"/>
        <v/>
      </c>
      <c r="F236" s="328"/>
      <c r="G236" s="328"/>
      <c r="H236" s="328" t="str">
        <f t="shared" si="144"/>
        <v/>
      </c>
      <c r="I236" s="328"/>
      <c r="J236" s="328"/>
      <c r="K236" s="328"/>
      <c r="L236" s="328" t="str">
        <f t="shared" si="145"/>
        <v/>
      </c>
      <c r="M236" s="328"/>
      <c r="N236" s="328"/>
      <c r="O236" s="328" t="str">
        <f t="shared" si="146"/>
        <v/>
      </c>
      <c r="P236" s="328"/>
      <c r="Q236" s="328"/>
      <c r="R236" s="328" t="str">
        <f t="shared" si="147"/>
        <v/>
      </c>
      <c r="S236" s="328"/>
      <c r="T236" s="328" t="str">
        <f t="shared" si="148"/>
        <v/>
      </c>
      <c r="U236" s="329"/>
      <c r="V236" s="230"/>
      <c r="W236" s="5">
        <f t="shared" si="100"/>
        <v>0</v>
      </c>
      <c r="X236" s="5">
        <f t="shared" si="101"/>
        <v>0</v>
      </c>
      <c r="Z236" s="293">
        <f t="shared" si="152"/>
        <v>4</v>
      </c>
      <c r="AA236" s="232" t="str">
        <f>IF(AE236="","",VLOOKUP(CONCATENATE($Z236,AA$59),'Resultados - 10'!$A$10:$G$155,AA$58,FALSE))</f>
        <v/>
      </c>
      <c r="AE236" s="232" t="str">
        <f>VLOOKUP(CONCATENATE($Z236,AE$59),'Resultados - 10'!$A$10:$G$155,AE$58,FALSE)</f>
        <v/>
      </c>
      <c r="AF236" s="236"/>
      <c r="AG236" s="236"/>
      <c r="AH236" s="236"/>
      <c r="AI236" s="232" t="str">
        <f>VLOOKUP(CONCATENATE($Z236,AI$59),'Resultados - 10'!$A$10:$G$155,AI$58,FALSE)</f>
        <v/>
      </c>
      <c r="AJ236" s="236"/>
      <c r="AK236" s="236"/>
      <c r="AL236" s="232" t="str">
        <f>VLOOKUP(CONCATENATE($Z236,AL$59),'Resultados - 10'!$A$10:$G$155,AL$58,FALSE)</f>
        <v/>
      </c>
      <c r="AM236" s="236"/>
      <c r="AN236" s="236"/>
      <c r="AO236" s="232" t="str">
        <f>VLOOKUP(CONCATENATE($Z236,AO$59),'Resultados - 10'!$A$10:$G$155,AO$58,FALSE)</f>
        <v/>
      </c>
      <c r="AP236" s="236"/>
      <c r="AQ236" s="236"/>
      <c r="AR236" s="197" t="str">
        <f>VLOOKUP(CONCATENATE($Z236,AR$59),'Resultados - 10'!$A$10:$G$155,AR$58,FALSE)</f>
        <v/>
      </c>
      <c r="AS236" s="232">
        <f t="shared" si="141"/>
        <v>10</v>
      </c>
      <c r="AU236" s="232">
        <f t="shared" si="115"/>
        <v>0</v>
      </c>
      <c r="AV236" s="232">
        <f t="shared" si="149"/>
        <v>0</v>
      </c>
      <c r="AW236" s="236"/>
      <c r="AX236" s="236"/>
      <c r="AY236" s="232">
        <f t="shared" si="150"/>
        <v>0</v>
      </c>
    </row>
    <row r="237" spans="1:51" ht="12" hidden="1" customHeight="1" x14ac:dyDescent="0.2">
      <c r="A237" s="230"/>
      <c r="B237" s="327" t="str">
        <f t="shared" si="143"/>
        <v/>
      </c>
      <c r="C237" s="328"/>
      <c r="D237" s="328"/>
      <c r="E237" s="328" t="str">
        <f t="shared" si="151"/>
        <v/>
      </c>
      <c r="F237" s="328"/>
      <c r="G237" s="328"/>
      <c r="H237" s="328" t="str">
        <f t="shared" si="144"/>
        <v/>
      </c>
      <c r="I237" s="328"/>
      <c r="J237" s="328"/>
      <c r="K237" s="328"/>
      <c r="L237" s="328" t="str">
        <f t="shared" si="145"/>
        <v/>
      </c>
      <c r="M237" s="328"/>
      <c r="N237" s="328"/>
      <c r="O237" s="328" t="str">
        <f t="shared" si="146"/>
        <v/>
      </c>
      <c r="P237" s="328"/>
      <c r="Q237" s="328"/>
      <c r="R237" s="328" t="str">
        <f t="shared" si="147"/>
        <v/>
      </c>
      <c r="S237" s="328"/>
      <c r="T237" s="328" t="str">
        <f t="shared" si="148"/>
        <v/>
      </c>
      <c r="U237" s="329"/>
      <c r="V237" s="230"/>
      <c r="W237" s="5">
        <f t="shared" si="100"/>
        <v>0</v>
      </c>
      <c r="X237" s="5">
        <f t="shared" si="101"/>
        <v>0</v>
      </c>
      <c r="Z237" s="293">
        <f t="shared" si="152"/>
        <v>5</v>
      </c>
      <c r="AA237" s="232" t="str">
        <f>IF(AE237="","",VLOOKUP(CONCATENATE($Z237,AA$59),'Resultados - 10'!$A$10:$G$155,AA$58,FALSE))</f>
        <v/>
      </c>
      <c r="AE237" s="232" t="str">
        <f>VLOOKUP(CONCATENATE($Z237,AE$59),'Resultados - 10'!$A$10:$G$155,AE$58,FALSE)</f>
        <v/>
      </c>
      <c r="AF237" s="236"/>
      <c r="AG237" s="236"/>
      <c r="AH237" s="236"/>
      <c r="AI237" s="232" t="str">
        <f>VLOOKUP(CONCATENATE($Z237,AI$59),'Resultados - 10'!$A$10:$G$155,AI$58,FALSE)</f>
        <v/>
      </c>
      <c r="AJ237" s="236"/>
      <c r="AK237" s="236"/>
      <c r="AL237" s="232" t="str">
        <f>VLOOKUP(CONCATENATE($Z237,AL$59),'Resultados - 10'!$A$10:$G$155,AL$58,FALSE)</f>
        <v/>
      </c>
      <c r="AM237" s="236"/>
      <c r="AN237" s="236"/>
      <c r="AO237" s="232" t="str">
        <f>VLOOKUP(CONCATENATE($Z237,AO$59),'Resultados - 10'!$A$10:$G$155,AO$58,FALSE)</f>
        <v/>
      </c>
      <c r="AP237" s="236"/>
      <c r="AQ237" s="236"/>
      <c r="AR237" s="197" t="str">
        <f>VLOOKUP(CONCATENATE($Z237,AR$59),'Resultados - 10'!$A$10:$G$155,AR$58,FALSE)</f>
        <v/>
      </c>
      <c r="AS237" s="232">
        <f t="shared" si="141"/>
        <v>10</v>
      </c>
      <c r="AU237" s="232">
        <f t="shared" si="115"/>
        <v>0</v>
      </c>
      <c r="AV237" s="232">
        <f t="shared" si="149"/>
        <v>0</v>
      </c>
      <c r="AW237" s="236"/>
      <c r="AX237" s="236"/>
      <c r="AY237" s="232">
        <f t="shared" si="150"/>
        <v>0</v>
      </c>
    </row>
    <row r="238" spans="1:51" ht="12" hidden="1" customHeight="1" x14ac:dyDescent="0.2">
      <c r="A238" s="230"/>
      <c r="B238" s="327" t="str">
        <f t="shared" si="143"/>
        <v/>
      </c>
      <c r="C238" s="328"/>
      <c r="D238" s="328"/>
      <c r="E238" s="328" t="str">
        <f t="shared" si="151"/>
        <v/>
      </c>
      <c r="F238" s="328"/>
      <c r="G238" s="328"/>
      <c r="H238" s="328" t="str">
        <f t="shared" si="144"/>
        <v/>
      </c>
      <c r="I238" s="328"/>
      <c r="J238" s="328"/>
      <c r="K238" s="328"/>
      <c r="L238" s="328" t="str">
        <f t="shared" si="145"/>
        <v/>
      </c>
      <c r="M238" s="328"/>
      <c r="N238" s="328"/>
      <c r="O238" s="328" t="str">
        <f t="shared" si="146"/>
        <v/>
      </c>
      <c r="P238" s="328"/>
      <c r="Q238" s="328"/>
      <c r="R238" s="328" t="str">
        <f t="shared" si="147"/>
        <v/>
      </c>
      <c r="S238" s="328"/>
      <c r="T238" s="328" t="str">
        <f t="shared" si="148"/>
        <v/>
      </c>
      <c r="U238" s="329"/>
      <c r="V238" s="230"/>
      <c r="W238" s="5">
        <f t="shared" si="100"/>
        <v>0</v>
      </c>
      <c r="X238" s="5">
        <f t="shared" si="101"/>
        <v>0</v>
      </c>
      <c r="Z238" s="293">
        <f t="shared" si="152"/>
        <v>6</v>
      </c>
      <c r="AA238" s="232" t="str">
        <f>IF(AE238="","",VLOOKUP(CONCATENATE($Z238,AA$59),'Resultados - 10'!$A$10:$G$155,AA$58,FALSE))</f>
        <v/>
      </c>
      <c r="AE238" s="232" t="str">
        <f>VLOOKUP(CONCATENATE($Z238,AE$59),'Resultados - 10'!$A$10:$G$155,AE$58,FALSE)</f>
        <v/>
      </c>
      <c r="AF238" s="236"/>
      <c r="AG238" s="236"/>
      <c r="AH238" s="236"/>
      <c r="AI238" s="232" t="str">
        <f>VLOOKUP(CONCATENATE($Z238,AI$59),'Resultados - 10'!$A$10:$G$155,AI$58,FALSE)</f>
        <v/>
      </c>
      <c r="AJ238" s="236"/>
      <c r="AK238" s="236"/>
      <c r="AL238" s="232" t="str">
        <f>VLOOKUP(CONCATENATE($Z238,AL$59),'Resultados - 10'!$A$10:$G$155,AL$58,FALSE)</f>
        <v/>
      </c>
      <c r="AM238" s="236"/>
      <c r="AN238" s="236"/>
      <c r="AO238" s="232" t="str">
        <f>VLOOKUP(CONCATENATE($Z238,AO$59),'Resultados - 10'!$A$10:$G$155,AO$58,FALSE)</f>
        <v/>
      </c>
      <c r="AP238" s="236"/>
      <c r="AQ238" s="236"/>
      <c r="AR238" s="197" t="str">
        <f>VLOOKUP(CONCATENATE($Z238,AR$59),'Resultados - 10'!$A$10:$G$155,AR$58,FALSE)</f>
        <v/>
      </c>
      <c r="AS238" s="232">
        <f t="shared" si="141"/>
        <v>10</v>
      </c>
      <c r="AU238" s="232">
        <f t="shared" si="115"/>
        <v>0</v>
      </c>
      <c r="AV238" s="232">
        <f t="shared" si="149"/>
        <v>0</v>
      </c>
      <c r="AW238" s="236"/>
      <c r="AX238" s="236"/>
      <c r="AY238" s="232">
        <f t="shared" si="150"/>
        <v>0</v>
      </c>
    </row>
    <row r="239" spans="1:51" ht="12" hidden="1" customHeight="1" x14ac:dyDescent="0.2">
      <c r="A239" s="230"/>
      <c r="B239" s="327" t="str">
        <f t="shared" si="143"/>
        <v/>
      </c>
      <c r="C239" s="328"/>
      <c r="D239" s="328"/>
      <c r="E239" s="328" t="str">
        <f t="shared" si="151"/>
        <v/>
      </c>
      <c r="F239" s="328"/>
      <c r="G239" s="328"/>
      <c r="H239" s="328" t="str">
        <f t="shared" si="144"/>
        <v/>
      </c>
      <c r="I239" s="328"/>
      <c r="J239" s="328"/>
      <c r="K239" s="328"/>
      <c r="L239" s="328" t="str">
        <f t="shared" si="145"/>
        <v/>
      </c>
      <c r="M239" s="328"/>
      <c r="N239" s="328"/>
      <c r="O239" s="328" t="str">
        <f t="shared" si="146"/>
        <v/>
      </c>
      <c r="P239" s="328"/>
      <c r="Q239" s="328"/>
      <c r="R239" s="328" t="str">
        <f t="shared" si="147"/>
        <v/>
      </c>
      <c r="S239" s="328"/>
      <c r="T239" s="328" t="str">
        <f t="shared" si="148"/>
        <v/>
      </c>
      <c r="U239" s="329"/>
      <c r="V239" s="230"/>
      <c r="W239" s="5">
        <f t="shared" si="100"/>
        <v>0</v>
      </c>
      <c r="X239" s="5">
        <f t="shared" si="101"/>
        <v>0</v>
      </c>
      <c r="Z239" s="294">
        <f t="shared" si="152"/>
        <v>7</v>
      </c>
      <c r="AA239" s="232" t="str">
        <f>IF(AE239="","",VLOOKUP(CONCATENATE($Z239,AA$59),'Resultados - 10'!$A$10:$G$155,AA$58,FALSE))</f>
        <v/>
      </c>
      <c r="AB239" s="296"/>
      <c r="AC239" s="296"/>
      <c r="AD239" s="296"/>
      <c r="AE239" s="295" t="str">
        <f>VLOOKUP(CONCATENATE($Z239,AE$59),'Resultados - 10'!$A$10:$G$155,AE$58,FALSE)</f>
        <v/>
      </c>
      <c r="AF239" s="297"/>
      <c r="AG239" s="297"/>
      <c r="AH239" s="297"/>
      <c r="AI239" s="295" t="str">
        <f>VLOOKUP(CONCATENATE($Z239,AI$59),'Resultados - 10'!$A$10:$G$155,AI$58,FALSE)</f>
        <v/>
      </c>
      <c r="AJ239" s="297"/>
      <c r="AK239" s="297"/>
      <c r="AL239" s="295" t="str">
        <f>VLOOKUP(CONCATENATE($Z239,AL$59),'Resultados - 10'!$A$10:$G$155,AL$58,FALSE)</f>
        <v/>
      </c>
      <c r="AM239" s="297"/>
      <c r="AN239" s="297"/>
      <c r="AO239" s="295" t="str">
        <f>VLOOKUP(CONCATENATE($Z239,AO$59),'Resultados - 10'!$A$10:$G$155,AO$58,FALSE)</f>
        <v/>
      </c>
      <c r="AP239" s="297"/>
      <c r="AQ239" s="297"/>
      <c r="AR239" s="298" t="str">
        <f>VLOOKUP(CONCATENATE($Z239,AR$59),'Resultados - 10'!$A$10:$G$155,AR$58,FALSE)</f>
        <v/>
      </c>
      <c r="AS239" s="232">
        <f t="shared" si="141"/>
        <v>10</v>
      </c>
      <c r="AU239" s="232">
        <f t="shared" si="115"/>
        <v>0</v>
      </c>
      <c r="AV239" s="232">
        <f t="shared" si="149"/>
        <v>0</v>
      </c>
      <c r="AW239" s="236"/>
      <c r="AX239" s="236"/>
      <c r="AY239" s="232">
        <f t="shared" si="150"/>
        <v>0</v>
      </c>
    </row>
    <row r="240" spans="1:51" ht="12" hidden="1" customHeight="1" x14ac:dyDescent="0.2">
      <c r="A240" s="230"/>
      <c r="B240" s="338" t="str">
        <f>IF(Dados!$Z$9=3,IF(Z240=0,"",CONCATENATE(Z240," - Faixa de medição : (",AB240,AD240,AE240,") ",AG240)),IF(Z240=0,"",Z240))</f>
        <v/>
      </c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230"/>
      <c r="W240" s="5">
        <f t="shared" ref="W240" si="153">IF(X240=0,0,IF(W241=0,0,1))</f>
        <v>0</v>
      </c>
      <c r="X240" s="5">
        <f t="shared" si="101"/>
        <v>0</v>
      </c>
      <c r="Z240" s="289">
        <f>'Resultados - 11'!$G$4</f>
        <v>0</v>
      </c>
      <c r="AA240" s="290"/>
      <c r="AB240" s="290">
        <f>'Resultados - 11'!$N$4</f>
        <v>0</v>
      </c>
      <c r="AC240" s="290"/>
      <c r="AD240" s="290" t="str">
        <f>'Resultados - 11'!$P$4</f>
        <v>~</v>
      </c>
      <c r="AE240" s="290">
        <f>'Resultados - 11'!$Q$4</f>
        <v>0</v>
      </c>
      <c r="AF240" s="290"/>
      <c r="AG240" s="290" t="str">
        <f>'Resultados - 11'!$G$12</f>
        <v>µL</v>
      </c>
      <c r="AH240" s="291"/>
      <c r="AI240" s="290"/>
      <c r="AJ240" s="291"/>
      <c r="AK240" s="291"/>
      <c r="AL240" s="290"/>
      <c r="AM240" s="291"/>
      <c r="AN240" s="291"/>
      <c r="AO240" s="290"/>
      <c r="AP240" s="291"/>
      <c r="AQ240" s="291"/>
      <c r="AR240" s="292"/>
      <c r="AS240" s="232">
        <f t="shared" ref="AS240" si="154">AS239+1</f>
        <v>11</v>
      </c>
    </row>
    <row r="241" spans="1:51" ht="12" hidden="1" customHeight="1" x14ac:dyDescent="0.2">
      <c r="A241" s="230"/>
      <c r="B241" s="327" t="str">
        <f>AA241</f>
        <v/>
      </c>
      <c r="C241" s="328"/>
      <c r="D241" s="328"/>
      <c r="E241" s="328" t="str">
        <f>IF(B241="","",AG240)</f>
        <v/>
      </c>
      <c r="F241" s="328"/>
      <c r="G241" s="328"/>
      <c r="H241" s="328" t="str">
        <f>AE241</f>
        <v/>
      </c>
      <c r="I241" s="328"/>
      <c r="J241" s="328"/>
      <c r="K241" s="328"/>
      <c r="L241" s="328" t="str">
        <f>AI241</f>
        <v/>
      </c>
      <c r="M241" s="328"/>
      <c r="N241" s="328"/>
      <c r="O241" s="328" t="str">
        <f>AL241</f>
        <v/>
      </c>
      <c r="P241" s="328"/>
      <c r="Q241" s="328"/>
      <c r="R241" s="328" t="str">
        <f>AO241</f>
        <v/>
      </c>
      <c r="S241" s="328"/>
      <c r="T241" s="328" t="str">
        <f>AR241</f>
        <v/>
      </c>
      <c r="U241" s="329"/>
      <c r="V241" s="230"/>
      <c r="W241" s="5">
        <f t="shared" si="100"/>
        <v>0</v>
      </c>
      <c r="X241" s="5">
        <f t="shared" si="101"/>
        <v>0</v>
      </c>
      <c r="Z241" s="293">
        <v>1</v>
      </c>
      <c r="AA241" s="232" t="str">
        <f>IF(AE241="","",VLOOKUP(CONCATENATE($Z241,AA$59),'Resultados - 11'!$A$10:$G$155,AA$58,FALSE))</f>
        <v/>
      </c>
      <c r="AE241" s="232" t="str">
        <f>VLOOKUP(CONCATENATE($Z241,AE$59),'Resultados - 11'!$A$10:$G$155,AE$58,FALSE)</f>
        <v/>
      </c>
      <c r="AF241" s="236"/>
      <c r="AG241" s="236"/>
      <c r="AH241" s="236"/>
      <c r="AI241" s="232" t="str">
        <f>VLOOKUP(CONCATENATE($Z241,AI$59),'Resultados - 11'!$A$10:$G$155,AI$58,FALSE)</f>
        <v/>
      </c>
      <c r="AJ241" s="236"/>
      <c r="AK241" s="236"/>
      <c r="AL241" s="232" t="str">
        <f>VLOOKUP(CONCATENATE($Z241,AL$59),'Resultados - 11'!$A$10:$G$155,AL$58,FALSE)</f>
        <v/>
      </c>
      <c r="AM241" s="236"/>
      <c r="AN241" s="236"/>
      <c r="AO241" s="232" t="str">
        <f>VLOOKUP(CONCATENATE($Z241,AO$59),'Resultados - 11'!$A$10:$G$155,AO$58,FALSE)</f>
        <v/>
      </c>
      <c r="AP241" s="236"/>
      <c r="AQ241" s="236"/>
      <c r="AR241" s="197" t="str">
        <f>VLOOKUP(CONCATENATE($Z241,AR$59),'Resultados - 11'!$A$10:$G$155,AR$58,FALSE)</f>
        <v/>
      </c>
      <c r="AS241" s="232">
        <f t="shared" ref="AS241:AS247" si="155">AS240</f>
        <v>11</v>
      </c>
      <c r="AU241" s="232">
        <f t="shared" ref="AU241" si="156">ABS(AV241)</f>
        <v>0</v>
      </c>
      <c r="AV241" s="232">
        <f>IF(AI241="",0,AI241*1)</f>
        <v>0</v>
      </c>
      <c r="AW241" s="236"/>
      <c r="AX241" s="236"/>
      <c r="AY241" s="232">
        <f>IF(AL241="",0,AL241*1)</f>
        <v>0</v>
      </c>
    </row>
    <row r="242" spans="1:51" ht="12" hidden="1" customHeight="1" x14ac:dyDescent="0.2">
      <c r="A242" s="230"/>
      <c r="B242" s="327" t="str">
        <f t="shared" ref="B242:B247" si="157">AA242</f>
        <v/>
      </c>
      <c r="C242" s="328"/>
      <c r="D242" s="328"/>
      <c r="E242" s="328" t="str">
        <f>IF(B242="","",E241)</f>
        <v/>
      </c>
      <c r="F242" s="328"/>
      <c r="G242" s="328"/>
      <c r="H242" s="328" t="str">
        <f t="shared" ref="H242:H247" si="158">AE242</f>
        <v/>
      </c>
      <c r="I242" s="328"/>
      <c r="J242" s="328"/>
      <c r="K242" s="328"/>
      <c r="L242" s="328" t="str">
        <f t="shared" ref="L242:L247" si="159">AI242</f>
        <v/>
      </c>
      <c r="M242" s="328"/>
      <c r="N242" s="328"/>
      <c r="O242" s="328" t="str">
        <f t="shared" ref="O242:O247" si="160">AL242</f>
        <v/>
      </c>
      <c r="P242" s="328"/>
      <c r="Q242" s="328"/>
      <c r="R242" s="328" t="str">
        <f t="shared" ref="R242:R247" si="161">AO242</f>
        <v/>
      </c>
      <c r="S242" s="328"/>
      <c r="T242" s="328" t="str">
        <f t="shared" ref="T242:T247" si="162">AR242</f>
        <v/>
      </c>
      <c r="U242" s="329"/>
      <c r="V242" s="230"/>
      <c r="W242" s="5">
        <f t="shared" si="100"/>
        <v>0</v>
      </c>
      <c r="X242" s="5">
        <f t="shared" si="101"/>
        <v>0</v>
      </c>
      <c r="Z242" s="293">
        <f>Z241+1</f>
        <v>2</v>
      </c>
      <c r="AA242" s="232" t="str">
        <f>IF(AE242="","",VLOOKUP(CONCATENATE($Z242,AA$59),'Resultados - 11'!$A$10:$G$155,AA$58,FALSE))</f>
        <v/>
      </c>
      <c r="AE242" s="232" t="str">
        <f>VLOOKUP(CONCATENATE($Z242,AE$59),'Resultados - 11'!$A$10:$G$155,AE$58,FALSE)</f>
        <v/>
      </c>
      <c r="AF242" s="236"/>
      <c r="AG242" s="236"/>
      <c r="AH242" s="236"/>
      <c r="AI242" s="232" t="str">
        <f>VLOOKUP(CONCATENATE($Z242,AI$59),'Resultados - 11'!$A$10:$G$155,AI$58,FALSE)</f>
        <v/>
      </c>
      <c r="AJ242" s="236"/>
      <c r="AK242" s="236"/>
      <c r="AL242" s="232" t="str">
        <f>VLOOKUP(CONCATENATE($Z242,AL$59),'Resultados - 11'!$A$10:$G$155,AL$58,FALSE)</f>
        <v/>
      </c>
      <c r="AM242" s="236"/>
      <c r="AN242" s="236"/>
      <c r="AO242" s="232" t="str">
        <f>VLOOKUP(CONCATENATE($Z242,AO$59),'Resultados - 11'!$A$10:$G$155,AO$58,FALSE)</f>
        <v/>
      </c>
      <c r="AP242" s="236"/>
      <c r="AQ242" s="236"/>
      <c r="AR242" s="197" t="str">
        <f>VLOOKUP(CONCATENATE($Z242,AR$59),'Resultados - 11'!$A$10:$G$155,AR$58,FALSE)</f>
        <v/>
      </c>
      <c r="AS242" s="232">
        <f t="shared" si="155"/>
        <v>11</v>
      </c>
      <c r="AU242" s="232">
        <f t="shared" si="115"/>
        <v>0</v>
      </c>
      <c r="AV242" s="232">
        <f t="shared" ref="AV242:AV247" si="163">IF(AI242="",0,AI242*1)</f>
        <v>0</v>
      </c>
      <c r="AW242" s="236"/>
      <c r="AX242" s="236"/>
      <c r="AY242" s="232">
        <f t="shared" ref="AY242:AY247" si="164">IF(AL242="",0,AL242*1)</f>
        <v>0</v>
      </c>
    </row>
    <row r="243" spans="1:51" ht="12" hidden="1" customHeight="1" x14ac:dyDescent="0.2">
      <c r="A243" s="230"/>
      <c r="B243" s="327" t="str">
        <f t="shared" si="157"/>
        <v/>
      </c>
      <c r="C243" s="328"/>
      <c r="D243" s="328"/>
      <c r="E243" s="328" t="str">
        <f t="shared" ref="E243:E247" si="165">IF(B243="","",E242)</f>
        <v/>
      </c>
      <c r="F243" s="328"/>
      <c r="G243" s="328"/>
      <c r="H243" s="328" t="str">
        <f t="shared" si="158"/>
        <v/>
      </c>
      <c r="I243" s="328"/>
      <c r="J243" s="328"/>
      <c r="K243" s="328"/>
      <c r="L243" s="328" t="str">
        <f t="shared" si="159"/>
        <v/>
      </c>
      <c r="M243" s="328"/>
      <c r="N243" s="328"/>
      <c r="O243" s="328" t="str">
        <f t="shared" si="160"/>
        <v/>
      </c>
      <c r="P243" s="328"/>
      <c r="Q243" s="328"/>
      <c r="R243" s="328" t="str">
        <f t="shared" si="161"/>
        <v/>
      </c>
      <c r="S243" s="328"/>
      <c r="T243" s="328" t="str">
        <f t="shared" si="162"/>
        <v/>
      </c>
      <c r="U243" s="329"/>
      <c r="V243" s="230"/>
      <c r="W243" s="5">
        <f t="shared" si="100"/>
        <v>0</v>
      </c>
      <c r="X243" s="5">
        <f t="shared" si="101"/>
        <v>0</v>
      </c>
      <c r="Z243" s="293">
        <f t="shared" ref="Z243:Z247" si="166">Z242+1</f>
        <v>3</v>
      </c>
      <c r="AA243" s="232" t="str">
        <f>IF(AE243="","",VLOOKUP(CONCATENATE($Z243,AA$59),'Resultados - 11'!$A$10:$G$155,AA$58,FALSE))</f>
        <v/>
      </c>
      <c r="AE243" s="232" t="str">
        <f>VLOOKUP(CONCATENATE($Z243,AE$59),'Resultados - 11'!$A$10:$G$155,AE$58,FALSE)</f>
        <v/>
      </c>
      <c r="AF243" s="236"/>
      <c r="AG243" s="236"/>
      <c r="AH243" s="236"/>
      <c r="AI243" s="232" t="str">
        <f>VLOOKUP(CONCATENATE($Z243,AI$59),'Resultados - 11'!$A$10:$G$155,AI$58,FALSE)</f>
        <v/>
      </c>
      <c r="AJ243" s="236"/>
      <c r="AK243" s="236"/>
      <c r="AL243" s="232" t="str">
        <f>VLOOKUP(CONCATENATE($Z243,AL$59),'Resultados - 11'!$A$10:$G$155,AL$58,FALSE)</f>
        <v/>
      </c>
      <c r="AM243" s="236"/>
      <c r="AN243" s="236"/>
      <c r="AO243" s="232" t="str">
        <f>VLOOKUP(CONCATENATE($Z243,AO$59),'Resultados - 11'!$A$10:$G$155,AO$58,FALSE)</f>
        <v/>
      </c>
      <c r="AP243" s="236"/>
      <c r="AQ243" s="236"/>
      <c r="AR243" s="197" t="str">
        <f>VLOOKUP(CONCATENATE($Z243,AR$59),'Resultados - 11'!$A$10:$G$155,AR$58,FALSE)</f>
        <v/>
      </c>
      <c r="AS243" s="232">
        <f t="shared" si="155"/>
        <v>11</v>
      </c>
      <c r="AU243" s="232">
        <f t="shared" si="115"/>
        <v>0</v>
      </c>
      <c r="AV243" s="232">
        <f t="shared" si="163"/>
        <v>0</v>
      </c>
      <c r="AW243" s="236"/>
      <c r="AX243" s="236"/>
      <c r="AY243" s="232">
        <f t="shared" si="164"/>
        <v>0</v>
      </c>
    </row>
    <row r="244" spans="1:51" ht="12" hidden="1" customHeight="1" x14ac:dyDescent="0.2">
      <c r="A244" s="230"/>
      <c r="B244" s="327" t="str">
        <f t="shared" si="157"/>
        <v/>
      </c>
      <c r="C244" s="328"/>
      <c r="D244" s="328"/>
      <c r="E244" s="328" t="str">
        <f t="shared" si="165"/>
        <v/>
      </c>
      <c r="F244" s="328"/>
      <c r="G244" s="328"/>
      <c r="H244" s="328" t="str">
        <f t="shared" si="158"/>
        <v/>
      </c>
      <c r="I244" s="328"/>
      <c r="J244" s="328"/>
      <c r="K244" s="328"/>
      <c r="L244" s="328" t="str">
        <f t="shared" si="159"/>
        <v/>
      </c>
      <c r="M244" s="328"/>
      <c r="N244" s="328"/>
      <c r="O244" s="328" t="str">
        <f t="shared" si="160"/>
        <v/>
      </c>
      <c r="P244" s="328"/>
      <c r="Q244" s="328"/>
      <c r="R244" s="328" t="str">
        <f t="shared" si="161"/>
        <v/>
      </c>
      <c r="S244" s="328"/>
      <c r="T244" s="328" t="str">
        <f t="shared" si="162"/>
        <v/>
      </c>
      <c r="U244" s="329"/>
      <c r="V244" s="230"/>
      <c r="W244" s="5">
        <f t="shared" si="100"/>
        <v>0</v>
      </c>
      <c r="X244" s="5">
        <f t="shared" si="101"/>
        <v>0</v>
      </c>
      <c r="Z244" s="293">
        <f t="shared" si="166"/>
        <v>4</v>
      </c>
      <c r="AA244" s="232" t="str">
        <f>IF(AE244="","",VLOOKUP(CONCATENATE($Z244,AA$59),'Resultados - 11'!$A$10:$G$155,AA$58,FALSE))</f>
        <v/>
      </c>
      <c r="AE244" s="232" t="str">
        <f>VLOOKUP(CONCATENATE($Z244,AE$59),'Resultados - 11'!$A$10:$G$155,AE$58,FALSE)</f>
        <v/>
      </c>
      <c r="AF244" s="236"/>
      <c r="AG244" s="236"/>
      <c r="AH244" s="236"/>
      <c r="AI244" s="232" t="str">
        <f>VLOOKUP(CONCATENATE($Z244,AI$59),'Resultados - 11'!$A$10:$G$155,AI$58,FALSE)</f>
        <v/>
      </c>
      <c r="AJ244" s="236"/>
      <c r="AK244" s="236"/>
      <c r="AL244" s="232" t="str">
        <f>VLOOKUP(CONCATENATE($Z244,AL$59),'Resultados - 11'!$A$10:$G$155,AL$58,FALSE)</f>
        <v/>
      </c>
      <c r="AM244" s="236"/>
      <c r="AN244" s="236"/>
      <c r="AO244" s="232" t="str">
        <f>VLOOKUP(CONCATENATE($Z244,AO$59),'Resultados - 11'!$A$10:$G$155,AO$58,FALSE)</f>
        <v/>
      </c>
      <c r="AP244" s="236"/>
      <c r="AQ244" s="236"/>
      <c r="AR244" s="197" t="str">
        <f>VLOOKUP(CONCATENATE($Z244,AR$59),'Resultados - 11'!$A$10:$G$155,AR$58,FALSE)</f>
        <v/>
      </c>
      <c r="AS244" s="232">
        <f t="shared" si="155"/>
        <v>11</v>
      </c>
      <c r="AU244" s="232">
        <f t="shared" si="115"/>
        <v>0</v>
      </c>
      <c r="AV244" s="232">
        <f t="shared" si="163"/>
        <v>0</v>
      </c>
      <c r="AW244" s="236"/>
      <c r="AX244" s="236"/>
      <c r="AY244" s="232">
        <f t="shared" si="164"/>
        <v>0</v>
      </c>
    </row>
    <row r="245" spans="1:51" ht="12" hidden="1" customHeight="1" x14ac:dyDescent="0.2">
      <c r="A245" s="230"/>
      <c r="B245" s="327" t="str">
        <f t="shared" si="157"/>
        <v/>
      </c>
      <c r="C245" s="328"/>
      <c r="D245" s="328"/>
      <c r="E245" s="328" t="str">
        <f t="shared" si="165"/>
        <v/>
      </c>
      <c r="F245" s="328"/>
      <c r="G245" s="328"/>
      <c r="H245" s="328" t="str">
        <f t="shared" si="158"/>
        <v/>
      </c>
      <c r="I245" s="328"/>
      <c r="J245" s="328"/>
      <c r="K245" s="328"/>
      <c r="L245" s="328" t="str">
        <f t="shared" si="159"/>
        <v/>
      </c>
      <c r="M245" s="328"/>
      <c r="N245" s="328"/>
      <c r="O245" s="328" t="str">
        <f t="shared" si="160"/>
        <v/>
      </c>
      <c r="P245" s="328"/>
      <c r="Q245" s="328"/>
      <c r="R245" s="328" t="str">
        <f t="shared" si="161"/>
        <v/>
      </c>
      <c r="S245" s="328"/>
      <c r="T245" s="328" t="str">
        <f t="shared" si="162"/>
        <v/>
      </c>
      <c r="U245" s="329"/>
      <c r="V245" s="230"/>
      <c r="W245" s="5">
        <f t="shared" si="100"/>
        <v>0</v>
      </c>
      <c r="X245" s="5">
        <f t="shared" si="101"/>
        <v>0</v>
      </c>
      <c r="Z245" s="293">
        <f t="shared" si="166"/>
        <v>5</v>
      </c>
      <c r="AA245" s="232" t="str">
        <f>IF(AE245="","",VLOOKUP(CONCATENATE($Z245,AA$59),'Resultados - 11'!$A$10:$G$155,AA$58,FALSE))</f>
        <v/>
      </c>
      <c r="AE245" s="232" t="str">
        <f>VLOOKUP(CONCATENATE($Z245,AE$59),'Resultados - 11'!$A$10:$G$155,AE$58,FALSE)</f>
        <v/>
      </c>
      <c r="AF245" s="236"/>
      <c r="AG245" s="236"/>
      <c r="AH245" s="236"/>
      <c r="AI245" s="232" t="str">
        <f>VLOOKUP(CONCATENATE($Z245,AI$59),'Resultados - 11'!$A$10:$G$155,AI$58,FALSE)</f>
        <v/>
      </c>
      <c r="AJ245" s="236"/>
      <c r="AK245" s="236"/>
      <c r="AL245" s="232" t="str">
        <f>VLOOKUP(CONCATENATE($Z245,AL$59),'Resultados - 11'!$A$10:$G$155,AL$58,FALSE)</f>
        <v/>
      </c>
      <c r="AM245" s="236"/>
      <c r="AN245" s="236"/>
      <c r="AO245" s="232" t="str">
        <f>VLOOKUP(CONCATENATE($Z245,AO$59),'Resultados - 11'!$A$10:$G$155,AO$58,FALSE)</f>
        <v/>
      </c>
      <c r="AP245" s="236"/>
      <c r="AQ245" s="236"/>
      <c r="AR245" s="197" t="str">
        <f>VLOOKUP(CONCATENATE($Z245,AR$59),'Resultados - 11'!$A$10:$G$155,AR$58,FALSE)</f>
        <v/>
      </c>
      <c r="AS245" s="232">
        <f t="shared" si="155"/>
        <v>11</v>
      </c>
      <c r="AU245" s="232">
        <f t="shared" si="115"/>
        <v>0</v>
      </c>
      <c r="AV245" s="232">
        <f t="shared" si="163"/>
        <v>0</v>
      </c>
      <c r="AW245" s="236"/>
      <c r="AX245" s="236"/>
      <c r="AY245" s="232">
        <f t="shared" si="164"/>
        <v>0</v>
      </c>
    </row>
    <row r="246" spans="1:51" ht="12" hidden="1" customHeight="1" x14ac:dyDescent="0.2">
      <c r="A246" s="230"/>
      <c r="B246" s="327" t="str">
        <f t="shared" si="157"/>
        <v/>
      </c>
      <c r="C246" s="328"/>
      <c r="D246" s="328"/>
      <c r="E246" s="328" t="str">
        <f t="shared" si="165"/>
        <v/>
      </c>
      <c r="F246" s="328"/>
      <c r="G246" s="328"/>
      <c r="H246" s="328" t="str">
        <f t="shared" si="158"/>
        <v/>
      </c>
      <c r="I246" s="328"/>
      <c r="J246" s="328"/>
      <c r="K246" s="328"/>
      <c r="L246" s="328" t="str">
        <f t="shared" si="159"/>
        <v/>
      </c>
      <c r="M246" s="328"/>
      <c r="N246" s="328"/>
      <c r="O246" s="328" t="str">
        <f t="shared" si="160"/>
        <v/>
      </c>
      <c r="P246" s="328"/>
      <c r="Q246" s="328"/>
      <c r="R246" s="328" t="str">
        <f t="shared" si="161"/>
        <v/>
      </c>
      <c r="S246" s="328"/>
      <c r="T246" s="328" t="str">
        <f t="shared" si="162"/>
        <v/>
      </c>
      <c r="U246" s="329"/>
      <c r="V246" s="230"/>
      <c r="W246" s="5">
        <f t="shared" si="100"/>
        <v>0</v>
      </c>
      <c r="X246" s="5">
        <f t="shared" si="101"/>
        <v>0</v>
      </c>
      <c r="Z246" s="293">
        <f t="shared" si="166"/>
        <v>6</v>
      </c>
      <c r="AA246" s="232" t="str">
        <f>IF(AE246="","",VLOOKUP(CONCATENATE($Z246,AA$59),'Resultados - 11'!$A$10:$G$155,AA$58,FALSE))</f>
        <v/>
      </c>
      <c r="AE246" s="232" t="str">
        <f>VLOOKUP(CONCATENATE($Z246,AE$59),'Resultados - 11'!$A$10:$G$155,AE$58,FALSE)</f>
        <v/>
      </c>
      <c r="AF246" s="236"/>
      <c r="AG246" s="236"/>
      <c r="AH246" s="236"/>
      <c r="AI246" s="232" t="str">
        <f>VLOOKUP(CONCATENATE($Z246,AI$59),'Resultados - 11'!$A$10:$G$155,AI$58,FALSE)</f>
        <v/>
      </c>
      <c r="AJ246" s="236"/>
      <c r="AK246" s="236"/>
      <c r="AL246" s="232" t="str">
        <f>VLOOKUP(CONCATENATE($Z246,AL$59),'Resultados - 11'!$A$10:$G$155,AL$58,FALSE)</f>
        <v/>
      </c>
      <c r="AM246" s="236"/>
      <c r="AN246" s="236"/>
      <c r="AO246" s="232" t="str">
        <f>VLOOKUP(CONCATENATE($Z246,AO$59),'Resultados - 11'!$A$10:$G$155,AO$58,FALSE)</f>
        <v/>
      </c>
      <c r="AP246" s="236"/>
      <c r="AQ246" s="236"/>
      <c r="AR246" s="197" t="str">
        <f>VLOOKUP(CONCATENATE($Z246,AR$59),'Resultados - 11'!$A$10:$G$155,AR$58,FALSE)</f>
        <v/>
      </c>
      <c r="AS246" s="232">
        <f t="shared" si="155"/>
        <v>11</v>
      </c>
      <c r="AU246" s="232">
        <f t="shared" si="115"/>
        <v>0</v>
      </c>
      <c r="AV246" s="232">
        <f t="shared" si="163"/>
        <v>0</v>
      </c>
      <c r="AW246" s="236"/>
      <c r="AX246" s="236"/>
      <c r="AY246" s="232">
        <f t="shared" si="164"/>
        <v>0</v>
      </c>
    </row>
    <row r="247" spans="1:51" ht="12" hidden="1" customHeight="1" x14ac:dyDescent="0.2">
      <c r="A247" s="230"/>
      <c r="B247" s="327" t="str">
        <f t="shared" si="157"/>
        <v/>
      </c>
      <c r="C247" s="328"/>
      <c r="D247" s="328"/>
      <c r="E247" s="328" t="str">
        <f t="shared" si="165"/>
        <v/>
      </c>
      <c r="F247" s="328"/>
      <c r="G247" s="328"/>
      <c r="H247" s="328" t="str">
        <f t="shared" si="158"/>
        <v/>
      </c>
      <c r="I247" s="328"/>
      <c r="J247" s="328"/>
      <c r="K247" s="328"/>
      <c r="L247" s="328" t="str">
        <f t="shared" si="159"/>
        <v/>
      </c>
      <c r="M247" s="328"/>
      <c r="N247" s="328"/>
      <c r="O247" s="328" t="str">
        <f t="shared" si="160"/>
        <v/>
      </c>
      <c r="P247" s="328"/>
      <c r="Q247" s="328"/>
      <c r="R247" s="328" t="str">
        <f t="shared" si="161"/>
        <v/>
      </c>
      <c r="S247" s="328"/>
      <c r="T247" s="328" t="str">
        <f t="shared" si="162"/>
        <v/>
      </c>
      <c r="U247" s="329"/>
      <c r="V247" s="230"/>
      <c r="W247" s="5">
        <f t="shared" si="100"/>
        <v>0</v>
      </c>
      <c r="X247" s="5">
        <f t="shared" si="101"/>
        <v>0</v>
      </c>
      <c r="Z247" s="294">
        <f t="shared" si="166"/>
        <v>7</v>
      </c>
      <c r="AA247" s="232" t="str">
        <f>IF(AE247="","",VLOOKUP(CONCATENATE($Z247,AA$59),'Resultados - 11'!$A$10:$G$155,AA$58,FALSE))</f>
        <v/>
      </c>
      <c r="AB247" s="296"/>
      <c r="AC247" s="296"/>
      <c r="AD247" s="296"/>
      <c r="AE247" s="295" t="str">
        <f>VLOOKUP(CONCATENATE($Z247,AE$59),'Resultados - 11'!$A$10:$G$155,AE$58,FALSE)</f>
        <v/>
      </c>
      <c r="AF247" s="297"/>
      <c r="AG247" s="297"/>
      <c r="AH247" s="297"/>
      <c r="AI247" s="295" t="str">
        <f>VLOOKUP(CONCATENATE($Z247,AI$59),'Resultados - 11'!$A$10:$G$155,AI$58,FALSE)</f>
        <v/>
      </c>
      <c r="AJ247" s="297"/>
      <c r="AK247" s="297"/>
      <c r="AL247" s="295" t="str">
        <f>VLOOKUP(CONCATENATE($Z247,AL$59),'Resultados - 11'!$A$10:$G$155,AL$58,FALSE)</f>
        <v/>
      </c>
      <c r="AM247" s="297"/>
      <c r="AN247" s="297"/>
      <c r="AO247" s="295" t="str">
        <f>VLOOKUP(CONCATENATE($Z247,AO$59),'Resultados - 11'!$A$10:$G$155,AO$58,FALSE)</f>
        <v/>
      </c>
      <c r="AP247" s="297"/>
      <c r="AQ247" s="297"/>
      <c r="AR247" s="298" t="str">
        <f>VLOOKUP(CONCATENATE($Z247,AR$59),'Resultados - 11'!$A$10:$G$155,AR$58,FALSE)</f>
        <v/>
      </c>
      <c r="AS247" s="232">
        <f t="shared" si="155"/>
        <v>11</v>
      </c>
      <c r="AU247" s="232">
        <f t="shared" si="115"/>
        <v>0</v>
      </c>
      <c r="AV247" s="232">
        <f t="shared" si="163"/>
        <v>0</v>
      </c>
      <c r="AW247" s="236"/>
      <c r="AX247" s="236"/>
      <c r="AY247" s="232">
        <f t="shared" si="164"/>
        <v>0</v>
      </c>
    </row>
    <row r="248" spans="1:51" ht="12" hidden="1" customHeight="1" x14ac:dyDescent="0.2">
      <c r="A248" s="230"/>
      <c r="B248" s="338" t="str">
        <f>IF(Dados!$Z$9=3,IF(Z248=0,"",CONCATENATE(Z248," - Faixa de medição : (",AB248,AD248,AE248,") ",AG248)),IF(Z248=0,"",Z248))</f>
        <v/>
      </c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230"/>
      <c r="W248" s="5">
        <f t="shared" ref="W248" si="167">IF(X248=0,0,IF(W249=0,0,1))</f>
        <v>0</v>
      </c>
      <c r="X248" s="5">
        <f t="shared" si="101"/>
        <v>0</v>
      </c>
      <c r="Z248" s="289">
        <f>'Resultados - 12'!$G$4</f>
        <v>0</v>
      </c>
      <c r="AA248" s="290"/>
      <c r="AB248" s="290">
        <f>'Resultados - 12'!$N$4</f>
        <v>0</v>
      </c>
      <c r="AC248" s="290"/>
      <c r="AD248" s="290" t="str">
        <f>'Resultados - 12'!$P$4</f>
        <v>~</v>
      </c>
      <c r="AE248" s="290">
        <f>'Resultados - 12'!$Q$4</f>
        <v>0</v>
      </c>
      <c r="AF248" s="290"/>
      <c r="AG248" s="290" t="str">
        <f>'Resultados - 12'!$G$12</f>
        <v>µL</v>
      </c>
      <c r="AH248" s="291"/>
      <c r="AI248" s="290"/>
      <c r="AJ248" s="291"/>
      <c r="AK248" s="291"/>
      <c r="AL248" s="290"/>
      <c r="AM248" s="291"/>
      <c r="AN248" s="291"/>
      <c r="AO248" s="290"/>
      <c r="AP248" s="291"/>
      <c r="AQ248" s="291"/>
      <c r="AR248" s="292"/>
      <c r="AS248" s="232">
        <f t="shared" ref="AS248" si="168">AS247+1</f>
        <v>12</v>
      </c>
    </row>
    <row r="249" spans="1:51" ht="12" hidden="1" customHeight="1" x14ac:dyDescent="0.2">
      <c r="A249" s="230"/>
      <c r="B249" s="327" t="str">
        <f>AA249</f>
        <v/>
      </c>
      <c r="C249" s="328"/>
      <c r="D249" s="328"/>
      <c r="E249" s="328" t="str">
        <f>IF(B249="","",AG248)</f>
        <v/>
      </c>
      <c r="F249" s="328"/>
      <c r="G249" s="328"/>
      <c r="H249" s="328" t="str">
        <f>AE249</f>
        <v/>
      </c>
      <c r="I249" s="328"/>
      <c r="J249" s="328"/>
      <c r="K249" s="328"/>
      <c r="L249" s="328" t="str">
        <f>AI249</f>
        <v/>
      </c>
      <c r="M249" s="328"/>
      <c r="N249" s="328"/>
      <c r="O249" s="328" t="str">
        <f>AL249</f>
        <v/>
      </c>
      <c r="P249" s="328"/>
      <c r="Q249" s="328"/>
      <c r="R249" s="328" t="str">
        <f>AO249</f>
        <v/>
      </c>
      <c r="S249" s="328"/>
      <c r="T249" s="328" t="str">
        <f>AR249</f>
        <v/>
      </c>
      <c r="U249" s="329"/>
      <c r="V249" s="230"/>
      <c r="W249" s="5">
        <f t="shared" si="100"/>
        <v>0</v>
      </c>
      <c r="X249" s="5">
        <f t="shared" si="101"/>
        <v>0</v>
      </c>
      <c r="Z249" s="293">
        <v>1</v>
      </c>
      <c r="AA249" s="232" t="str">
        <f>IF(AE249="","",VLOOKUP(CONCATENATE($Z249,AA$59),'Resultados - 12'!$A$10:$G$155,AA$58,FALSE))</f>
        <v/>
      </c>
      <c r="AE249" s="232" t="str">
        <f>VLOOKUP(CONCATENATE($Z249,AE$59),'Resultados - 12'!$A$10:$G$155,AE$58,FALSE)</f>
        <v/>
      </c>
      <c r="AF249" s="236"/>
      <c r="AG249" s="236"/>
      <c r="AH249" s="236"/>
      <c r="AI249" s="232" t="str">
        <f>VLOOKUP(CONCATENATE($Z249,AI$59),'Resultados - 12'!$A$10:$G$155,AI$58,FALSE)</f>
        <v/>
      </c>
      <c r="AJ249" s="236"/>
      <c r="AK249" s="236"/>
      <c r="AL249" s="232" t="str">
        <f>VLOOKUP(CONCATENATE($Z249,AL$59),'Resultados - 12'!$A$10:$G$155,AL$58,FALSE)</f>
        <v/>
      </c>
      <c r="AM249" s="236"/>
      <c r="AN249" s="236"/>
      <c r="AO249" s="232" t="str">
        <f>VLOOKUP(CONCATENATE($Z249,AO$59),'Resultados - 12'!$A$10:$G$155,AO$58,FALSE)</f>
        <v/>
      </c>
      <c r="AP249" s="236"/>
      <c r="AQ249" s="236"/>
      <c r="AR249" s="197" t="str">
        <f>VLOOKUP(CONCATENATE($Z249,AR$59),'Resultados - 12'!$A$10:$G$155,AR$58,FALSE)</f>
        <v/>
      </c>
      <c r="AS249" s="232">
        <f t="shared" ref="AS249:AS255" si="169">AS248</f>
        <v>12</v>
      </c>
      <c r="AU249" s="232">
        <f t="shared" ref="AU249" si="170">ABS(AV249)</f>
        <v>0</v>
      </c>
      <c r="AV249" s="232">
        <f>IF(AI249="",0,AI249*1)</f>
        <v>0</v>
      </c>
      <c r="AW249" s="236"/>
      <c r="AX249" s="236"/>
      <c r="AY249" s="232">
        <f>IF(AL249="",0,AL249*1)</f>
        <v>0</v>
      </c>
    </row>
    <row r="250" spans="1:51" ht="12" hidden="1" customHeight="1" x14ac:dyDescent="0.2">
      <c r="A250" s="230"/>
      <c r="B250" s="327" t="str">
        <f t="shared" ref="B250:B255" si="171">AA250</f>
        <v/>
      </c>
      <c r="C250" s="328"/>
      <c r="D250" s="328"/>
      <c r="E250" s="328" t="str">
        <f>IF(B250="","",E249)</f>
        <v/>
      </c>
      <c r="F250" s="328"/>
      <c r="G250" s="328"/>
      <c r="H250" s="328" t="str">
        <f t="shared" ref="H250:H255" si="172">AE250</f>
        <v/>
      </c>
      <c r="I250" s="328"/>
      <c r="J250" s="328"/>
      <c r="K250" s="328"/>
      <c r="L250" s="328" t="str">
        <f t="shared" ref="L250:L255" si="173">AI250</f>
        <v/>
      </c>
      <c r="M250" s="328"/>
      <c r="N250" s="328"/>
      <c r="O250" s="328" t="str">
        <f t="shared" ref="O250:O255" si="174">AL250</f>
        <v/>
      </c>
      <c r="P250" s="328"/>
      <c r="Q250" s="328"/>
      <c r="R250" s="328" t="str">
        <f t="shared" ref="R250:R255" si="175">AO250</f>
        <v/>
      </c>
      <c r="S250" s="328"/>
      <c r="T250" s="328" t="str">
        <f t="shared" ref="T250:T255" si="176">AR250</f>
        <v/>
      </c>
      <c r="U250" s="329"/>
      <c r="V250" s="230"/>
      <c r="W250" s="5">
        <f t="shared" si="100"/>
        <v>0</v>
      </c>
      <c r="X250" s="5">
        <f t="shared" si="101"/>
        <v>0</v>
      </c>
      <c r="Z250" s="293">
        <f>Z249+1</f>
        <v>2</v>
      </c>
      <c r="AA250" s="232" t="str">
        <f>IF(AE250="","",VLOOKUP(CONCATENATE($Z250,AA$59),'Resultados - 12'!$A$10:$G$155,AA$58,FALSE))</f>
        <v/>
      </c>
      <c r="AE250" s="232" t="str">
        <f>VLOOKUP(CONCATENATE($Z250,AE$59),'Resultados - 12'!$A$10:$G$155,AE$58,FALSE)</f>
        <v/>
      </c>
      <c r="AF250" s="236"/>
      <c r="AG250" s="236"/>
      <c r="AH250" s="236"/>
      <c r="AI250" s="232" t="str">
        <f>VLOOKUP(CONCATENATE($Z250,AI$59),'Resultados - 12'!$A$10:$G$155,AI$58,FALSE)</f>
        <v/>
      </c>
      <c r="AJ250" s="236"/>
      <c r="AK250" s="236"/>
      <c r="AL250" s="232" t="str">
        <f>VLOOKUP(CONCATENATE($Z250,AL$59),'Resultados - 12'!$A$10:$G$155,AL$58,FALSE)</f>
        <v/>
      </c>
      <c r="AM250" s="236"/>
      <c r="AN250" s="236"/>
      <c r="AO250" s="232" t="str">
        <f>VLOOKUP(CONCATENATE($Z250,AO$59),'Resultados - 12'!$A$10:$G$155,AO$58,FALSE)</f>
        <v/>
      </c>
      <c r="AP250" s="236"/>
      <c r="AQ250" s="236"/>
      <c r="AR250" s="197" t="str">
        <f>VLOOKUP(CONCATENATE($Z250,AR$59),'Resultados - 12'!$A$10:$G$155,AR$58,FALSE)</f>
        <v/>
      </c>
      <c r="AS250" s="232">
        <f t="shared" si="169"/>
        <v>12</v>
      </c>
      <c r="AU250" s="232">
        <f t="shared" si="115"/>
        <v>0</v>
      </c>
      <c r="AV250" s="232">
        <f t="shared" ref="AV250:AV255" si="177">IF(AI250="",0,AI250*1)</f>
        <v>0</v>
      </c>
      <c r="AW250" s="236"/>
      <c r="AX250" s="236"/>
      <c r="AY250" s="232">
        <f t="shared" ref="AY250:AY255" si="178">IF(AL250="",0,AL250*1)</f>
        <v>0</v>
      </c>
    </row>
    <row r="251" spans="1:51" ht="12" hidden="1" customHeight="1" x14ac:dyDescent="0.2">
      <c r="A251" s="230"/>
      <c r="B251" s="327" t="str">
        <f t="shared" si="171"/>
        <v/>
      </c>
      <c r="C251" s="328"/>
      <c r="D251" s="328"/>
      <c r="E251" s="328" t="str">
        <f t="shared" ref="E251:E255" si="179">IF(B251="","",E250)</f>
        <v/>
      </c>
      <c r="F251" s="328"/>
      <c r="G251" s="328"/>
      <c r="H251" s="328" t="str">
        <f t="shared" si="172"/>
        <v/>
      </c>
      <c r="I251" s="328"/>
      <c r="J251" s="328"/>
      <c r="K251" s="328"/>
      <c r="L251" s="328" t="str">
        <f t="shared" si="173"/>
        <v/>
      </c>
      <c r="M251" s="328"/>
      <c r="N251" s="328"/>
      <c r="O251" s="328" t="str">
        <f t="shared" si="174"/>
        <v/>
      </c>
      <c r="P251" s="328"/>
      <c r="Q251" s="328"/>
      <c r="R251" s="328" t="str">
        <f t="shared" si="175"/>
        <v/>
      </c>
      <c r="S251" s="328"/>
      <c r="T251" s="328" t="str">
        <f t="shared" si="176"/>
        <v/>
      </c>
      <c r="U251" s="329"/>
      <c r="V251" s="230"/>
      <c r="W251" s="5">
        <f t="shared" si="100"/>
        <v>0</v>
      </c>
      <c r="X251" s="5">
        <f t="shared" si="101"/>
        <v>0</v>
      </c>
      <c r="Z251" s="293">
        <f t="shared" ref="Z251:Z255" si="180">Z250+1</f>
        <v>3</v>
      </c>
      <c r="AA251" s="232" t="str">
        <f>IF(AE251="","",VLOOKUP(CONCATENATE($Z251,AA$59),'Resultados - 12'!$A$10:$G$155,AA$58,FALSE))</f>
        <v/>
      </c>
      <c r="AE251" s="232" t="str">
        <f>VLOOKUP(CONCATENATE($Z251,AE$59),'Resultados - 12'!$A$10:$G$155,AE$58,FALSE)</f>
        <v/>
      </c>
      <c r="AF251" s="236"/>
      <c r="AG251" s="236"/>
      <c r="AH251" s="236"/>
      <c r="AI251" s="232" t="str">
        <f>VLOOKUP(CONCATENATE($Z251,AI$59),'Resultados - 12'!$A$10:$G$155,AI$58,FALSE)</f>
        <v/>
      </c>
      <c r="AJ251" s="236"/>
      <c r="AK251" s="236"/>
      <c r="AL251" s="232" t="str">
        <f>VLOOKUP(CONCATENATE($Z251,AL$59),'Resultados - 12'!$A$10:$G$155,AL$58,FALSE)</f>
        <v/>
      </c>
      <c r="AM251" s="236"/>
      <c r="AN251" s="236"/>
      <c r="AO251" s="232" t="str">
        <f>VLOOKUP(CONCATENATE($Z251,AO$59),'Resultados - 12'!$A$10:$G$155,AO$58,FALSE)</f>
        <v/>
      </c>
      <c r="AP251" s="236"/>
      <c r="AQ251" s="236"/>
      <c r="AR251" s="197" t="str">
        <f>VLOOKUP(CONCATENATE($Z251,AR$59),'Resultados - 12'!$A$10:$G$155,AR$58,FALSE)</f>
        <v/>
      </c>
      <c r="AS251" s="232">
        <f t="shared" si="169"/>
        <v>12</v>
      </c>
      <c r="AU251" s="232">
        <f t="shared" si="115"/>
        <v>0</v>
      </c>
      <c r="AV251" s="232">
        <f t="shared" si="177"/>
        <v>0</v>
      </c>
      <c r="AW251" s="236"/>
      <c r="AX251" s="236"/>
      <c r="AY251" s="232">
        <f t="shared" si="178"/>
        <v>0</v>
      </c>
    </row>
    <row r="252" spans="1:51" ht="12" hidden="1" customHeight="1" x14ac:dyDescent="0.2">
      <c r="A252" s="230"/>
      <c r="B252" s="327" t="str">
        <f t="shared" si="171"/>
        <v/>
      </c>
      <c r="C252" s="328"/>
      <c r="D252" s="328"/>
      <c r="E252" s="328" t="str">
        <f t="shared" si="179"/>
        <v/>
      </c>
      <c r="F252" s="328"/>
      <c r="G252" s="328"/>
      <c r="H252" s="328" t="str">
        <f t="shared" si="172"/>
        <v/>
      </c>
      <c r="I252" s="328"/>
      <c r="J252" s="328"/>
      <c r="K252" s="328"/>
      <c r="L252" s="328" t="str">
        <f t="shared" si="173"/>
        <v/>
      </c>
      <c r="M252" s="328"/>
      <c r="N252" s="328"/>
      <c r="O252" s="328" t="str">
        <f t="shared" si="174"/>
        <v/>
      </c>
      <c r="P252" s="328"/>
      <c r="Q252" s="328"/>
      <c r="R252" s="328" t="str">
        <f t="shared" si="175"/>
        <v/>
      </c>
      <c r="S252" s="328"/>
      <c r="T252" s="328" t="str">
        <f t="shared" si="176"/>
        <v/>
      </c>
      <c r="U252" s="329"/>
      <c r="V252" s="230"/>
      <c r="W252" s="5">
        <f t="shared" si="100"/>
        <v>0</v>
      </c>
      <c r="X252" s="5">
        <f t="shared" si="101"/>
        <v>0</v>
      </c>
      <c r="Z252" s="293">
        <f t="shared" si="180"/>
        <v>4</v>
      </c>
      <c r="AA252" s="232" t="str">
        <f>IF(AE252="","",VLOOKUP(CONCATENATE($Z252,AA$59),'Resultados - 12'!$A$10:$G$155,AA$58,FALSE))</f>
        <v/>
      </c>
      <c r="AE252" s="232" t="str">
        <f>VLOOKUP(CONCATENATE($Z252,AE$59),'Resultados - 12'!$A$10:$G$155,AE$58,FALSE)</f>
        <v/>
      </c>
      <c r="AF252" s="236"/>
      <c r="AG252" s="236"/>
      <c r="AH252" s="236"/>
      <c r="AI252" s="232" t="str">
        <f>VLOOKUP(CONCATENATE($Z252,AI$59),'Resultados - 12'!$A$10:$G$155,AI$58,FALSE)</f>
        <v/>
      </c>
      <c r="AJ252" s="236"/>
      <c r="AK252" s="236"/>
      <c r="AL252" s="232" t="str">
        <f>VLOOKUP(CONCATENATE($Z252,AL$59),'Resultados - 12'!$A$10:$G$155,AL$58,FALSE)</f>
        <v/>
      </c>
      <c r="AM252" s="236"/>
      <c r="AN252" s="236"/>
      <c r="AO252" s="232" t="str">
        <f>VLOOKUP(CONCATENATE($Z252,AO$59),'Resultados - 12'!$A$10:$G$155,AO$58,FALSE)</f>
        <v/>
      </c>
      <c r="AP252" s="236"/>
      <c r="AQ252" s="236"/>
      <c r="AR252" s="197" t="str">
        <f>VLOOKUP(CONCATENATE($Z252,AR$59),'Resultados - 12'!$A$10:$G$155,AR$58,FALSE)</f>
        <v/>
      </c>
      <c r="AS252" s="232">
        <f t="shared" si="169"/>
        <v>12</v>
      </c>
      <c r="AU252" s="232">
        <f t="shared" si="115"/>
        <v>0</v>
      </c>
      <c r="AV252" s="232">
        <f t="shared" si="177"/>
        <v>0</v>
      </c>
      <c r="AW252" s="236"/>
      <c r="AX252" s="236"/>
      <c r="AY252" s="232">
        <f t="shared" si="178"/>
        <v>0</v>
      </c>
    </row>
    <row r="253" spans="1:51" ht="12" hidden="1" customHeight="1" x14ac:dyDescent="0.2">
      <c r="A253" s="230"/>
      <c r="B253" s="327" t="str">
        <f t="shared" si="171"/>
        <v/>
      </c>
      <c r="C253" s="328"/>
      <c r="D253" s="328"/>
      <c r="E253" s="328" t="str">
        <f t="shared" si="179"/>
        <v/>
      </c>
      <c r="F253" s="328"/>
      <c r="G253" s="328"/>
      <c r="H253" s="328" t="str">
        <f t="shared" si="172"/>
        <v/>
      </c>
      <c r="I253" s="328"/>
      <c r="J253" s="328"/>
      <c r="K253" s="328"/>
      <c r="L253" s="328" t="str">
        <f t="shared" si="173"/>
        <v/>
      </c>
      <c r="M253" s="328"/>
      <c r="N253" s="328"/>
      <c r="O253" s="328" t="str">
        <f t="shared" si="174"/>
        <v/>
      </c>
      <c r="P253" s="328"/>
      <c r="Q253" s="328"/>
      <c r="R253" s="328" t="str">
        <f t="shared" si="175"/>
        <v/>
      </c>
      <c r="S253" s="328"/>
      <c r="T253" s="328" t="str">
        <f t="shared" si="176"/>
        <v/>
      </c>
      <c r="U253" s="329"/>
      <c r="V253" s="230"/>
      <c r="W253" s="5">
        <f t="shared" si="100"/>
        <v>0</v>
      </c>
      <c r="X253" s="5">
        <f t="shared" si="101"/>
        <v>0</v>
      </c>
      <c r="Z253" s="293">
        <f t="shared" si="180"/>
        <v>5</v>
      </c>
      <c r="AA253" s="232" t="str">
        <f>IF(AE253="","",VLOOKUP(CONCATENATE($Z253,AA$59),'Resultados - 12'!$A$10:$G$155,AA$58,FALSE))</f>
        <v/>
      </c>
      <c r="AE253" s="232" t="str">
        <f>VLOOKUP(CONCATENATE($Z253,AE$59),'Resultados - 12'!$A$10:$G$155,AE$58,FALSE)</f>
        <v/>
      </c>
      <c r="AF253" s="236"/>
      <c r="AG253" s="236"/>
      <c r="AH253" s="236"/>
      <c r="AI253" s="232" t="str">
        <f>VLOOKUP(CONCATENATE($Z253,AI$59),'Resultados - 12'!$A$10:$G$155,AI$58,FALSE)</f>
        <v/>
      </c>
      <c r="AJ253" s="236"/>
      <c r="AK253" s="236"/>
      <c r="AL253" s="232" t="str">
        <f>VLOOKUP(CONCATENATE($Z253,AL$59),'Resultados - 12'!$A$10:$G$155,AL$58,FALSE)</f>
        <v/>
      </c>
      <c r="AM253" s="236"/>
      <c r="AN253" s="236"/>
      <c r="AO253" s="232" t="str">
        <f>VLOOKUP(CONCATENATE($Z253,AO$59),'Resultados - 12'!$A$10:$G$155,AO$58,FALSE)</f>
        <v/>
      </c>
      <c r="AP253" s="236"/>
      <c r="AQ253" s="236"/>
      <c r="AR253" s="197" t="str">
        <f>VLOOKUP(CONCATENATE($Z253,AR$59),'Resultados - 12'!$A$10:$G$155,AR$58,FALSE)</f>
        <v/>
      </c>
      <c r="AS253" s="232">
        <f t="shared" si="169"/>
        <v>12</v>
      </c>
      <c r="AU253" s="232">
        <f t="shared" si="115"/>
        <v>0</v>
      </c>
      <c r="AV253" s="232">
        <f t="shared" si="177"/>
        <v>0</v>
      </c>
      <c r="AW253" s="236"/>
      <c r="AX253" s="236"/>
      <c r="AY253" s="232">
        <f t="shared" si="178"/>
        <v>0</v>
      </c>
    </row>
    <row r="254" spans="1:51" ht="12" hidden="1" customHeight="1" x14ac:dyDescent="0.2">
      <c r="A254" s="230"/>
      <c r="B254" s="327" t="str">
        <f t="shared" si="171"/>
        <v/>
      </c>
      <c r="C254" s="328"/>
      <c r="D254" s="328"/>
      <c r="E254" s="328" t="str">
        <f t="shared" si="179"/>
        <v/>
      </c>
      <c r="F254" s="328"/>
      <c r="G254" s="328"/>
      <c r="H254" s="328" t="str">
        <f t="shared" si="172"/>
        <v/>
      </c>
      <c r="I254" s="328"/>
      <c r="J254" s="328"/>
      <c r="K254" s="328"/>
      <c r="L254" s="328" t="str">
        <f t="shared" si="173"/>
        <v/>
      </c>
      <c r="M254" s="328"/>
      <c r="N254" s="328"/>
      <c r="O254" s="328" t="str">
        <f t="shared" si="174"/>
        <v/>
      </c>
      <c r="P254" s="328"/>
      <c r="Q254" s="328"/>
      <c r="R254" s="328" t="str">
        <f t="shared" si="175"/>
        <v/>
      </c>
      <c r="S254" s="328"/>
      <c r="T254" s="328" t="str">
        <f t="shared" si="176"/>
        <v/>
      </c>
      <c r="U254" s="329"/>
      <c r="V254" s="230"/>
      <c r="W254" s="5">
        <f t="shared" si="100"/>
        <v>0</v>
      </c>
      <c r="X254" s="5">
        <f t="shared" si="101"/>
        <v>0</v>
      </c>
      <c r="Z254" s="293">
        <f t="shared" si="180"/>
        <v>6</v>
      </c>
      <c r="AA254" s="232" t="str">
        <f>IF(AE254="","",VLOOKUP(CONCATENATE($Z254,AA$59),'Resultados - 12'!$A$10:$G$155,AA$58,FALSE))</f>
        <v/>
      </c>
      <c r="AE254" s="232" t="str">
        <f>VLOOKUP(CONCATENATE($Z254,AE$59),'Resultados - 12'!$A$10:$G$155,AE$58,FALSE)</f>
        <v/>
      </c>
      <c r="AF254" s="236"/>
      <c r="AG254" s="236"/>
      <c r="AH254" s="236"/>
      <c r="AI254" s="232" t="str">
        <f>VLOOKUP(CONCATENATE($Z254,AI$59),'Resultados - 12'!$A$10:$G$155,AI$58,FALSE)</f>
        <v/>
      </c>
      <c r="AJ254" s="236"/>
      <c r="AK254" s="236"/>
      <c r="AL254" s="232" t="str">
        <f>VLOOKUP(CONCATENATE($Z254,AL$59),'Resultados - 12'!$A$10:$G$155,AL$58,FALSE)</f>
        <v/>
      </c>
      <c r="AM254" s="236"/>
      <c r="AN254" s="236"/>
      <c r="AO254" s="232" t="str">
        <f>VLOOKUP(CONCATENATE($Z254,AO$59),'Resultados - 12'!$A$10:$G$155,AO$58,FALSE)</f>
        <v/>
      </c>
      <c r="AP254" s="236"/>
      <c r="AQ254" s="236"/>
      <c r="AR254" s="197" t="str">
        <f>VLOOKUP(CONCATENATE($Z254,AR$59),'Resultados - 12'!$A$10:$G$155,AR$58,FALSE)</f>
        <v/>
      </c>
      <c r="AS254" s="232">
        <f t="shared" si="169"/>
        <v>12</v>
      </c>
      <c r="AU254" s="232">
        <f t="shared" si="115"/>
        <v>0</v>
      </c>
      <c r="AV254" s="232">
        <f t="shared" si="177"/>
        <v>0</v>
      </c>
      <c r="AW254" s="236"/>
      <c r="AX254" s="236"/>
      <c r="AY254" s="232">
        <f t="shared" si="178"/>
        <v>0</v>
      </c>
    </row>
    <row r="255" spans="1:51" ht="12" hidden="1" customHeight="1" x14ac:dyDescent="0.2">
      <c r="A255" s="230"/>
      <c r="B255" s="327" t="str">
        <f t="shared" si="171"/>
        <v/>
      </c>
      <c r="C255" s="328"/>
      <c r="D255" s="328"/>
      <c r="E255" s="328" t="str">
        <f t="shared" si="179"/>
        <v/>
      </c>
      <c r="F255" s="328"/>
      <c r="G255" s="328"/>
      <c r="H255" s="328" t="str">
        <f t="shared" si="172"/>
        <v/>
      </c>
      <c r="I255" s="328"/>
      <c r="J255" s="328"/>
      <c r="K255" s="328"/>
      <c r="L255" s="328" t="str">
        <f t="shared" si="173"/>
        <v/>
      </c>
      <c r="M255" s="328"/>
      <c r="N255" s="328"/>
      <c r="O255" s="328" t="str">
        <f t="shared" si="174"/>
        <v/>
      </c>
      <c r="P255" s="328"/>
      <c r="Q255" s="328"/>
      <c r="R255" s="328" t="str">
        <f t="shared" si="175"/>
        <v/>
      </c>
      <c r="S255" s="328"/>
      <c r="T255" s="328" t="str">
        <f t="shared" si="176"/>
        <v/>
      </c>
      <c r="U255" s="329"/>
      <c r="V255" s="230"/>
      <c r="W255" s="5">
        <f t="shared" si="100"/>
        <v>0</v>
      </c>
      <c r="X255" s="5">
        <f t="shared" si="101"/>
        <v>0</v>
      </c>
      <c r="Z255" s="294">
        <f t="shared" si="180"/>
        <v>7</v>
      </c>
      <c r="AA255" s="296" t="str">
        <f>IF(AE255="","",VLOOKUP(CONCATENATE($Z255,AA$59),'Resultados - 12'!$A$10:$G$155,AA$58,FALSE))</f>
        <v/>
      </c>
      <c r="AB255" s="296"/>
      <c r="AC255" s="296"/>
      <c r="AD255" s="296"/>
      <c r="AE255" s="295" t="str">
        <f>VLOOKUP(CONCATENATE($Z255,AE$59),'Resultados - 12'!$A$10:$G$155,AE$58,FALSE)</f>
        <v/>
      </c>
      <c r="AF255" s="297"/>
      <c r="AG255" s="297"/>
      <c r="AH255" s="297"/>
      <c r="AI255" s="295" t="str">
        <f>VLOOKUP(CONCATENATE($Z255,AI$59),'Resultados - 12'!$A$10:$G$155,AI$58,FALSE)</f>
        <v/>
      </c>
      <c r="AJ255" s="297"/>
      <c r="AK255" s="297"/>
      <c r="AL255" s="295" t="str">
        <f>VLOOKUP(CONCATENATE($Z255,AL$59),'Resultados - 12'!$A$10:$G$155,AL$58,FALSE)</f>
        <v/>
      </c>
      <c r="AM255" s="297"/>
      <c r="AN255" s="297"/>
      <c r="AO255" s="295" t="str">
        <f>VLOOKUP(CONCATENATE($Z255,AO$59),'Resultados - 12'!$A$10:$G$155,AO$58,FALSE)</f>
        <v/>
      </c>
      <c r="AP255" s="297"/>
      <c r="AQ255" s="297"/>
      <c r="AR255" s="298" t="str">
        <f>VLOOKUP(CONCATENATE($Z255,AR$59),'Resultados - 12'!$A$10:$G$155,AR$58,FALSE)</f>
        <v/>
      </c>
      <c r="AS255" s="232">
        <f t="shared" si="169"/>
        <v>12</v>
      </c>
      <c r="AU255" s="232">
        <f t="shared" si="115"/>
        <v>0</v>
      </c>
      <c r="AV255" s="232">
        <f t="shared" si="177"/>
        <v>0</v>
      </c>
      <c r="AW255" s="236"/>
      <c r="AX255" s="236"/>
      <c r="AY255" s="232">
        <f t="shared" si="178"/>
        <v>0</v>
      </c>
    </row>
    <row r="256" spans="1:51" ht="12" hidden="1" customHeight="1" x14ac:dyDescent="0.2">
      <c r="A256" s="230"/>
      <c r="B256" s="287"/>
      <c r="C256" s="287"/>
      <c r="D256" s="287"/>
      <c r="E256" s="287"/>
      <c r="F256" s="287"/>
      <c r="G256" s="287"/>
      <c r="H256" s="287"/>
      <c r="I256" s="287"/>
      <c r="J256" s="287"/>
      <c r="K256" s="287"/>
      <c r="L256" s="287"/>
      <c r="M256" s="287"/>
      <c r="N256" s="287"/>
      <c r="O256" s="287"/>
      <c r="P256" s="287"/>
      <c r="Q256" s="287"/>
      <c r="R256" s="287"/>
      <c r="S256" s="287"/>
      <c r="T256" s="287"/>
      <c r="U256" s="287"/>
      <c r="V256" s="230"/>
      <c r="W256" s="5">
        <f>IF(AND(W193=0,W147=0,W84=1),1,0)</f>
        <v>0</v>
      </c>
      <c r="Z256" s="231"/>
      <c r="AA256" s="232"/>
      <c r="AE256" s="232"/>
      <c r="AF256" s="236"/>
      <c r="AG256" s="236"/>
      <c r="AH256" s="236"/>
      <c r="AI256" s="232"/>
      <c r="AJ256" s="236"/>
      <c r="AK256" s="236"/>
      <c r="AL256" s="232"/>
      <c r="AM256" s="236"/>
      <c r="AN256" s="236"/>
      <c r="AO256" s="232"/>
      <c r="AP256" s="236"/>
      <c r="AQ256" s="236"/>
      <c r="AR256" s="232"/>
    </row>
    <row r="257" spans="26:44" ht="15" customHeight="1" x14ac:dyDescent="0.2">
      <c r="Z257" s="231"/>
      <c r="AA257" s="232"/>
      <c r="AE257" s="232"/>
      <c r="AF257" s="236"/>
      <c r="AG257" s="236"/>
      <c r="AH257" s="236"/>
      <c r="AI257" s="232"/>
      <c r="AJ257" s="236"/>
      <c r="AK257" s="236"/>
      <c r="AL257" s="232"/>
      <c r="AM257" s="236"/>
      <c r="AN257" s="236"/>
      <c r="AO257" s="232"/>
      <c r="AP257" s="236"/>
      <c r="AQ257" s="236"/>
      <c r="AR257" s="232"/>
    </row>
  </sheetData>
  <sheetProtection algorithmName="SHA-512" hashValue="rSmGYlLiRjF2JwCP2OLPjtLiP9EaCo+XZOgrqPhp7WA+2p8z7f3iMyfI/c+WbLz3slsk6whmnBM9goiYrjaCKA==" saltValue="bwp6w/oayxwTc0VgVoXLVQ==" spinCount="100000" sheet="1" formatRows="0"/>
  <mergeCells count="691">
    <mergeCell ref="G4:V6"/>
    <mergeCell ref="AE4:AI4"/>
    <mergeCell ref="AJ4:AK4"/>
    <mergeCell ref="AL4:AO4"/>
    <mergeCell ref="AP4:AQ4"/>
    <mergeCell ref="AR4:AX4"/>
    <mergeCell ref="AE2:AI2"/>
    <mergeCell ref="AJ2:AX2"/>
    <mergeCell ref="AE3:AI3"/>
    <mergeCell ref="AJ3:AK3"/>
    <mergeCell ref="AL3:AO3"/>
    <mergeCell ref="AP3:AQ3"/>
    <mergeCell ref="AR3:AX3"/>
    <mergeCell ref="A37:V38"/>
    <mergeCell ref="G7:N9"/>
    <mergeCell ref="O7:R9"/>
    <mergeCell ref="S7:V9"/>
    <mergeCell ref="G22:L22"/>
    <mergeCell ref="M22:V22"/>
    <mergeCell ref="G23:L23"/>
    <mergeCell ref="G17:L17"/>
    <mergeCell ref="A39:V40"/>
    <mergeCell ref="A31:V32"/>
    <mergeCell ref="G24:L24"/>
    <mergeCell ref="M23:V23"/>
    <mergeCell ref="A35:V36"/>
    <mergeCell ref="S17:V17"/>
    <mergeCell ref="S18:V18"/>
    <mergeCell ref="A33:V34"/>
    <mergeCell ref="A29:V30"/>
    <mergeCell ref="M24:V24"/>
    <mergeCell ref="M25:V25"/>
    <mergeCell ref="G18:L18"/>
    <mergeCell ref="G19:L19"/>
    <mergeCell ref="G20:L20"/>
    <mergeCell ref="A202:V202"/>
    <mergeCell ref="B107:U107"/>
    <mergeCell ref="B97:D98"/>
    <mergeCell ref="L97:N98"/>
    <mergeCell ref="O97:Q98"/>
    <mergeCell ref="R97:S98"/>
    <mergeCell ref="T97:U98"/>
    <mergeCell ref="G87:V89"/>
    <mergeCell ref="A43:V44"/>
    <mergeCell ref="A93:V93"/>
    <mergeCell ref="G196:V198"/>
    <mergeCell ref="L100:N100"/>
    <mergeCell ref="O100:Q100"/>
    <mergeCell ref="G90:N92"/>
    <mergeCell ref="O90:R92"/>
    <mergeCell ref="S90:V92"/>
    <mergeCell ref="A53:V54"/>
    <mergeCell ref="A47:V48"/>
    <mergeCell ref="A49:V52"/>
    <mergeCell ref="B110:D110"/>
    <mergeCell ref="E110:G110"/>
    <mergeCell ref="H110:K110"/>
    <mergeCell ref="L110:N110"/>
    <mergeCell ref="O110:Q110"/>
    <mergeCell ref="R110:S110"/>
    <mergeCell ref="T110:U110"/>
    <mergeCell ref="R100:S100"/>
    <mergeCell ref="G199:N201"/>
    <mergeCell ref="O199:R201"/>
    <mergeCell ref="S199:V201"/>
    <mergeCell ref="B111:D111"/>
    <mergeCell ref="E111:G111"/>
    <mergeCell ref="H111:K111"/>
    <mergeCell ref="L111:N111"/>
    <mergeCell ref="O111:Q111"/>
    <mergeCell ref="R111:S111"/>
    <mergeCell ref="T111:U111"/>
    <mergeCell ref="B112:D112"/>
    <mergeCell ref="E112:G112"/>
    <mergeCell ref="H112:K112"/>
    <mergeCell ref="L112:N112"/>
    <mergeCell ref="O112:Q112"/>
    <mergeCell ref="B120:D120"/>
    <mergeCell ref="E120:G120"/>
    <mergeCell ref="H120:K120"/>
    <mergeCell ref="L120:N120"/>
    <mergeCell ref="O120:Q120"/>
    <mergeCell ref="R120:S120"/>
    <mergeCell ref="T120:U120"/>
    <mergeCell ref="B117:D117"/>
    <mergeCell ref="E117:G117"/>
    <mergeCell ref="H117:K117"/>
    <mergeCell ref="L117:N117"/>
    <mergeCell ref="O117:Q117"/>
    <mergeCell ref="R117:S117"/>
    <mergeCell ref="T117:U117"/>
    <mergeCell ref="B118:D118"/>
    <mergeCell ref="E118:G118"/>
    <mergeCell ref="H118:K118"/>
    <mergeCell ref="L118:N118"/>
    <mergeCell ref="O118:Q118"/>
    <mergeCell ref="R118:S118"/>
    <mergeCell ref="T118:U118"/>
    <mergeCell ref="B119:D119"/>
    <mergeCell ref="E119:G119"/>
    <mergeCell ref="H119:K119"/>
    <mergeCell ref="L119:N119"/>
    <mergeCell ref="O119:Q119"/>
    <mergeCell ref="R119:S119"/>
    <mergeCell ref="T119:U119"/>
    <mergeCell ref="B126:D126"/>
    <mergeCell ref="E126:G126"/>
    <mergeCell ref="H126:K126"/>
    <mergeCell ref="L126:N126"/>
    <mergeCell ref="O126:Q126"/>
    <mergeCell ref="R126:S126"/>
    <mergeCell ref="T126:U126"/>
    <mergeCell ref="B123:U123"/>
    <mergeCell ref="B121:D121"/>
    <mergeCell ref="E121:G121"/>
    <mergeCell ref="H121:K121"/>
    <mergeCell ref="L121:N121"/>
    <mergeCell ref="O121:Q121"/>
    <mergeCell ref="R121:S121"/>
    <mergeCell ref="T121:U121"/>
    <mergeCell ref="B122:D122"/>
    <mergeCell ref="E122:G122"/>
    <mergeCell ref="H122:K122"/>
    <mergeCell ref="L122:N122"/>
    <mergeCell ref="O122:Q122"/>
    <mergeCell ref="R122:S122"/>
    <mergeCell ref="T122:U122"/>
    <mergeCell ref="B124:D124"/>
    <mergeCell ref="E124:G124"/>
    <mergeCell ref="B127:D127"/>
    <mergeCell ref="E127:G127"/>
    <mergeCell ref="H127:K127"/>
    <mergeCell ref="L127:N127"/>
    <mergeCell ref="O127:Q127"/>
    <mergeCell ref="R127:S127"/>
    <mergeCell ref="T127:U127"/>
    <mergeCell ref="B128:D128"/>
    <mergeCell ref="E128:G128"/>
    <mergeCell ref="H128:K128"/>
    <mergeCell ref="L128:N128"/>
    <mergeCell ref="O128:Q128"/>
    <mergeCell ref="R128:S128"/>
    <mergeCell ref="T128:U128"/>
    <mergeCell ref="B133:D133"/>
    <mergeCell ref="E133:G133"/>
    <mergeCell ref="H133:K133"/>
    <mergeCell ref="L133:N133"/>
    <mergeCell ref="O133:Q133"/>
    <mergeCell ref="R133:S133"/>
    <mergeCell ref="T133:U133"/>
    <mergeCell ref="B134:D134"/>
    <mergeCell ref="E134:G134"/>
    <mergeCell ref="H134:K134"/>
    <mergeCell ref="L134:N134"/>
    <mergeCell ref="O134:Q134"/>
    <mergeCell ref="R134:S134"/>
    <mergeCell ref="T134:U134"/>
    <mergeCell ref="B139:U139"/>
    <mergeCell ref="B137:D137"/>
    <mergeCell ref="E137:G137"/>
    <mergeCell ref="H137:K137"/>
    <mergeCell ref="L137:N137"/>
    <mergeCell ref="O137:Q137"/>
    <mergeCell ref="B140:D140"/>
    <mergeCell ref="E140:G140"/>
    <mergeCell ref="H140:K140"/>
    <mergeCell ref="L140:N140"/>
    <mergeCell ref="O140:Q140"/>
    <mergeCell ref="R140:S140"/>
    <mergeCell ref="T140:U140"/>
    <mergeCell ref="B146:D146"/>
    <mergeCell ref="E146:G146"/>
    <mergeCell ref="H146:K146"/>
    <mergeCell ref="L146:N146"/>
    <mergeCell ref="O146:Q146"/>
    <mergeCell ref="R146:S146"/>
    <mergeCell ref="T146:U146"/>
    <mergeCell ref="B143:D143"/>
    <mergeCell ref="E143:G143"/>
    <mergeCell ref="H143:K143"/>
    <mergeCell ref="L143:N143"/>
    <mergeCell ref="O143:Q143"/>
    <mergeCell ref="R143:S143"/>
    <mergeCell ref="T143:U143"/>
    <mergeCell ref="B144:D144"/>
    <mergeCell ref="E144:G144"/>
    <mergeCell ref="H144:K144"/>
    <mergeCell ref="L144:N144"/>
    <mergeCell ref="O144:Q144"/>
    <mergeCell ref="B210:D210"/>
    <mergeCell ref="E210:G210"/>
    <mergeCell ref="H210:K210"/>
    <mergeCell ref="L210:N210"/>
    <mergeCell ref="O210:Q210"/>
    <mergeCell ref="R210:S210"/>
    <mergeCell ref="T210:U210"/>
    <mergeCell ref="B211:D211"/>
    <mergeCell ref="E211:G211"/>
    <mergeCell ref="H211:K211"/>
    <mergeCell ref="L211:N211"/>
    <mergeCell ref="O211:Q211"/>
    <mergeCell ref="R211:S211"/>
    <mergeCell ref="T211:U211"/>
    <mergeCell ref="B219:D219"/>
    <mergeCell ref="E219:G219"/>
    <mergeCell ref="H219:K219"/>
    <mergeCell ref="L219:N219"/>
    <mergeCell ref="O219:Q219"/>
    <mergeCell ref="R219:S219"/>
    <mergeCell ref="T219:U219"/>
    <mergeCell ref="B216:U216"/>
    <mergeCell ref="B214:D214"/>
    <mergeCell ref="E214:G214"/>
    <mergeCell ref="H214:K214"/>
    <mergeCell ref="L214:N214"/>
    <mergeCell ref="O214:Q214"/>
    <mergeCell ref="B217:D217"/>
    <mergeCell ref="E217:G217"/>
    <mergeCell ref="H217:K217"/>
    <mergeCell ref="L217:N217"/>
    <mergeCell ref="O217:Q217"/>
    <mergeCell ref="R217:S217"/>
    <mergeCell ref="T217:U217"/>
    <mergeCell ref="B218:D218"/>
    <mergeCell ref="E218:G218"/>
    <mergeCell ref="H218:K218"/>
    <mergeCell ref="L218:N218"/>
    <mergeCell ref="B226:D226"/>
    <mergeCell ref="E226:G226"/>
    <mergeCell ref="H226:K226"/>
    <mergeCell ref="L226:N226"/>
    <mergeCell ref="O226:Q226"/>
    <mergeCell ref="R226:S226"/>
    <mergeCell ref="T226:U226"/>
    <mergeCell ref="B227:D227"/>
    <mergeCell ref="E227:G227"/>
    <mergeCell ref="H227:K227"/>
    <mergeCell ref="L227:N227"/>
    <mergeCell ref="O227:Q227"/>
    <mergeCell ref="R227:S227"/>
    <mergeCell ref="T227:U227"/>
    <mergeCell ref="B235:D235"/>
    <mergeCell ref="E235:G235"/>
    <mergeCell ref="H235:K235"/>
    <mergeCell ref="L235:N235"/>
    <mergeCell ref="O235:Q235"/>
    <mergeCell ref="R235:S235"/>
    <mergeCell ref="T235:U235"/>
    <mergeCell ref="B232:U232"/>
    <mergeCell ref="B230:D230"/>
    <mergeCell ref="E230:G230"/>
    <mergeCell ref="H230:K230"/>
    <mergeCell ref="L230:N230"/>
    <mergeCell ref="O230:Q230"/>
    <mergeCell ref="B233:D233"/>
    <mergeCell ref="E233:G233"/>
    <mergeCell ref="H233:K233"/>
    <mergeCell ref="L233:N233"/>
    <mergeCell ref="O233:Q233"/>
    <mergeCell ref="R233:S233"/>
    <mergeCell ref="T233:U233"/>
    <mergeCell ref="B234:D234"/>
    <mergeCell ref="E234:G234"/>
    <mergeCell ref="H234:K234"/>
    <mergeCell ref="L234:N234"/>
    <mergeCell ref="L250:N250"/>
    <mergeCell ref="B245:D245"/>
    <mergeCell ref="E245:G245"/>
    <mergeCell ref="H245:K245"/>
    <mergeCell ref="L245:N245"/>
    <mergeCell ref="O245:Q245"/>
    <mergeCell ref="R245:S245"/>
    <mergeCell ref="T245:U245"/>
    <mergeCell ref="B242:D242"/>
    <mergeCell ref="E242:G242"/>
    <mergeCell ref="H242:K242"/>
    <mergeCell ref="L242:N242"/>
    <mergeCell ref="O242:Q242"/>
    <mergeCell ref="R242:S242"/>
    <mergeCell ref="T242:U242"/>
    <mergeCell ref="B243:D243"/>
    <mergeCell ref="E243:G243"/>
    <mergeCell ref="H243:K243"/>
    <mergeCell ref="L243:N243"/>
    <mergeCell ref="O243:Q243"/>
    <mergeCell ref="R243:S243"/>
    <mergeCell ref="T243:U243"/>
    <mergeCell ref="B244:D244"/>
    <mergeCell ref="E244:G244"/>
    <mergeCell ref="B248:U248"/>
    <mergeCell ref="B246:D246"/>
    <mergeCell ref="E246:G246"/>
    <mergeCell ref="H246:K246"/>
    <mergeCell ref="L246:N246"/>
    <mergeCell ref="O246:Q246"/>
    <mergeCell ref="B249:D249"/>
    <mergeCell ref="E249:G249"/>
    <mergeCell ref="H249:K249"/>
    <mergeCell ref="L249:N249"/>
    <mergeCell ref="O249:Q249"/>
    <mergeCell ref="R249:S249"/>
    <mergeCell ref="T249:U249"/>
    <mergeCell ref="T100:U100"/>
    <mergeCell ref="B100:D100"/>
    <mergeCell ref="E97:G98"/>
    <mergeCell ref="E100:G100"/>
    <mergeCell ref="H100:K100"/>
    <mergeCell ref="H97:K98"/>
    <mergeCell ref="B99:U99"/>
    <mergeCell ref="B255:D255"/>
    <mergeCell ref="E255:G255"/>
    <mergeCell ref="H255:K255"/>
    <mergeCell ref="L255:N255"/>
    <mergeCell ref="O255:Q255"/>
    <mergeCell ref="R255:S255"/>
    <mergeCell ref="T255:U255"/>
    <mergeCell ref="B252:D252"/>
    <mergeCell ref="E252:G252"/>
    <mergeCell ref="H252:K252"/>
    <mergeCell ref="L252:N252"/>
    <mergeCell ref="O252:Q252"/>
    <mergeCell ref="R252:S252"/>
    <mergeCell ref="T252:U252"/>
    <mergeCell ref="B253:D253"/>
    <mergeCell ref="E253:G253"/>
    <mergeCell ref="H253:K253"/>
    <mergeCell ref="B101:D101"/>
    <mergeCell ref="E101:G101"/>
    <mergeCell ref="H101:K101"/>
    <mergeCell ref="L101:N101"/>
    <mergeCell ref="O101:Q101"/>
    <mergeCell ref="R101:S101"/>
    <mergeCell ref="T101:U101"/>
    <mergeCell ref="B102:D102"/>
    <mergeCell ref="E102:G102"/>
    <mergeCell ref="H102:K102"/>
    <mergeCell ref="L102:N102"/>
    <mergeCell ref="O102:Q102"/>
    <mergeCell ref="R102:S102"/>
    <mergeCell ref="T102:U102"/>
    <mergeCell ref="B103:D103"/>
    <mergeCell ref="E103:G103"/>
    <mergeCell ref="H103:K103"/>
    <mergeCell ref="L103:N103"/>
    <mergeCell ref="O103:Q103"/>
    <mergeCell ref="R103:S103"/>
    <mergeCell ref="T103:U103"/>
    <mergeCell ref="B104:D104"/>
    <mergeCell ref="E104:G104"/>
    <mergeCell ref="H104:K104"/>
    <mergeCell ref="L104:N104"/>
    <mergeCell ref="O104:Q104"/>
    <mergeCell ref="R104:S104"/>
    <mergeCell ref="T104:U104"/>
    <mergeCell ref="B105:D105"/>
    <mergeCell ref="E105:G105"/>
    <mergeCell ref="H105:K105"/>
    <mergeCell ref="L105:N105"/>
    <mergeCell ref="O105:Q105"/>
    <mergeCell ref="R105:S105"/>
    <mergeCell ref="T105:U105"/>
    <mergeCell ref="B106:D106"/>
    <mergeCell ref="E106:G106"/>
    <mergeCell ref="H106:K106"/>
    <mergeCell ref="L106:N106"/>
    <mergeCell ref="O106:Q106"/>
    <mergeCell ref="R106:S106"/>
    <mergeCell ref="T106:U106"/>
    <mergeCell ref="B108:D108"/>
    <mergeCell ref="E108:G108"/>
    <mergeCell ref="H108:K108"/>
    <mergeCell ref="L108:N108"/>
    <mergeCell ref="O108:Q108"/>
    <mergeCell ref="R108:S108"/>
    <mergeCell ref="T108:U108"/>
    <mergeCell ref="B109:D109"/>
    <mergeCell ref="E109:G109"/>
    <mergeCell ref="H109:K109"/>
    <mergeCell ref="L109:N109"/>
    <mergeCell ref="O109:Q109"/>
    <mergeCell ref="R109:S109"/>
    <mergeCell ref="T109:U109"/>
    <mergeCell ref="R112:S112"/>
    <mergeCell ref="T112:U112"/>
    <mergeCell ref="B113:D113"/>
    <mergeCell ref="E113:G113"/>
    <mergeCell ref="H113:K113"/>
    <mergeCell ref="L113:N113"/>
    <mergeCell ref="O113:Q113"/>
    <mergeCell ref="R113:S113"/>
    <mergeCell ref="T113:U113"/>
    <mergeCell ref="R114:S114"/>
    <mergeCell ref="T114:U114"/>
    <mergeCell ref="B116:D116"/>
    <mergeCell ref="E116:G116"/>
    <mergeCell ref="H116:K116"/>
    <mergeCell ref="L116:N116"/>
    <mergeCell ref="O116:Q116"/>
    <mergeCell ref="R116:S116"/>
    <mergeCell ref="T116:U116"/>
    <mergeCell ref="B115:U115"/>
    <mergeCell ref="B114:D114"/>
    <mergeCell ref="E114:G114"/>
    <mergeCell ref="H114:K114"/>
    <mergeCell ref="L114:N114"/>
    <mergeCell ref="O114:Q114"/>
    <mergeCell ref="H124:K124"/>
    <mergeCell ref="L124:N124"/>
    <mergeCell ref="O124:Q124"/>
    <mergeCell ref="R124:S124"/>
    <mergeCell ref="T124:U124"/>
    <mergeCell ref="B125:D125"/>
    <mergeCell ref="E125:G125"/>
    <mergeCell ref="H125:K125"/>
    <mergeCell ref="L125:N125"/>
    <mergeCell ref="O125:Q125"/>
    <mergeCell ref="R125:S125"/>
    <mergeCell ref="T125:U125"/>
    <mergeCell ref="B129:D129"/>
    <mergeCell ref="E129:G129"/>
    <mergeCell ref="H129:K129"/>
    <mergeCell ref="L129:N129"/>
    <mergeCell ref="O129:Q129"/>
    <mergeCell ref="R129:S129"/>
    <mergeCell ref="T129:U129"/>
    <mergeCell ref="R130:S130"/>
    <mergeCell ref="T130:U130"/>
    <mergeCell ref="B132:D132"/>
    <mergeCell ref="E132:G132"/>
    <mergeCell ref="H132:K132"/>
    <mergeCell ref="L132:N132"/>
    <mergeCell ref="O132:Q132"/>
    <mergeCell ref="R132:S132"/>
    <mergeCell ref="T132:U132"/>
    <mergeCell ref="B131:U131"/>
    <mergeCell ref="B130:D130"/>
    <mergeCell ref="E130:G130"/>
    <mergeCell ref="H130:K130"/>
    <mergeCell ref="L130:N130"/>
    <mergeCell ref="O130:Q130"/>
    <mergeCell ref="L135:N135"/>
    <mergeCell ref="O135:Q135"/>
    <mergeCell ref="R135:S135"/>
    <mergeCell ref="T135:U135"/>
    <mergeCell ref="R137:S137"/>
    <mergeCell ref="T137:U137"/>
    <mergeCell ref="B138:D138"/>
    <mergeCell ref="E138:G138"/>
    <mergeCell ref="H138:K138"/>
    <mergeCell ref="L138:N138"/>
    <mergeCell ref="O138:Q138"/>
    <mergeCell ref="R138:S138"/>
    <mergeCell ref="T138:U138"/>
    <mergeCell ref="B136:D136"/>
    <mergeCell ref="E136:G136"/>
    <mergeCell ref="H136:K136"/>
    <mergeCell ref="L136:N136"/>
    <mergeCell ref="O136:Q136"/>
    <mergeCell ref="R136:S136"/>
    <mergeCell ref="T136:U136"/>
    <mergeCell ref="B135:D135"/>
    <mergeCell ref="E135:G135"/>
    <mergeCell ref="H135:K135"/>
    <mergeCell ref="O141:Q141"/>
    <mergeCell ref="R141:S141"/>
    <mergeCell ref="T141:U141"/>
    <mergeCell ref="R144:S144"/>
    <mergeCell ref="T144:U144"/>
    <mergeCell ref="B145:D145"/>
    <mergeCell ref="E145:G145"/>
    <mergeCell ref="H145:K145"/>
    <mergeCell ref="L145:N145"/>
    <mergeCell ref="O145:Q145"/>
    <mergeCell ref="R145:S145"/>
    <mergeCell ref="T145:U145"/>
    <mergeCell ref="B142:D142"/>
    <mergeCell ref="E142:G142"/>
    <mergeCell ref="H142:K142"/>
    <mergeCell ref="L142:N142"/>
    <mergeCell ref="O142:Q142"/>
    <mergeCell ref="R142:S142"/>
    <mergeCell ref="T142:U142"/>
    <mergeCell ref="B141:D141"/>
    <mergeCell ref="E141:G141"/>
    <mergeCell ref="H141:K141"/>
    <mergeCell ref="L141:N141"/>
    <mergeCell ref="L206:N207"/>
    <mergeCell ref="O206:Q207"/>
    <mergeCell ref="R206:S207"/>
    <mergeCell ref="T206:U207"/>
    <mergeCell ref="B209:D209"/>
    <mergeCell ref="E209:G209"/>
    <mergeCell ref="H209:K209"/>
    <mergeCell ref="L209:N209"/>
    <mergeCell ref="O209:Q209"/>
    <mergeCell ref="R209:S209"/>
    <mergeCell ref="T209:U209"/>
    <mergeCell ref="B208:U208"/>
    <mergeCell ref="B206:D207"/>
    <mergeCell ref="E206:G207"/>
    <mergeCell ref="H206:K207"/>
    <mergeCell ref="L212:N212"/>
    <mergeCell ref="O212:Q212"/>
    <mergeCell ref="R212:S212"/>
    <mergeCell ref="T212:U212"/>
    <mergeCell ref="R214:S214"/>
    <mergeCell ref="T214:U214"/>
    <mergeCell ref="B215:D215"/>
    <mergeCell ref="E215:G215"/>
    <mergeCell ref="H215:K215"/>
    <mergeCell ref="L215:N215"/>
    <mergeCell ref="O215:Q215"/>
    <mergeCell ref="R215:S215"/>
    <mergeCell ref="T215:U215"/>
    <mergeCell ref="B213:D213"/>
    <mergeCell ref="E213:G213"/>
    <mergeCell ref="H213:K213"/>
    <mergeCell ref="L213:N213"/>
    <mergeCell ref="O213:Q213"/>
    <mergeCell ref="R213:S213"/>
    <mergeCell ref="T213:U213"/>
    <mergeCell ref="B212:D212"/>
    <mergeCell ref="E212:G212"/>
    <mergeCell ref="H212:K212"/>
    <mergeCell ref="O218:Q218"/>
    <mergeCell ref="R218:S218"/>
    <mergeCell ref="T218:U218"/>
    <mergeCell ref="R221:S221"/>
    <mergeCell ref="T221:U221"/>
    <mergeCell ref="B222:D222"/>
    <mergeCell ref="E222:G222"/>
    <mergeCell ref="H222:K222"/>
    <mergeCell ref="L222:N222"/>
    <mergeCell ref="O222:Q222"/>
    <mergeCell ref="R222:S222"/>
    <mergeCell ref="T222:U222"/>
    <mergeCell ref="B220:D220"/>
    <mergeCell ref="E220:G220"/>
    <mergeCell ref="H220:K220"/>
    <mergeCell ref="L220:N220"/>
    <mergeCell ref="O220:Q220"/>
    <mergeCell ref="R220:S220"/>
    <mergeCell ref="T220:U220"/>
    <mergeCell ref="B221:D221"/>
    <mergeCell ref="E221:G221"/>
    <mergeCell ref="H221:K221"/>
    <mergeCell ref="L221:N221"/>
    <mergeCell ref="O221:Q221"/>
    <mergeCell ref="R223:S223"/>
    <mergeCell ref="T223:U223"/>
    <mergeCell ref="B225:D225"/>
    <mergeCell ref="E225:G225"/>
    <mergeCell ref="H225:K225"/>
    <mergeCell ref="L225:N225"/>
    <mergeCell ref="O225:Q225"/>
    <mergeCell ref="R225:S225"/>
    <mergeCell ref="T225:U225"/>
    <mergeCell ref="B224:U224"/>
    <mergeCell ref="B223:D223"/>
    <mergeCell ref="E223:G223"/>
    <mergeCell ref="H223:K223"/>
    <mergeCell ref="L223:N223"/>
    <mergeCell ref="O223:Q223"/>
    <mergeCell ref="L228:N228"/>
    <mergeCell ref="O228:Q228"/>
    <mergeCell ref="R228:S228"/>
    <mergeCell ref="T228:U228"/>
    <mergeCell ref="R230:S230"/>
    <mergeCell ref="T230:U230"/>
    <mergeCell ref="B231:D231"/>
    <mergeCell ref="E231:G231"/>
    <mergeCell ref="H231:K231"/>
    <mergeCell ref="L231:N231"/>
    <mergeCell ref="O231:Q231"/>
    <mergeCell ref="R231:S231"/>
    <mergeCell ref="T231:U231"/>
    <mergeCell ref="B229:D229"/>
    <mergeCell ref="E229:G229"/>
    <mergeCell ref="H229:K229"/>
    <mergeCell ref="L229:N229"/>
    <mergeCell ref="O229:Q229"/>
    <mergeCell ref="R229:S229"/>
    <mergeCell ref="T229:U229"/>
    <mergeCell ref="B228:D228"/>
    <mergeCell ref="E228:G228"/>
    <mergeCell ref="H228:K228"/>
    <mergeCell ref="O234:Q234"/>
    <mergeCell ref="R234:S234"/>
    <mergeCell ref="T234:U234"/>
    <mergeCell ref="R237:S237"/>
    <mergeCell ref="T237:U237"/>
    <mergeCell ref="B238:D238"/>
    <mergeCell ref="E238:G238"/>
    <mergeCell ref="H238:K238"/>
    <mergeCell ref="L238:N238"/>
    <mergeCell ref="O238:Q238"/>
    <mergeCell ref="R238:S238"/>
    <mergeCell ref="T238:U238"/>
    <mergeCell ref="B236:D236"/>
    <mergeCell ref="E236:G236"/>
    <mergeCell ref="H236:K236"/>
    <mergeCell ref="L236:N236"/>
    <mergeCell ref="O236:Q236"/>
    <mergeCell ref="R236:S236"/>
    <mergeCell ref="T236:U236"/>
    <mergeCell ref="B237:D237"/>
    <mergeCell ref="E237:G237"/>
    <mergeCell ref="H237:K237"/>
    <mergeCell ref="L237:N237"/>
    <mergeCell ref="O237:Q237"/>
    <mergeCell ref="R239:S239"/>
    <mergeCell ref="T239:U239"/>
    <mergeCell ref="B241:D241"/>
    <mergeCell ref="E241:G241"/>
    <mergeCell ref="H241:K241"/>
    <mergeCell ref="L241:N241"/>
    <mergeCell ref="O241:Q241"/>
    <mergeCell ref="R241:S241"/>
    <mergeCell ref="T241:U241"/>
    <mergeCell ref="B240:U240"/>
    <mergeCell ref="B239:D239"/>
    <mergeCell ref="E239:G239"/>
    <mergeCell ref="H239:K239"/>
    <mergeCell ref="L239:N239"/>
    <mergeCell ref="O239:Q239"/>
    <mergeCell ref="L244:N244"/>
    <mergeCell ref="O244:Q244"/>
    <mergeCell ref="R244:S244"/>
    <mergeCell ref="T244:U244"/>
    <mergeCell ref="R246:S246"/>
    <mergeCell ref="T246:U246"/>
    <mergeCell ref="B247:D247"/>
    <mergeCell ref="E247:G247"/>
    <mergeCell ref="H247:K247"/>
    <mergeCell ref="L247:N247"/>
    <mergeCell ref="O247:Q247"/>
    <mergeCell ref="R247:S247"/>
    <mergeCell ref="T247:U247"/>
    <mergeCell ref="H244:K244"/>
    <mergeCell ref="O250:Q250"/>
    <mergeCell ref="R250:S250"/>
    <mergeCell ref="T250:U250"/>
    <mergeCell ref="R253:S253"/>
    <mergeCell ref="T253:U253"/>
    <mergeCell ref="B254:D254"/>
    <mergeCell ref="E254:G254"/>
    <mergeCell ref="H254:K254"/>
    <mergeCell ref="L254:N254"/>
    <mergeCell ref="O254:Q254"/>
    <mergeCell ref="R254:S254"/>
    <mergeCell ref="T254:U254"/>
    <mergeCell ref="L253:N253"/>
    <mergeCell ref="O253:Q253"/>
    <mergeCell ref="B251:D251"/>
    <mergeCell ref="E251:G251"/>
    <mergeCell ref="H251:K251"/>
    <mergeCell ref="L251:N251"/>
    <mergeCell ref="O251:Q251"/>
    <mergeCell ref="R251:S251"/>
    <mergeCell ref="T251:U251"/>
    <mergeCell ref="B250:D250"/>
    <mergeCell ref="E250:G250"/>
    <mergeCell ref="H250:K250"/>
    <mergeCell ref="B58:D59"/>
    <mergeCell ref="E58:G59"/>
    <mergeCell ref="H58:K59"/>
    <mergeCell ref="L58:N59"/>
    <mergeCell ref="O58:Q59"/>
    <mergeCell ref="R58:S59"/>
    <mergeCell ref="T58:U59"/>
    <mergeCell ref="B60:D60"/>
    <mergeCell ref="E60:G60"/>
    <mergeCell ref="H60:K60"/>
    <mergeCell ref="L60:N60"/>
    <mergeCell ref="O60:Q60"/>
    <mergeCell ref="R60:S60"/>
    <mergeCell ref="T60:U60"/>
    <mergeCell ref="B61:D61"/>
    <mergeCell ref="E61:G61"/>
    <mergeCell ref="H61:K61"/>
    <mergeCell ref="L61:N61"/>
    <mergeCell ref="O61:Q61"/>
    <mergeCell ref="R61:S61"/>
    <mergeCell ref="T61:U61"/>
    <mergeCell ref="B62:D62"/>
    <mergeCell ref="E62:G62"/>
    <mergeCell ref="H62:K62"/>
    <mergeCell ref="L62:N62"/>
    <mergeCell ref="O62:Q62"/>
    <mergeCell ref="R62:S62"/>
    <mergeCell ref="T62:U62"/>
  </mergeCells>
  <pageMargins left="0.39370078740157483" right="0.19685039370078741" top="0.19685039370078741" bottom="0.59055118110236227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otão 1">
              <controlPr locked="0" defaultSize="0" print="0" autoFill="0" autoPict="0" macro="[0]!Anterior">
                <anchor moveWithCells="1" sizeWithCells="1">
                  <from>
                    <xdr:col>24</xdr:col>
                    <xdr:colOff>30480</xdr:colOff>
                    <xdr:row>2</xdr:row>
                    <xdr:rowOff>45720</xdr:rowOff>
                  </from>
                  <to>
                    <xdr:col>28</xdr:col>
                    <xdr:colOff>274320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otão 2">
              <controlPr locked="0" defaultSize="0" print="0" autoFill="0" autoPict="0" macro="[0]!Dados">
                <anchor moveWithCells="1" sizeWithCells="1">
                  <from>
                    <xdr:col>24</xdr:col>
                    <xdr:colOff>30480</xdr:colOff>
                    <xdr:row>0</xdr:row>
                    <xdr:rowOff>76200</xdr:rowOff>
                  </from>
                  <to>
                    <xdr:col>28</xdr:col>
                    <xdr:colOff>274320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otão 3">
              <controlPr locked="0" defaultSize="0" print="0" autoFill="0" autoPict="0" macro="[0]!Formcert">
                <anchor moveWithCells="1" sizeWithCells="1">
                  <from>
                    <xdr:col>24</xdr:col>
                    <xdr:colOff>30480</xdr:colOff>
                    <xdr:row>4</xdr:row>
                    <xdr:rowOff>30480</xdr:rowOff>
                  </from>
                  <to>
                    <xdr:col>28</xdr:col>
                    <xdr:colOff>274320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6F905-17E8-4940-A3BB-B4D9D26412C8}">
  <sheetPr codeName="Planilha1"/>
  <dimension ref="A1:CP56"/>
  <sheetViews>
    <sheetView workbookViewId="0">
      <selection activeCell="F6" sqref="F6:X6"/>
    </sheetView>
  </sheetViews>
  <sheetFormatPr defaultColWidth="5.6640625" defaultRowHeight="14.4" x14ac:dyDescent="0.3"/>
  <cols>
    <col min="1" max="7" width="5.6640625" style="1"/>
    <col min="8" max="8" width="5.6640625" style="1" customWidth="1"/>
    <col min="9" max="16384" width="5.6640625" style="1"/>
  </cols>
  <sheetData>
    <row r="1" spans="1:94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 t="s">
        <v>490</v>
      </c>
      <c r="AB1" s="3"/>
      <c r="AC1" s="3"/>
      <c r="AD1" s="4">
        <f>IF(N2="",1,VLOOKUP(N2,AA2:AE5,4,FALSE))</f>
        <v>1</v>
      </c>
      <c r="AE1" s="4" t="str">
        <f>VLOOKUP(N2,AA2:AE5,5,FALSE)</f>
        <v>E</v>
      </c>
      <c r="AF1" s="3"/>
      <c r="AG1" s="3"/>
      <c r="AH1" s="3"/>
      <c r="AI1" s="3"/>
      <c r="AJ1" s="3"/>
      <c r="AK1" s="3"/>
      <c r="AL1" s="193"/>
      <c r="AM1" s="193" t="str">
        <f>VLOOKUP(F2,AM2:AO4,3,FALSE)</f>
        <v>E</v>
      </c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  <c r="BB1" s="193"/>
      <c r="BC1" s="193"/>
      <c r="BD1" s="193"/>
      <c r="BE1" s="193"/>
      <c r="BF1" s="193"/>
      <c r="BG1" s="193"/>
      <c r="BH1" s="193"/>
      <c r="BI1" s="193"/>
      <c r="BJ1" s="193"/>
      <c r="BK1" s="193"/>
      <c r="BL1" s="193"/>
      <c r="BM1" s="193"/>
      <c r="BN1" s="193"/>
      <c r="BO1" s="193"/>
      <c r="BP1" s="193"/>
      <c r="BQ1" s="193"/>
      <c r="BR1" s="193"/>
      <c r="BS1" s="193"/>
      <c r="BT1" s="193"/>
      <c r="BU1" s="193"/>
      <c r="BV1" s="193"/>
      <c r="BW1" s="193"/>
      <c r="BX1" s="193"/>
      <c r="BY1" s="193"/>
      <c r="BZ1" s="193"/>
      <c r="CA1" s="193"/>
      <c r="CB1" s="193"/>
      <c r="CC1" s="193"/>
      <c r="CD1" s="193"/>
      <c r="CE1" s="193"/>
      <c r="CF1" s="193"/>
      <c r="CG1" s="193"/>
      <c r="CH1" s="193"/>
      <c r="CI1" s="193"/>
      <c r="CJ1" s="193"/>
      <c r="CK1" s="193"/>
      <c r="CL1" s="193"/>
      <c r="CM1" s="193"/>
      <c r="CN1" s="193"/>
      <c r="CO1" s="193"/>
      <c r="CP1" s="193"/>
    </row>
    <row r="2" spans="1:94" x14ac:dyDescent="0.3">
      <c r="A2" s="2"/>
      <c r="B2" s="5" t="s">
        <v>492</v>
      </c>
      <c r="C2" s="5"/>
      <c r="D2" s="5"/>
      <c r="E2" s="5"/>
      <c r="F2" s="365" t="s">
        <v>491</v>
      </c>
      <c r="G2" s="366"/>
      <c r="H2" s="366"/>
      <c r="I2" s="367"/>
      <c r="J2" s="5" t="s">
        <v>0</v>
      </c>
      <c r="K2" s="5"/>
      <c r="L2" s="5"/>
      <c r="M2" s="5"/>
      <c r="N2" s="365" t="s">
        <v>624</v>
      </c>
      <c r="O2" s="366"/>
      <c r="P2" s="366"/>
      <c r="Q2" s="367"/>
      <c r="R2" s="5"/>
      <c r="S2" s="5" t="s">
        <v>1</v>
      </c>
      <c r="T2" s="5"/>
      <c r="U2" s="5"/>
      <c r="V2" s="6"/>
      <c r="W2" s="385">
        <v>19012733</v>
      </c>
      <c r="X2" s="386"/>
      <c r="Y2" s="2"/>
      <c r="Z2" s="2"/>
      <c r="AA2" s="3" t="s">
        <v>624</v>
      </c>
      <c r="AB2" s="3"/>
      <c r="AC2" s="3"/>
      <c r="AD2" s="4">
        <v>1</v>
      </c>
      <c r="AE2" s="7" t="s">
        <v>2</v>
      </c>
      <c r="AF2" s="4"/>
      <c r="AG2" s="3" t="s">
        <v>3</v>
      </c>
      <c r="AH2" s="3" t="s">
        <v>602</v>
      </c>
      <c r="AI2" s="3"/>
      <c r="AJ2" s="3"/>
      <c r="AK2" s="3"/>
      <c r="AL2" s="193"/>
      <c r="AM2" s="193" t="s">
        <v>491</v>
      </c>
      <c r="AN2" s="193"/>
      <c r="AO2" s="193" t="s">
        <v>2</v>
      </c>
      <c r="AP2" s="193" t="s">
        <v>630</v>
      </c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3"/>
      <c r="BB2" s="193"/>
      <c r="BC2" s="193"/>
      <c r="BD2" s="193"/>
      <c r="BE2" s="193"/>
      <c r="BF2" s="193"/>
      <c r="BG2" s="193"/>
      <c r="BH2" s="193"/>
      <c r="BI2" s="193"/>
      <c r="BJ2" s="193"/>
      <c r="BK2" s="193"/>
      <c r="BL2" s="193"/>
      <c r="BM2" s="193"/>
      <c r="BN2" s="193"/>
      <c r="BO2" s="193"/>
      <c r="BP2" s="193"/>
      <c r="BQ2" s="193"/>
      <c r="BR2" s="193"/>
      <c r="BS2" s="193"/>
      <c r="BT2" s="193"/>
      <c r="BU2" s="193"/>
      <c r="BV2" s="193"/>
      <c r="BW2" s="193"/>
      <c r="BX2" s="193"/>
      <c r="BY2" s="193"/>
      <c r="BZ2" s="193"/>
      <c r="CA2" s="193"/>
      <c r="CB2" s="193"/>
      <c r="CC2" s="193"/>
      <c r="CD2" s="193"/>
      <c r="CE2" s="193"/>
      <c r="CF2" s="193"/>
      <c r="CG2" s="193"/>
      <c r="CH2" s="193"/>
      <c r="CI2" s="193"/>
      <c r="CJ2" s="193"/>
      <c r="CK2" s="193"/>
      <c r="CL2" s="193"/>
      <c r="CM2" s="193"/>
      <c r="CN2" s="193"/>
      <c r="CO2" s="193"/>
      <c r="CP2" s="193"/>
    </row>
    <row r="3" spans="1:94" x14ac:dyDescent="0.3">
      <c r="A3" s="2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 t="s">
        <v>4</v>
      </c>
      <c r="T3" s="5"/>
      <c r="U3" s="5"/>
      <c r="V3" s="5"/>
      <c r="W3" s="385" t="s">
        <v>679</v>
      </c>
      <c r="X3" s="386"/>
      <c r="Y3" s="2"/>
      <c r="Z3" s="2"/>
      <c r="AA3" s="3" t="s">
        <v>54</v>
      </c>
      <c r="AB3" s="3"/>
      <c r="AC3" s="3"/>
      <c r="AD3" s="4">
        <v>2</v>
      </c>
      <c r="AE3" s="4" t="s">
        <v>2</v>
      </c>
      <c r="AF3" s="4"/>
      <c r="AG3" s="3" t="s">
        <v>5</v>
      </c>
      <c r="AH3" s="3" t="s">
        <v>603</v>
      </c>
      <c r="AI3" s="3"/>
      <c r="AJ3" s="3"/>
      <c r="AK3" s="3"/>
      <c r="AL3" s="193"/>
      <c r="AM3" s="193" t="s">
        <v>493</v>
      </c>
      <c r="AN3" s="193"/>
      <c r="AO3" s="193" t="s">
        <v>495</v>
      </c>
      <c r="AP3" s="193" t="s">
        <v>631</v>
      </c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93"/>
      <c r="BD3" s="193"/>
      <c r="BE3" s="193"/>
      <c r="BF3" s="193"/>
      <c r="BG3" s="193"/>
      <c r="BH3" s="193"/>
      <c r="BI3" s="193"/>
      <c r="BJ3" s="193"/>
      <c r="BK3" s="193"/>
      <c r="BL3" s="193"/>
      <c r="BM3" s="193"/>
      <c r="BN3" s="193"/>
      <c r="BO3" s="193"/>
      <c r="BP3" s="193"/>
      <c r="BQ3" s="193"/>
      <c r="BR3" s="193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193"/>
      <c r="CE3" s="193"/>
      <c r="CF3" s="193"/>
      <c r="CG3" s="193"/>
      <c r="CH3" s="193"/>
      <c r="CI3" s="193"/>
      <c r="CJ3" s="193"/>
      <c r="CK3" s="193"/>
      <c r="CL3" s="193"/>
      <c r="CM3" s="193"/>
      <c r="CN3" s="193"/>
      <c r="CO3" s="193"/>
      <c r="CP3" s="193"/>
    </row>
    <row r="4" spans="1:94" x14ac:dyDescent="0.3">
      <c r="A4" s="2"/>
      <c r="B4" s="5" t="s">
        <v>6</v>
      </c>
      <c r="C4" s="5"/>
      <c r="D4" s="5"/>
      <c r="E4" s="5"/>
      <c r="F4" s="365" t="s">
        <v>54</v>
      </c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7"/>
      <c r="Y4" s="2"/>
      <c r="Z4" s="2"/>
      <c r="AA4" s="3" t="s">
        <v>7</v>
      </c>
      <c r="AB4" s="3"/>
      <c r="AC4" s="3"/>
      <c r="AD4" s="4">
        <v>1</v>
      </c>
      <c r="AE4" s="4" t="s">
        <v>2</v>
      </c>
      <c r="AF4" s="3"/>
      <c r="AG4" s="3"/>
      <c r="AH4" s="3"/>
      <c r="AI4" s="3"/>
      <c r="AJ4" s="3"/>
      <c r="AK4" s="3"/>
      <c r="AL4" s="193"/>
      <c r="AM4" s="193" t="s">
        <v>494</v>
      </c>
      <c r="AN4" s="193"/>
      <c r="AO4" s="193" t="s">
        <v>496</v>
      </c>
      <c r="AP4" s="193" t="s">
        <v>632</v>
      </c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3"/>
      <c r="BB4" s="193"/>
      <c r="BC4" s="193"/>
      <c r="BD4" s="193"/>
      <c r="BE4" s="193"/>
      <c r="BF4" s="193"/>
      <c r="BG4" s="193"/>
      <c r="BH4" s="193"/>
      <c r="BI4" s="193"/>
      <c r="BJ4" s="193"/>
      <c r="BK4" s="193"/>
      <c r="BL4" s="193"/>
      <c r="BM4" s="193"/>
      <c r="BN4" s="193"/>
      <c r="BO4" s="193"/>
      <c r="BP4" s="193"/>
      <c r="BQ4" s="193"/>
      <c r="BR4" s="193"/>
      <c r="BS4" s="193"/>
      <c r="BT4" s="193"/>
      <c r="BU4" s="193"/>
      <c r="BV4" s="193"/>
      <c r="BW4" s="193"/>
      <c r="BX4" s="193"/>
      <c r="BY4" s="193"/>
      <c r="BZ4" s="193"/>
      <c r="CA4" s="193"/>
      <c r="CB4" s="193"/>
      <c r="CC4" s="193"/>
      <c r="CD4" s="193"/>
      <c r="CE4" s="193"/>
      <c r="CF4" s="193"/>
      <c r="CG4" s="193"/>
      <c r="CH4" s="193"/>
      <c r="CI4" s="193"/>
      <c r="CJ4" s="193"/>
      <c r="CK4" s="193"/>
      <c r="CL4" s="193"/>
      <c r="CM4" s="193"/>
      <c r="CN4" s="193"/>
      <c r="CO4" s="193"/>
      <c r="CP4" s="193"/>
    </row>
    <row r="5" spans="1:94" x14ac:dyDescent="0.3">
      <c r="A5" s="2"/>
      <c r="B5" s="5" t="s">
        <v>8</v>
      </c>
      <c r="C5" s="5"/>
      <c r="D5" s="5"/>
      <c r="E5" s="5"/>
      <c r="F5" s="365" t="s">
        <v>54</v>
      </c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6"/>
      <c r="V5" s="366"/>
      <c r="W5" s="366"/>
      <c r="X5" s="367"/>
      <c r="Y5" s="2"/>
      <c r="Z5" s="2"/>
      <c r="AA5" s="3" t="s">
        <v>9</v>
      </c>
      <c r="AB5" s="3"/>
      <c r="AC5" s="3"/>
      <c r="AD5" s="4">
        <v>3</v>
      </c>
      <c r="AE5" s="4" t="s">
        <v>2</v>
      </c>
      <c r="AF5" s="4"/>
      <c r="AG5" s="3"/>
      <c r="AH5" s="3"/>
      <c r="AI5" s="3"/>
      <c r="AJ5" s="3"/>
      <c r="AK5" s="3"/>
      <c r="AL5" s="193"/>
      <c r="AM5" s="193"/>
      <c r="AN5" s="193"/>
      <c r="AO5" s="193"/>
      <c r="AP5" s="193"/>
      <c r="AQ5" s="193"/>
      <c r="AR5" s="193"/>
      <c r="AS5" s="193"/>
      <c r="AT5" s="193"/>
      <c r="AU5" s="193"/>
      <c r="AV5" s="193"/>
      <c r="AW5" s="193"/>
      <c r="AX5" s="193"/>
      <c r="AY5" s="193"/>
      <c r="AZ5" s="193"/>
      <c r="BA5" s="193"/>
      <c r="BB5" s="193"/>
      <c r="BC5" s="193"/>
      <c r="BD5" s="193"/>
      <c r="BE5" s="193"/>
      <c r="BF5" s="193"/>
      <c r="BG5" s="193"/>
      <c r="BH5" s="193"/>
      <c r="BI5" s="193"/>
      <c r="BJ5" s="193"/>
      <c r="BK5" s="193"/>
      <c r="BL5" s="193"/>
      <c r="BM5" s="193"/>
      <c r="BN5" s="193"/>
      <c r="BO5" s="193"/>
      <c r="BP5" s="193"/>
      <c r="BQ5" s="193"/>
      <c r="BR5" s="193"/>
      <c r="BS5" s="193"/>
      <c r="BT5" s="193"/>
      <c r="BU5" s="193"/>
      <c r="BV5" s="193"/>
      <c r="BW5" s="193"/>
      <c r="BX5" s="193"/>
      <c r="BY5" s="193"/>
      <c r="BZ5" s="193"/>
      <c r="CA5" s="193"/>
      <c r="CB5" s="193"/>
      <c r="CC5" s="193"/>
      <c r="CD5" s="193"/>
      <c r="CE5" s="193"/>
      <c r="CF5" s="193"/>
      <c r="CG5" s="193"/>
      <c r="CH5" s="193"/>
      <c r="CI5" s="193"/>
      <c r="CJ5" s="193"/>
      <c r="CK5" s="193"/>
      <c r="CL5" s="193"/>
      <c r="CM5" s="193"/>
      <c r="CN5" s="193"/>
      <c r="CO5" s="193"/>
      <c r="CP5" s="193"/>
    </row>
    <row r="6" spans="1:94" x14ac:dyDescent="0.3">
      <c r="A6" s="2"/>
      <c r="B6" s="5" t="s">
        <v>10</v>
      </c>
      <c r="C6" s="5"/>
      <c r="D6" s="5"/>
      <c r="E6" s="5"/>
      <c r="F6" s="365" t="s">
        <v>11</v>
      </c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7"/>
      <c r="Y6" s="2"/>
      <c r="Z6" s="2"/>
      <c r="AA6" s="3"/>
      <c r="AB6" s="3"/>
      <c r="AC6" s="3"/>
      <c r="AD6" s="3"/>
      <c r="AE6" s="3"/>
      <c r="AF6" s="4"/>
      <c r="AG6" s="3"/>
      <c r="AH6" s="3"/>
      <c r="AI6" s="3"/>
      <c r="AJ6" s="3"/>
      <c r="AK6" s="3"/>
      <c r="AL6" s="193"/>
      <c r="AM6" s="193"/>
      <c r="AN6" s="193"/>
      <c r="AO6" s="193"/>
      <c r="AP6" s="193"/>
      <c r="AQ6" s="193"/>
      <c r="AR6" s="193"/>
      <c r="AS6" s="193"/>
      <c r="AT6" s="193"/>
      <c r="AU6" s="193"/>
      <c r="AV6" s="193"/>
      <c r="AW6" s="193"/>
      <c r="AX6" s="193"/>
      <c r="AY6" s="193"/>
      <c r="AZ6" s="193"/>
      <c r="BA6" s="193"/>
      <c r="BB6" s="193"/>
      <c r="BC6" s="193"/>
      <c r="BD6" s="193"/>
      <c r="BE6" s="193">
        <f ca="1">'Controle dos padrões'!CT4</f>
        <v>1</v>
      </c>
      <c r="BF6" s="193" t="str">
        <f>'Controle dos padrões'!CV4</f>
        <v>Seleção - Temp. Amb.</v>
      </c>
      <c r="BG6" s="193"/>
      <c r="BH6" s="193"/>
      <c r="BI6" s="193">
        <f ca="1">'Controle dos padrões'!CT27</f>
        <v>1</v>
      </c>
      <c r="BJ6" s="193" t="str">
        <f>'Controle dos padrões'!CV27</f>
        <v>Seleção - Umidade</v>
      </c>
      <c r="BK6" s="193"/>
      <c r="BL6" s="193"/>
      <c r="BM6" s="193">
        <f ca="1">'Controle dos padrões'!CT50</f>
        <v>1</v>
      </c>
      <c r="BN6" s="193" t="str">
        <f>'Controle dos padrões'!CV50</f>
        <v>Seleção - Pressão Atm</v>
      </c>
      <c r="BO6" s="193"/>
      <c r="BP6" s="193"/>
      <c r="BQ6" s="193"/>
      <c r="BR6" s="193"/>
      <c r="BS6" s="217" t="s">
        <v>42</v>
      </c>
      <c r="BT6" s="218">
        <v>1</v>
      </c>
      <c r="BU6" s="217" t="s">
        <v>42</v>
      </c>
      <c r="BV6" s="218">
        <v>2</v>
      </c>
      <c r="BW6" s="217" t="s">
        <v>42</v>
      </c>
      <c r="BX6" s="218">
        <v>3</v>
      </c>
      <c r="BY6" s="217" t="s">
        <v>42</v>
      </c>
      <c r="BZ6" s="218">
        <v>4</v>
      </c>
      <c r="CA6" s="217" t="s">
        <v>42</v>
      </c>
      <c r="CB6" s="218">
        <v>5</v>
      </c>
      <c r="CC6" s="217" t="s">
        <v>42</v>
      </c>
      <c r="CD6" s="218">
        <v>6</v>
      </c>
      <c r="CE6" s="217" t="s">
        <v>42</v>
      </c>
      <c r="CF6" s="218">
        <v>7</v>
      </c>
      <c r="CG6" s="193"/>
      <c r="CH6" s="193"/>
      <c r="CI6" s="193"/>
      <c r="CJ6" s="193"/>
      <c r="CK6" s="193"/>
      <c r="CL6" s="193"/>
      <c r="CM6" s="193"/>
      <c r="CN6" s="193"/>
      <c r="CO6" s="193"/>
      <c r="CP6" s="193"/>
    </row>
    <row r="7" spans="1:94" x14ac:dyDescent="0.3">
      <c r="A7" s="2"/>
      <c r="B7" s="5" t="s">
        <v>8</v>
      </c>
      <c r="C7" s="5"/>
      <c r="D7" s="5"/>
      <c r="E7" s="5"/>
      <c r="F7" s="365" t="s">
        <v>11</v>
      </c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7"/>
      <c r="Y7" s="2"/>
      <c r="Z7" s="2"/>
      <c r="AA7" s="3" t="str">
        <f>IF($F$2="","",HLOOKUP($F$2,Técnicos!$A$1:$E$51,AF7+1,FALSE))</f>
        <v>Alessandro Severiano dos Santos</v>
      </c>
      <c r="AB7" s="3"/>
      <c r="AC7" s="3"/>
      <c r="AD7" s="3"/>
      <c r="AE7" s="3"/>
      <c r="AF7" s="4">
        <v>1</v>
      </c>
      <c r="AG7" s="3"/>
      <c r="AH7" s="3" t="s">
        <v>12</v>
      </c>
      <c r="AI7" s="3"/>
      <c r="AJ7" s="3"/>
      <c r="AK7" s="3"/>
      <c r="AL7" s="193"/>
      <c r="AM7" s="193"/>
      <c r="AN7" s="193" t="str">
        <f>CMC!I3</f>
        <v>Dispensadores</v>
      </c>
      <c r="AO7" s="193"/>
      <c r="AP7" s="193"/>
      <c r="AQ7" s="193"/>
      <c r="AR7" s="193" t="s">
        <v>483</v>
      </c>
      <c r="AS7" s="193"/>
      <c r="AT7" s="193"/>
      <c r="AU7" s="193" t="str">
        <f>'Unidades de medida'!A2</f>
        <v>L</v>
      </c>
      <c r="AV7" s="193"/>
      <c r="AW7" s="193"/>
      <c r="AX7" s="193" t="s">
        <v>97</v>
      </c>
      <c r="AY7" s="193"/>
      <c r="AZ7" s="193"/>
      <c r="BA7" s="193"/>
      <c r="BB7" s="193" t="str">
        <f>Materiais!A2</f>
        <v>Aço</v>
      </c>
      <c r="BC7" s="193"/>
      <c r="BD7" s="193"/>
      <c r="BE7" s="193">
        <v>1</v>
      </c>
      <c r="BF7" s="193" t="str">
        <f ca="1">IF(BE7&lt;=BE$6,VLOOKUP(BE7,'Controle dos padrões'!$CT$5:$CV$24,3,FALSE),"-")</f>
        <v>E.TH.LQ-001 (OUT)</v>
      </c>
      <c r="BG7" s="193"/>
      <c r="BH7" s="193"/>
      <c r="BI7" s="193">
        <v>1</v>
      </c>
      <c r="BJ7" s="193" t="str">
        <f ca="1">IF(BI7&lt;=BI$6,VLOOKUP(BI7,'Controle dos padrões'!$CT$28:$CV$47,3,FALSE),"-")</f>
        <v>E.TH.LQ-001</v>
      </c>
      <c r="BK7" s="193"/>
      <c r="BL7" s="193"/>
      <c r="BM7" s="193">
        <v>1</v>
      </c>
      <c r="BN7" s="193" t="str">
        <f ca="1">IF(BM7&lt;=BM$6,VLOOKUP(BM7,'Controle dos padrões'!$CT$51:$CV$70,3,FALSE),"-")</f>
        <v>E.TH.LQ-001</v>
      </c>
      <c r="BO7" s="193"/>
      <c r="BP7" s="193"/>
      <c r="BQ7" s="193"/>
      <c r="BR7" s="193"/>
      <c r="BS7" s="217">
        <v>100</v>
      </c>
      <c r="BT7" s="218">
        <f>$U$12*BS7/100</f>
        <v>1000</v>
      </c>
      <c r="BU7" s="217">
        <v>10</v>
      </c>
      <c r="BV7" s="218">
        <f t="shared" ref="BV7:BV8" si="0">$U$12*BU7/100</f>
        <v>100</v>
      </c>
      <c r="BW7" s="217">
        <v>10</v>
      </c>
      <c r="BX7" s="218">
        <f t="shared" ref="BX7:BX9" si="1">$U$12*BW7/100</f>
        <v>100</v>
      </c>
      <c r="BY7" s="217">
        <v>25</v>
      </c>
      <c r="BZ7" s="218">
        <f t="shared" ref="BZ7:BZ10" si="2">$U$12*BY7/100</f>
        <v>250</v>
      </c>
      <c r="CA7" s="217">
        <v>10</v>
      </c>
      <c r="CB7" s="218">
        <f t="shared" ref="CB7:CB11" si="3">$U$12*CA7/100</f>
        <v>100</v>
      </c>
      <c r="CC7" s="217">
        <v>10</v>
      </c>
      <c r="CD7" s="218">
        <f t="shared" ref="CD7:CD12" si="4">$U$12*CC7/100</f>
        <v>100</v>
      </c>
      <c r="CE7" s="217">
        <v>10</v>
      </c>
      <c r="CF7" s="218">
        <f t="shared" ref="CF7:CF13" si="5">$U$12*CE7/100</f>
        <v>100</v>
      </c>
      <c r="CG7" s="193"/>
      <c r="CH7" s="193"/>
      <c r="CI7" s="193"/>
      <c r="CJ7" s="193"/>
      <c r="CK7" s="193"/>
      <c r="CL7" s="193"/>
      <c r="CM7" s="193"/>
      <c r="CN7" s="193"/>
      <c r="CO7" s="193"/>
      <c r="CP7" s="193"/>
    </row>
    <row r="8" spans="1:94" x14ac:dyDescent="0.3">
      <c r="A8" s="2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2"/>
      <c r="Z8" s="2"/>
      <c r="AA8" s="3" t="str">
        <f>IF($F$2="","",HLOOKUP($F$2,Técnicos!$A$1:$E$51,AF8+1,FALSE))</f>
        <v>Alexandre do Nascimento</v>
      </c>
      <c r="AB8" s="3"/>
      <c r="AC8" s="3"/>
      <c r="AD8" s="3"/>
      <c r="AE8" s="3"/>
      <c r="AF8" s="4">
        <f>AF7+1</f>
        <v>2</v>
      </c>
      <c r="AG8" s="3"/>
      <c r="AH8" s="3" t="s">
        <v>13</v>
      </c>
      <c r="AI8" s="3"/>
      <c r="AJ8" s="3"/>
      <c r="AK8" s="3"/>
      <c r="AL8" s="193"/>
      <c r="AM8" s="193"/>
      <c r="AN8" s="193" t="str">
        <f>CMC!I4</f>
        <v>Microvolume</v>
      </c>
      <c r="AO8" s="193"/>
      <c r="AP8" s="193"/>
      <c r="AQ8" s="193"/>
      <c r="AR8" s="193" t="s">
        <v>76</v>
      </c>
      <c r="AS8" s="193"/>
      <c r="AT8" s="193"/>
      <c r="AU8" s="193" t="str">
        <f>'Unidades de medida'!A3</f>
        <v>dL</v>
      </c>
      <c r="AV8" s="193"/>
      <c r="AW8" s="193"/>
      <c r="AX8" s="193" t="s">
        <v>98</v>
      </c>
      <c r="AY8" s="193"/>
      <c r="AZ8" s="193"/>
      <c r="BA8" s="193"/>
      <c r="BB8" s="193" t="str">
        <f>Materiais!A3</f>
        <v>Aço inoxidável</v>
      </c>
      <c r="BC8" s="193"/>
      <c r="BD8" s="193"/>
      <c r="BE8" s="193">
        <f>BE7+1</f>
        <v>2</v>
      </c>
      <c r="BF8" s="193" t="str">
        <f ca="1">IF(BE8&lt;=BE$6,VLOOKUP(BE8,'Controle dos padrões'!$CT$5:$CV$24,3,FALSE),"-")</f>
        <v>-</v>
      </c>
      <c r="BG8" s="193"/>
      <c r="BH8" s="193"/>
      <c r="BI8" s="193">
        <f>BI7+1</f>
        <v>2</v>
      </c>
      <c r="BJ8" s="193" t="str">
        <f ca="1">IF(BI8&lt;=BI$6,VLOOKUP(BI8,'Controle dos padrões'!$CT$28:$CV$47,3,FALSE),"-")</f>
        <v>-</v>
      </c>
      <c r="BK8" s="193"/>
      <c r="BL8" s="193"/>
      <c r="BM8" s="193">
        <f>BM7+1</f>
        <v>2</v>
      </c>
      <c r="BN8" s="193" t="str">
        <f ca="1">IF(BM8&lt;=BM$6,VLOOKUP(BM8,'Controle dos padrões'!$CT$51:$CV$70,3,FALSE),"-")</f>
        <v>-</v>
      </c>
      <c r="BO8" s="193"/>
      <c r="BP8" s="193"/>
      <c r="BQ8" s="193"/>
      <c r="BR8" s="193"/>
      <c r="BS8" s="217"/>
      <c r="BT8" s="218" t="s">
        <v>54</v>
      </c>
      <c r="BU8" s="217">
        <v>100</v>
      </c>
      <c r="BV8" s="218">
        <f t="shared" si="0"/>
        <v>1000</v>
      </c>
      <c r="BW8" s="217">
        <v>50</v>
      </c>
      <c r="BX8" s="218">
        <f t="shared" si="1"/>
        <v>500</v>
      </c>
      <c r="BY8" s="217">
        <v>50</v>
      </c>
      <c r="BZ8" s="218">
        <f t="shared" si="2"/>
        <v>500</v>
      </c>
      <c r="CA8" s="217">
        <v>25</v>
      </c>
      <c r="CB8" s="218">
        <f t="shared" si="3"/>
        <v>250</v>
      </c>
      <c r="CC8" s="217">
        <v>20</v>
      </c>
      <c r="CD8" s="218">
        <f t="shared" si="4"/>
        <v>200</v>
      </c>
      <c r="CE8" s="217">
        <v>20</v>
      </c>
      <c r="CF8" s="218">
        <f t="shared" si="5"/>
        <v>200</v>
      </c>
      <c r="CG8" s="193"/>
      <c r="CH8" s="193"/>
      <c r="CI8" s="193"/>
      <c r="CJ8" s="193"/>
      <c r="CK8" s="193"/>
      <c r="CL8" s="193"/>
      <c r="CM8" s="193"/>
      <c r="CN8" s="193"/>
      <c r="CO8" s="193"/>
      <c r="CP8" s="193"/>
    </row>
    <row r="9" spans="1:94" x14ac:dyDescent="0.3">
      <c r="A9" s="2"/>
      <c r="B9" s="5" t="s">
        <v>34</v>
      </c>
      <c r="C9" s="5"/>
      <c r="D9" s="5"/>
      <c r="E9" s="5"/>
      <c r="F9" s="365" t="s">
        <v>22</v>
      </c>
      <c r="G9" s="366"/>
      <c r="H9" s="366"/>
      <c r="I9" s="366"/>
      <c r="J9" s="366"/>
      <c r="K9" s="366"/>
      <c r="L9" s="367"/>
      <c r="M9" s="5"/>
      <c r="N9" s="1" t="s">
        <v>35</v>
      </c>
      <c r="O9" s="2"/>
      <c r="R9" s="365" t="s">
        <v>45</v>
      </c>
      <c r="S9" s="366"/>
      <c r="T9" s="366"/>
      <c r="U9" s="366"/>
      <c r="V9" s="366"/>
      <c r="W9" s="366"/>
      <c r="X9" s="367"/>
      <c r="Y9" s="2"/>
      <c r="Z9" s="216">
        <v>2</v>
      </c>
      <c r="AA9" s="3" t="str">
        <f>IF($F$2="","",HLOOKUP($F$2,Técnicos!$A$1:$E$51,AF9+1,FALSE))</f>
        <v>Aline Roque da Cruz</v>
      </c>
      <c r="AB9" s="3"/>
      <c r="AC9" s="3"/>
      <c r="AD9" s="3"/>
      <c r="AE9" s="3"/>
      <c r="AF9" s="4">
        <f t="shared" ref="AF9:AF56" si="6">AF8+1</f>
        <v>3</v>
      </c>
      <c r="AG9" s="3"/>
      <c r="AH9" s="3" t="s">
        <v>14</v>
      </c>
      <c r="AI9" s="3"/>
      <c r="AJ9" s="3"/>
      <c r="AK9" s="3"/>
      <c r="AL9" s="193"/>
      <c r="AM9" s="193"/>
      <c r="AN9" s="193" t="str">
        <f>CMC!I5</f>
        <v>Picnômetro</v>
      </c>
      <c r="AO9" s="193"/>
      <c r="AP9" s="193"/>
      <c r="AQ9" s="193"/>
      <c r="AR9" s="193" t="s">
        <v>77</v>
      </c>
      <c r="AS9" s="193"/>
      <c r="AT9" s="193"/>
      <c r="AU9" s="193" t="str">
        <f>'Unidades de medida'!A4</f>
        <v>cL</v>
      </c>
      <c r="AV9" s="193"/>
      <c r="AW9" s="193"/>
      <c r="AX9" s="193" t="s">
        <v>99</v>
      </c>
      <c r="AY9" s="193"/>
      <c r="AZ9" s="193"/>
      <c r="BA9" s="193"/>
      <c r="BB9" s="193" t="str">
        <f>Materiais!A4</f>
        <v>Borosilicato (A)</v>
      </c>
      <c r="BC9" s="193"/>
      <c r="BD9" s="193"/>
      <c r="BE9" s="193">
        <f t="shared" ref="BE9:BE26" si="7">BE8+1</f>
        <v>3</v>
      </c>
      <c r="BF9" s="193" t="str">
        <f ca="1">IF(BE9&lt;=BE$6,VLOOKUP(BE9,'Controle dos padrões'!$CT$5:$CV$24,3,FALSE),"-")</f>
        <v>-</v>
      </c>
      <c r="BG9" s="193"/>
      <c r="BH9" s="193"/>
      <c r="BI9" s="193">
        <f t="shared" ref="BI9:BI26" si="8">BI8+1</f>
        <v>3</v>
      </c>
      <c r="BJ9" s="193" t="str">
        <f ca="1">IF(BI9&lt;=BI$6,VLOOKUP(BI9,'Controle dos padrões'!$CT$28:$CV$47,3,FALSE),"-")</f>
        <v>-</v>
      </c>
      <c r="BK9" s="193"/>
      <c r="BL9" s="193"/>
      <c r="BM9" s="193">
        <f t="shared" ref="BM9:BM26" si="9">BM8+1</f>
        <v>3</v>
      </c>
      <c r="BN9" s="193" t="str">
        <f ca="1">IF(BM9&lt;=BM$6,VLOOKUP(BM9,'Controle dos padrões'!$CT$51:$CV$70,3,FALSE),"-")</f>
        <v>-</v>
      </c>
      <c r="BO9" s="193"/>
      <c r="BP9" s="193"/>
      <c r="BQ9" s="193"/>
      <c r="BR9" s="193"/>
      <c r="BS9" s="217"/>
      <c r="BT9" s="218" t="s">
        <v>54</v>
      </c>
      <c r="BU9" s="217"/>
      <c r="BV9" s="218" t="s">
        <v>54</v>
      </c>
      <c r="BW9" s="217">
        <v>100</v>
      </c>
      <c r="BX9" s="218">
        <f t="shared" si="1"/>
        <v>1000</v>
      </c>
      <c r="BY9" s="217">
        <v>75</v>
      </c>
      <c r="BZ9" s="218">
        <f t="shared" si="2"/>
        <v>750</v>
      </c>
      <c r="CA9" s="217">
        <v>50</v>
      </c>
      <c r="CB9" s="218">
        <f t="shared" si="3"/>
        <v>500</v>
      </c>
      <c r="CC9" s="217">
        <v>40</v>
      </c>
      <c r="CD9" s="218">
        <f t="shared" si="4"/>
        <v>400</v>
      </c>
      <c r="CE9" s="217">
        <v>35</v>
      </c>
      <c r="CF9" s="218">
        <f t="shared" si="5"/>
        <v>350</v>
      </c>
      <c r="CG9" s="193"/>
      <c r="CH9" s="193"/>
      <c r="CI9" s="193"/>
      <c r="CJ9" s="193"/>
      <c r="CK9" s="193"/>
      <c r="CL9" s="193"/>
      <c r="CM9" s="193"/>
      <c r="CN9" s="193"/>
      <c r="CO9" s="193"/>
      <c r="CP9" s="193"/>
    </row>
    <row r="10" spans="1:94" x14ac:dyDescent="0.3">
      <c r="A10" s="2"/>
      <c r="B10" s="5"/>
      <c r="C10" s="5"/>
      <c r="D10" s="5"/>
      <c r="E10" s="5"/>
      <c r="F10" s="5"/>
      <c r="G10" s="5"/>
      <c r="H10" s="5"/>
      <c r="I10" s="5"/>
      <c r="J10" s="5"/>
      <c r="K10" s="5"/>
      <c r="L10" s="2"/>
      <c r="M10" s="5"/>
      <c r="N10" s="5"/>
      <c r="O10" s="8"/>
      <c r="Q10" s="8"/>
      <c r="R10" s="8"/>
      <c r="S10" s="8"/>
      <c r="T10" s="8"/>
      <c r="U10" s="8"/>
      <c r="V10" s="8"/>
      <c r="W10" s="8"/>
      <c r="X10" s="8"/>
      <c r="Y10" s="2"/>
      <c r="Z10" s="2"/>
      <c r="AA10" s="3" t="str">
        <f>IF($F$2="","",HLOOKUP($F$2,Técnicos!$A$1:$E$51,AF10+1,FALSE))</f>
        <v>André Chaves de Souza</v>
      </c>
      <c r="AB10" s="3"/>
      <c r="AC10" s="3"/>
      <c r="AD10" s="3"/>
      <c r="AE10" s="3"/>
      <c r="AF10" s="4">
        <f t="shared" si="6"/>
        <v>4</v>
      </c>
      <c r="AG10" s="3"/>
      <c r="AH10" s="3" t="s">
        <v>15</v>
      </c>
      <c r="AI10" s="3"/>
      <c r="AJ10" s="3"/>
      <c r="AK10" s="3"/>
      <c r="AL10" s="193"/>
      <c r="AM10" s="193"/>
      <c r="AN10" s="193" t="str">
        <f>CMC!I6</f>
        <v>Seringa</v>
      </c>
      <c r="AO10" s="193"/>
      <c r="AP10" s="193"/>
      <c r="AQ10" s="193"/>
      <c r="AR10" s="193"/>
      <c r="AS10" s="193"/>
      <c r="AT10" s="193"/>
      <c r="AU10" s="193" t="str">
        <f>'Unidades de medida'!A5</f>
        <v>mL</v>
      </c>
      <c r="AV10" s="193"/>
      <c r="AW10" s="193"/>
      <c r="AX10" s="193" t="s">
        <v>100</v>
      </c>
      <c r="AY10" s="193"/>
      <c r="AZ10" s="193"/>
      <c r="BA10" s="193"/>
      <c r="BB10" s="193" t="str">
        <f>Materiais!A5</f>
        <v>Borosilicato (B)</v>
      </c>
      <c r="BC10" s="193"/>
      <c r="BD10" s="193"/>
      <c r="BE10" s="193">
        <f t="shared" si="7"/>
        <v>4</v>
      </c>
      <c r="BF10" s="193" t="str">
        <f ca="1">IF(BE10&lt;=BE$6,VLOOKUP(BE10,'Controle dos padrões'!$CT$5:$CV$24,3,FALSE),"-")</f>
        <v>-</v>
      </c>
      <c r="BG10" s="193"/>
      <c r="BH10" s="193"/>
      <c r="BI10" s="193">
        <f t="shared" si="8"/>
        <v>4</v>
      </c>
      <c r="BJ10" s="193" t="str">
        <f ca="1">IF(BI10&lt;=BI$6,VLOOKUP(BI10,'Controle dos padrões'!$CT$28:$CV$47,3,FALSE),"-")</f>
        <v>-</v>
      </c>
      <c r="BK10" s="193"/>
      <c r="BL10" s="193"/>
      <c r="BM10" s="193">
        <f t="shared" si="9"/>
        <v>4</v>
      </c>
      <c r="BN10" s="193" t="str">
        <f ca="1">IF(BM10&lt;=BM$6,VLOOKUP(BM10,'Controle dos padrões'!$CT$51:$CV$70,3,FALSE),"-")</f>
        <v>-</v>
      </c>
      <c r="BO10" s="193"/>
      <c r="BP10" s="193"/>
      <c r="BQ10" s="193"/>
      <c r="BR10" s="193"/>
      <c r="BS10" s="217"/>
      <c r="BT10" s="218" t="s">
        <v>54</v>
      </c>
      <c r="BU10" s="217"/>
      <c r="BV10" s="218" t="s">
        <v>54</v>
      </c>
      <c r="BW10" s="217"/>
      <c r="BX10" s="218" t="s">
        <v>54</v>
      </c>
      <c r="BY10" s="217">
        <v>100</v>
      </c>
      <c r="BZ10" s="218">
        <f t="shared" si="2"/>
        <v>1000</v>
      </c>
      <c r="CA10" s="217">
        <v>75</v>
      </c>
      <c r="CB10" s="218">
        <f t="shared" si="3"/>
        <v>750</v>
      </c>
      <c r="CC10" s="217">
        <v>60</v>
      </c>
      <c r="CD10" s="218">
        <f t="shared" si="4"/>
        <v>600</v>
      </c>
      <c r="CE10" s="217">
        <v>50</v>
      </c>
      <c r="CF10" s="218">
        <f t="shared" si="5"/>
        <v>500</v>
      </c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</row>
    <row r="11" spans="1:94" x14ac:dyDescent="0.3">
      <c r="B11" s="5" t="s">
        <v>71</v>
      </c>
      <c r="C11" s="5"/>
      <c r="D11" s="5"/>
      <c r="E11" s="5"/>
      <c r="F11" s="365" t="s">
        <v>686</v>
      </c>
      <c r="G11" s="366"/>
      <c r="H11" s="366"/>
      <c r="I11" s="366"/>
      <c r="J11" s="366"/>
      <c r="K11" s="366"/>
      <c r="L11" s="367"/>
      <c r="R11" s="374"/>
      <c r="S11" s="375"/>
      <c r="T11" s="375"/>
      <c r="U11" s="375"/>
      <c r="V11" s="375"/>
      <c r="W11" s="375"/>
      <c r="X11" s="376"/>
      <c r="AA11" s="3" t="str">
        <f>IF($F$2="","",HLOOKUP($F$2,Técnicos!$A$1:$E$51,AF11+1,FALSE))</f>
        <v>Bruno Moraes Oliveira</v>
      </c>
      <c r="AB11" s="193"/>
      <c r="AC11" s="193"/>
      <c r="AD11" s="193"/>
      <c r="AE11" s="193"/>
      <c r="AF11" s="4">
        <f t="shared" si="6"/>
        <v>5</v>
      </c>
      <c r="AG11" s="193"/>
      <c r="AH11" s="193" t="s">
        <v>16</v>
      </c>
      <c r="AI11" s="193"/>
      <c r="AJ11" s="193"/>
      <c r="AK11" s="193"/>
      <c r="AL11" s="193"/>
      <c r="AM11" s="193"/>
      <c r="AN11" s="193" t="str">
        <f>CMC!I7</f>
        <v>Titulador</v>
      </c>
      <c r="AO11" s="193"/>
      <c r="AP11" s="193"/>
      <c r="AQ11" s="193"/>
      <c r="AR11" s="193"/>
      <c r="AS11" s="193"/>
      <c r="AT11" s="193"/>
      <c r="AU11" s="193" t="str">
        <f>'Unidades de medida'!A6</f>
        <v>µL</v>
      </c>
      <c r="AV11" s="193"/>
      <c r="AW11" s="193"/>
      <c r="AX11" s="193" t="s">
        <v>619</v>
      </c>
      <c r="AY11" s="193"/>
      <c r="AZ11" s="193"/>
      <c r="BA11" s="193"/>
      <c r="BB11" s="193" t="str">
        <f>Materiais!A6</f>
        <v>Bronze</v>
      </c>
      <c r="BC11" s="193"/>
      <c r="BD11" s="193"/>
      <c r="BE11" s="193">
        <f t="shared" si="7"/>
        <v>5</v>
      </c>
      <c r="BF11" s="193" t="str">
        <f ca="1">IF(BE11&lt;=BE$6,VLOOKUP(BE11,'Controle dos padrões'!$CT$5:$CV$24,3,FALSE),"-")</f>
        <v>-</v>
      </c>
      <c r="BG11" s="193"/>
      <c r="BH11" s="193"/>
      <c r="BI11" s="193">
        <f t="shared" si="8"/>
        <v>5</v>
      </c>
      <c r="BJ11" s="193" t="str">
        <f ca="1">IF(BI11&lt;=BI$6,VLOOKUP(BI11,'Controle dos padrões'!$CT$28:$CV$47,3,FALSE),"-")</f>
        <v>-</v>
      </c>
      <c r="BK11" s="193"/>
      <c r="BL11" s="193"/>
      <c r="BM11" s="193">
        <f t="shared" si="9"/>
        <v>5</v>
      </c>
      <c r="BN11" s="193" t="str">
        <f ca="1">IF(BM11&lt;=BM$6,VLOOKUP(BM11,'Controle dos padrões'!$CT$51:$CV$70,3,FALSE),"-")</f>
        <v>-</v>
      </c>
      <c r="BO11" s="193"/>
      <c r="BP11" s="193"/>
      <c r="BQ11" s="193"/>
      <c r="BR11" s="193"/>
      <c r="BS11" s="217"/>
      <c r="BT11" s="218" t="s">
        <v>54</v>
      </c>
      <c r="BU11" s="217"/>
      <c r="BV11" s="218" t="s">
        <v>54</v>
      </c>
      <c r="BW11" s="217"/>
      <c r="BX11" s="218" t="s">
        <v>54</v>
      </c>
      <c r="BY11" s="217"/>
      <c r="BZ11" s="218" t="s">
        <v>54</v>
      </c>
      <c r="CA11" s="217">
        <v>100</v>
      </c>
      <c r="CB11" s="218">
        <f t="shared" si="3"/>
        <v>1000</v>
      </c>
      <c r="CC11" s="217">
        <v>80</v>
      </c>
      <c r="CD11" s="218">
        <f t="shared" si="4"/>
        <v>800</v>
      </c>
      <c r="CE11" s="217">
        <v>65</v>
      </c>
      <c r="CF11" s="218">
        <f t="shared" si="5"/>
        <v>650</v>
      </c>
      <c r="CG11" s="193"/>
      <c r="CH11" s="193"/>
      <c r="CI11" s="193"/>
      <c r="CJ11" s="193"/>
      <c r="CK11" s="193"/>
      <c r="CL11" s="193"/>
      <c r="CM11" s="193"/>
      <c r="CN11" s="193"/>
      <c r="CO11" s="193"/>
      <c r="CP11" s="193"/>
    </row>
    <row r="12" spans="1:94" x14ac:dyDescent="0.3">
      <c r="B12" s="5" t="s">
        <v>72</v>
      </c>
      <c r="C12" s="5"/>
      <c r="D12" s="5"/>
      <c r="E12" s="5"/>
      <c r="F12" s="365" t="s">
        <v>687</v>
      </c>
      <c r="G12" s="366"/>
      <c r="H12" s="366"/>
      <c r="I12" s="366"/>
      <c r="J12" s="366"/>
      <c r="K12" s="366"/>
      <c r="L12" s="367"/>
      <c r="N12" s="5" t="str">
        <f>IF(Z9=1,"Capacidade :",IF(Z9=2,"Faixa de medição :",IF(Z9=3,"Capacidade máxima :","")))</f>
        <v>Faixa de medição :</v>
      </c>
      <c r="O12" s="5"/>
      <c r="P12" s="5"/>
      <c r="Q12" s="5"/>
      <c r="R12" s="385">
        <v>100</v>
      </c>
      <c r="S12" s="395"/>
      <c r="T12" s="24" t="str">
        <f>IF(OR(Z9=1,Z9=3),"","~")</f>
        <v>~</v>
      </c>
      <c r="U12" s="385">
        <v>1000</v>
      </c>
      <c r="V12" s="395"/>
      <c r="W12" s="364" t="s">
        <v>49</v>
      </c>
      <c r="X12" s="364"/>
      <c r="AA12" s="3" t="str">
        <f>IF($F$2="","",HLOOKUP($F$2,Técnicos!$A$1:$E$51,AF12+1,FALSE))</f>
        <v>Caio Cesar Silva</v>
      </c>
      <c r="AB12" s="193"/>
      <c r="AC12" s="193"/>
      <c r="AD12" s="193"/>
      <c r="AE12" s="193"/>
      <c r="AF12" s="4">
        <f t="shared" si="6"/>
        <v>6</v>
      </c>
      <c r="AG12" s="193"/>
      <c r="AH12" s="193" t="s">
        <v>17</v>
      </c>
      <c r="AI12" s="193"/>
      <c r="AJ12" s="193"/>
      <c r="AK12" s="193"/>
      <c r="AL12" s="193"/>
      <c r="AM12" s="193"/>
      <c r="AN12" s="193" t="str">
        <f>CMC!I8</f>
        <v>Vidraria de Laboratório</v>
      </c>
      <c r="AO12" s="193"/>
      <c r="AP12" s="193"/>
      <c r="AQ12" s="193"/>
      <c r="AR12" s="193"/>
      <c r="AS12" s="193"/>
      <c r="AT12" s="193"/>
      <c r="AU12" s="193" t="str">
        <f>'Unidades de medida'!A7</f>
        <v>dm³</v>
      </c>
      <c r="AV12" s="193"/>
      <c r="AW12" s="193"/>
      <c r="AX12" s="193"/>
      <c r="AY12" s="193"/>
      <c r="AZ12" s="193"/>
      <c r="BA12" s="193"/>
      <c r="BB12" s="193" t="str">
        <f>Materiais!A7</f>
        <v>Cobre</v>
      </c>
      <c r="BC12" s="193"/>
      <c r="BD12" s="193"/>
      <c r="BE12" s="193">
        <f t="shared" si="7"/>
        <v>6</v>
      </c>
      <c r="BF12" s="193" t="str">
        <f ca="1">IF(BE12&lt;=BE$6,VLOOKUP(BE12,'Controle dos padrões'!$CT$5:$CV$24,3,FALSE),"-")</f>
        <v>-</v>
      </c>
      <c r="BG12" s="193"/>
      <c r="BH12" s="193"/>
      <c r="BI12" s="193">
        <f t="shared" si="8"/>
        <v>6</v>
      </c>
      <c r="BJ12" s="193" t="str">
        <f ca="1">IF(BI12&lt;=BI$6,VLOOKUP(BI12,'Controle dos padrões'!$CT$28:$CV$47,3,FALSE),"-")</f>
        <v>-</v>
      </c>
      <c r="BK12" s="193"/>
      <c r="BL12" s="193"/>
      <c r="BM12" s="193">
        <f t="shared" si="9"/>
        <v>6</v>
      </c>
      <c r="BN12" s="193" t="str">
        <f ca="1">IF(BM12&lt;=BM$6,VLOOKUP(BM12,'Controle dos padrões'!$CT$51:$CV$70,3,FALSE),"-")</f>
        <v>-</v>
      </c>
      <c r="BO12" s="193"/>
      <c r="BP12" s="193"/>
      <c r="BQ12" s="193"/>
      <c r="BR12" s="193"/>
      <c r="BS12" s="217"/>
      <c r="BT12" s="218" t="s">
        <v>54</v>
      </c>
      <c r="BU12" s="217"/>
      <c r="BV12" s="218" t="s">
        <v>54</v>
      </c>
      <c r="BW12" s="217"/>
      <c r="BX12" s="218" t="s">
        <v>54</v>
      </c>
      <c r="BY12" s="217"/>
      <c r="BZ12" s="218" t="s">
        <v>54</v>
      </c>
      <c r="CA12" s="217"/>
      <c r="CB12" s="218" t="s">
        <v>54</v>
      </c>
      <c r="CC12" s="217">
        <v>100</v>
      </c>
      <c r="CD12" s="218">
        <f t="shared" si="4"/>
        <v>1000</v>
      </c>
      <c r="CE12" s="217">
        <v>80</v>
      </c>
      <c r="CF12" s="218">
        <f t="shared" si="5"/>
        <v>800</v>
      </c>
      <c r="CG12" s="193"/>
      <c r="CH12" s="193"/>
      <c r="CI12" s="193"/>
      <c r="CJ12" s="193"/>
      <c r="CK12" s="193"/>
      <c r="CL12" s="193"/>
      <c r="CM12" s="193"/>
      <c r="CN12" s="193"/>
      <c r="CO12" s="193"/>
      <c r="CP12" s="193"/>
    </row>
    <row r="13" spans="1:94" x14ac:dyDescent="0.3">
      <c r="B13" s="5" t="s">
        <v>73</v>
      </c>
      <c r="C13" s="5"/>
      <c r="D13" s="5"/>
      <c r="E13" s="5"/>
      <c r="F13" s="365" t="s">
        <v>689</v>
      </c>
      <c r="G13" s="366"/>
      <c r="H13" s="366"/>
      <c r="I13" s="366"/>
      <c r="J13" s="366"/>
      <c r="K13" s="366"/>
      <c r="L13" s="367"/>
      <c r="N13" s="5" t="str">
        <f>IF(OR(Z9=1,Z9=3),"","Menor divisão :")</f>
        <v>Menor divisão :</v>
      </c>
      <c r="O13" s="5"/>
      <c r="P13" s="5"/>
      <c r="Q13" s="5"/>
      <c r="R13" s="385">
        <v>1</v>
      </c>
      <c r="S13" s="395"/>
      <c r="T13" s="27" t="str">
        <f>IF(W12="","",W12)</f>
        <v>µL</v>
      </c>
      <c r="U13" s="396" t="str">
        <f>IF(T13="","",CONCATENATE("(",VLOOKUP(T13,'Unidades de medida'!$A$2:$C$9,3,FALSE),")"))</f>
        <v>(microlitro)</v>
      </c>
      <c r="V13" s="396"/>
      <c r="W13" s="396"/>
      <c r="X13" s="397"/>
      <c r="AA13" s="3" t="str">
        <f>IF($F$2="","",HLOOKUP($F$2,Técnicos!$A$1:$E$51,AF13+1,FALSE))</f>
        <v>Carlos Augusto Benevides</v>
      </c>
      <c r="AB13" s="193"/>
      <c r="AC13" s="193"/>
      <c r="AD13" s="193"/>
      <c r="AE13" s="193"/>
      <c r="AF13" s="4">
        <f t="shared" si="6"/>
        <v>7</v>
      </c>
      <c r="AG13" s="193"/>
      <c r="AH13" s="193" t="s">
        <v>18</v>
      </c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 t="str">
        <f>'Unidades de medida'!A8</f>
        <v>cm³</v>
      </c>
      <c r="AV13" s="193"/>
      <c r="AW13" s="193"/>
      <c r="AX13" s="193"/>
      <c r="AY13" s="193"/>
      <c r="AZ13" s="193"/>
      <c r="BA13" s="193"/>
      <c r="BB13" s="193" t="str">
        <f>Materiais!A8</f>
        <v>Policarbonato</v>
      </c>
      <c r="BC13" s="193"/>
      <c r="BD13" s="193"/>
      <c r="BE13" s="193">
        <f t="shared" si="7"/>
        <v>7</v>
      </c>
      <c r="BF13" s="193" t="str">
        <f ca="1">IF(BE13&lt;=BE$6,VLOOKUP(BE13,'Controle dos padrões'!$CT$5:$CV$24,3,FALSE),"-")</f>
        <v>-</v>
      </c>
      <c r="BG13" s="193"/>
      <c r="BH13" s="193"/>
      <c r="BI13" s="193">
        <f t="shared" si="8"/>
        <v>7</v>
      </c>
      <c r="BJ13" s="193" t="str">
        <f ca="1">IF(BI13&lt;=BI$6,VLOOKUP(BI13,'Controle dos padrões'!$CT$28:$CV$47,3,FALSE),"-")</f>
        <v>-</v>
      </c>
      <c r="BK13" s="193"/>
      <c r="BL13" s="193"/>
      <c r="BM13" s="193">
        <f t="shared" si="9"/>
        <v>7</v>
      </c>
      <c r="BN13" s="193" t="str">
        <f ca="1">IF(BM13&lt;=BM$6,VLOOKUP(BM13,'Controle dos padrões'!$CT$51:$CV$70,3,FALSE),"-")</f>
        <v>-</v>
      </c>
      <c r="BO13" s="193"/>
      <c r="BP13" s="193"/>
      <c r="BQ13" s="193"/>
      <c r="BR13" s="193"/>
      <c r="BS13" s="217"/>
      <c r="BT13" s="218" t="s">
        <v>54</v>
      </c>
      <c r="BU13" s="217"/>
      <c r="BV13" s="218" t="s">
        <v>54</v>
      </c>
      <c r="BW13" s="217"/>
      <c r="BX13" s="218" t="s">
        <v>54</v>
      </c>
      <c r="BY13" s="217"/>
      <c r="BZ13" s="218" t="s">
        <v>54</v>
      </c>
      <c r="CA13" s="217"/>
      <c r="CB13" s="218" t="s">
        <v>54</v>
      </c>
      <c r="CC13" s="217"/>
      <c r="CD13" s="218" t="s">
        <v>54</v>
      </c>
      <c r="CE13" s="217">
        <v>100</v>
      </c>
      <c r="CF13" s="218">
        <f t="shared" si="5"/>
        <v>1000</v>
      </c>
      <c r="CG13" s="193"/>
      <c r="CH13" s="193"/>
      <c r="CI13" s="193"/>
      <c r="CJ13" s="193"/>
      <c r="CK13" s="193"/>
      <c r="CL13" s="193"/>
      <c r="CM13" s="193"/>
      <c r="CN13" s="193"/>
      <c r="CO13" s="193"/>
      <c r="CP13" s="193"/>
    </row>
    <row r="14" spans="1:94" x14ac:dyDescent="0.3">
      <c r="B14" s="5" t="s">
        <v>74</v>
      </c>
      <c r="C14" s="5"/>
      <c r="D14" s="5"/>
      <c r="E14" s="5"/>
      <c r="F14" s="398" t="s">
        <v>688</v>
      </c>
      <c r="G14" s="366"/>
      <c r="H14" s="366"/>
      <c r="I14" s="366"/>
      <c r="J14" s="366"/>
      <c r="K14" s="366"/>
      <c r="L14" s="367"/>
      <c r="N14" s="1" t="s">
        <v>95</v>
      </c>
      <c r="R14" s="365" t="s">
        <v>97</v>
      </c>
      <c r="S14" s="366"/>
      <c r="T14" s="366"/>
      <c r="U14" s="366"/>
      <c r="V14" s="366"/>
      <c r="W14" s="366"/>
      <c r="X14" s="367"/>
      <c r="AA14" s="3" t="str">
        <f>IF($F$2="","",HLOOKUP($F$2,Técnicos!$A$1:$E$51,AF14+1,FALSE))</f>
        <v>Celson José dos Santos</v>
      </c>
      <c r="AB14" s="193"/>
      <c r="AC14" s="193"/>
      <c r="AD14" s="193"/>
      <c r="AE14" s="193"/>
      <c r="AF14" s="4">
        <f t="shared" si="6"/>
        <v>8</v>
      </c>
      <c r="AG14" s="193"/>
      <c r="AH14" s="193" t="s">
        <v>19</v>
      </c>
      <c r="AI14" s="193"/>
      <c r="AJ14" s="193"/>
      <c r="AK14" s="193"/>
      <c r="AL14" s="193"/>
      <c r="AM14" s="193"/>
      <c r="AN14" s="193"/>
      <c r="AO14" s="193"/>
      <c r="AP14" s="193"/>
      <c r="AQ14" s="193"/>
      <c r="AR14" s="193"/>
      <c r="AS14" s="193"/>
      <c r="AT14" s="193"/>
      <c r="AU14" s="193" t="str">
        <f>'Unidades de medida'!A9</f>
        <v>mm³</v>
      </c>
      <c r="AV14" s="193"/>
      <c r="AW14" s="193"/>
      <c r="AX14" s="193"/>
      <c r="AY14" s="193"/>
      <c r="AZ14" s="193"/>
      <c r="BA14" s="193"/>
      <c r="BB14" s="193" t="str">
        <f>Materiais!A9</f>
        <v>Poliestireno</v>
      </c>
      <c r="BC14" s="193"/>
      <c r="BD14" s="193"/>
      <c r="BE14" s="193">
        <f t="shared" si="7"/>
        <v>8</v>
      </c>
      <c r="BF14" s="193" t="str">
        <f ca="1">IF(BE14&lt;=BE$6,VLOOKUP(BE14,'Controle dos padrões'!$CT$5:$CV$24,3,FALSE),"-")</f>
        <v>-</v>
      </c>
      <c r="BG14" s="193"/>
      <c r="BH14" s="193"/>
      <c r="BI14" s="193">
        <f t="shared" si="8"/>
        <v>8</v>
      </c>
      <c r="BJ14" s="193" t="str">
        <f ca="1">IF(BI14&lt;=BI$6,VLOOKUP(BI14,'Controle dos padrões'!$CT$28:$CV$47,3,FALSE),"-")</f>
        <v>-</v>
      </c>
      <c r="BK14" s="193"/>
      <c r="BL14" s="193"/>
      <c r="BM14" s="193">
        <f t="shared" si="9"/>
        <v>8</v>
      </c>
      <c r="BN14" s="193" t="str">
        <f ca="1">IF(BM14&lt;=BM$6,VLOOKUP(BM14,'Controle dos padrões'!$CT$51:$CV$70,3,FALSE),"-")</f>
        <v>-</v>
      </c>
      <c r="BO14" s="193"/>
      <c r="BP14" s="193"/>
      <c r="BQ14" s="193"/>
      <c r="BR14" s="193"/>
      <c r="BS14" s="193"/>
      <c r="BT14" s="193"/>
      <c r="BU14" s="193"/>
      <c r="BV14" s="193"/>
      <c r="BW14" s="193"/>
      <c r="BX14" s="193"/>
      <c r="BY14" s="193"/>
      <c r="BZ14" s="193"/>
      <c r="CA14" s="193"/>
      <c r="CB14" s="193"/>
      <c r="CC14" s="193"/>
      <c r="CD14" s="193"/>
      <c r="CE14" s="193"/>
      <c r="CF14" s="193"/>
      <c r="CG14" s="193"/>
      <c r="CH14" s="193"/>
      <c r="CI14" s="193"/>
      <c r="CJ14" s="193"/>
      <c r="CK14" s="193"/>
      <c r="CL14" s="193"/>
      <c r="CM14" s="193"/>
      <c r="CN14" s="193"/>
      <c r="CO14" s="193"/>
      <c r="CP14" s="193"/>
    </row>
    <row r="15" spans="1:94" x14ac:dyDescent="0.3">
      <c r="B15" s="5" t="s">
        <v>75</v>
      </c>
      <c r="C15" s="2"/>
      <c r="D15" s="2"/>
      <c r="E15" s="2"/>
      <c r="F15" s="365" t="s">
        <v>76</v>
      </c>
      <c r="G15" s="366"/>
      <c r="H15" s="366"/>
      <c r="I15" s="366"/>
      <c r="J15" s="366"/>
      <c r="K15" s="366"/>
      <c r="L15" s="367"/>
      <c r="N15" s="1" t="str">
        <f>IF(Z9=1,"","Qtde Canais/Seringas :")</f>
        <v>Qtde Canais/Seringas :</v>
      </c>
      <c r="R15" s="385">
        <v>1</v>
      </c>
      <c r="S15" s="386"/>
      <c r="T15" s="58" t="str">
        <f>IF(Z9=1,"","Pontos por canal :")</f>
        <v>Pontos por canal :</v>
      </c>
      <c r="U15" s="58"/>
      <c r="V15" s="58"/>
      <c r="W15" s="385">
        <v>3</v>
      </c>
      <c r="X15" s="386"/>
      <c r="AA15" s="3" t="str">
        <f>IF($F$2="","",HLOOKUP($F$2,Técnicos!$A$1:$E$51,AF15+1,FALSE))</f>
        <v>Douglas Camargo da Silva</v>
      </c>
      <c r="AB15" s="193"/>
      <c r="AC15" s="193"/>
      <c r="AD15" s="193"/>
      <c r="AE15" s="193"/>
      <c r="AF15" s="4">
        <f t="shared" si="6"/>
        <v>9</v>
      </c>
      <c r="AG15" s="193"/>
      <c r="AH15" s="193" t="s">
        <v>20</v>
      </c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3"/>
      <c r="BB15" s="193" t="str">
        <f>Materiais!A10</f>
        <v>Polipropileno</v>
      </c>
      <c r="BC15" s="193"/>
      <c r="BD15" s="193"/>
      <c r="BE15" s="193">
        <f t="shared" si="7"/>
        <v>9</v>
      </c>
      <c r="BF15" s="193" t="str">
        <f ca="1">IF(BE15&lt;=BE$6,VLOOKUP(BE15,'Controle dos padrões'!$CT$5:$CV$24,3,FALSE),"-")</f>
        <v>-</v>
      </c>
      <c r="BG15" s="193"/>
      <c r="BH15" s="193"/>
      <c r="BI15" s="193">
        <f t="shared" si="8"/>
        <v>9</v>
      </c>
      <c r="BJ15" s="193" t="str">
        <f ca="1">IF(BI15&lt;=BI$6,VLOOKUP(BI15,'Controle dos padrões'!$CT$28:$CV$47,3,FALSE),"-")</f>
        <v>-</v>
      </c>
      <c r="BK15" s="193"/>
      <c r="BL15" s="193"/>
      <c r="BM15" s="193">
        <f t="shared" si="9"/>
        <v>9</v>
      </c>
      <c r="BN15" s="193" t="str">
        <f ca="1">IF(BM15&lt;=BM$6,VLOOKUP(BM15,'Controle dos padrões'!$CT$51:$CV$70,3,FALSE),"-")</f>
        <v>-</v>
      </c>
      <c r="BO15" s="193"/>
      <c r="BP15" s="193"/>
      <c r="BQ15" s="193"/>
      <c r="BR15" s="193"/>
      <c r="BS15" s="193"/>
      <c r="BT15" s="193"/>
      <c r="BU15" s="193"/>
      <c r="BV15" s="193"/>
      <c r="BW15" s="193"/>
      <c r="BX15" s="193"/>
      <c r="BY15" s="193"/>
      <c r="BZ15" s="193"/>
      <c r="CA15" s="193"/>
      <c r="CB15" s="193"/>
      <c r="CC15" s="193"/>
      <c r="CD15" s="193"/>
      <c r="CE15" s="193"/>
      <c r="CF15" s="193"/>
      <c r="CG15" s="193"/>
      <c r="CH15" s="193"/>
      <c r="CI15" s="193"/>
      <c r="CJ15" s="193"/>
      <c r="CK15" s="193"/>
      <c r="CL15" s="193"/>
      <c r="CM15" s="193"/>
      <c r="CN15" s="193"/>
      <c r="CO15" s="193"/>
      <c r="CP15" s="193"/>
    </row>
    <row r="16" spans="1:94" x14ac:dyDescent="0.3">
      <c r="B16" s="1" t="s">
        <v>96</v>
      </c>
      <c r="F16" s="365" t="s">
        <v>116</v>
      </c>
      <c r="G16" s="366"/>
      <c r="H16" s="366"/>
      <c r="I16" s="366"/>
      <c r="J16" s="366"/>
      <c r="K16" s="366"/>
      <c r="L16" s="367"/>
      <c r="N16" s="2" t="str">
        <f>IF(AD1&gt;1,"Local da calibração :","")</f>
        <v/>
      </c>
      <c r="O16" s="2"/>
      <c r="P16" s="2"/>
      <c r="Q16" s="2"/>
      <c r="R16" s="365"/>
      <c r="S16" s="366"/>
      <c r="T16" s="366"/>
      <c r="U16" s="366"/>
      <c r="V16" s="366"/>
      <c r="W16" s="366"/>
      <c r="X16" s="367"/>
      <c r="AA16" s="3" t="str">
        <f>IF($F$2="","",HLOOKUP($F$2,Técnicos!$A$1:$E$51,AF16+1,FALSE))</f>
        <v>Everaldo José da Silva</v>
      </c>
      <c r="AB16" s="193"/>
      <c r="AC16" s="193"/>
      <c r="AD16" s="193"/>
      <c r="AE16" s="193"/>
      <c r="AF16" s="4">
        <f t="shared" si="6"/>
        <v>10</v>
      </c>
      <c r="AG16" s="193"/>
      <c r="AH16" s="193" t="s">
        <v>21</v>
      </c>
      <c r="AI16" s="193"/>
      <c r="AJ16" s="193"/>
      <c r="AK16" s="193"/>
      <c r="AL16" s="193"/>
      <c r="AM16" s="193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AY16" s="193"/>
      <c r="AZ16" s="193"/>
      <c r="BA16" s="193"/>
      <c r="BB16" s="193" t="str">
        <f>Materiais!A11</f>
        <v>Soda</v>
      </c>
      <c r="BC16" s="193"/>
      <c r="BD16" s="193"/>
      <c r="BE16" s="193">
        <f t="shared" si="7"/>
        <v>10</v>
      </c>
      <c r="BF16" s="193" t="str">
        <f ca="1">IF(BE16&lt;=BE$6,VLOOKUP(BE16,'Controle dos padrões'!$CT$5:$CV$24,3,FALSE),"-")</f>
        <v>-</v>
      </c>
      <c r="BG16" s="193"/>
      <c r="BH16" s="193"/>
      <c r="BI16" s="193">
        <f t="shared" si="8"/>
        <v>10</v>
      </c>
      <c r="BJ16" s="193" t="str">
        <f ca="1">IF(BI16&lt;=BI$6,VLOOKUP(BI16,'Controle dos padrões'!$CT$28:$CV$47,3,FALSE),"-")</f>
        <v>-</v>
      </c>
      <c r="BK16" s="193"/>
      <c r="BL16" s="193"/>
      <c r="BM16" s="193">
        <f t="shared" si="9"/>
        <v>10</v>
      </c>
      <c r="BN16" s="193" t="str">
        <f ca="1">IF(BM16&lt;=BM$6,VLOOKUP(BM16,'Controle dos padrões'!$CT$51:$CV$70,3,FALSE),"-")</f>
        <v>-</v>
      </c>
      <c r="BO16" s="193"/>
      <c r="BP16" s="193"/>
      <c r="BQ16" s="193"/>
      <c r="BR16" s="193"/>
      <c r="BS16" s="193"/>
      <c r="BT16" s="193"/>
      <c r="BU16" s="193"/>
      <c r="BV16" s="193"/>
      <c r="BW16" s="193"/>
      <c r="BX16" s="193"/>
      <c r="BY16" s="193"/>
      <c r="BZ16" s="193"/>
      <c r="CA16" s="193"/>
      <c r="CB16" s="193"/>
      <c r="CC16" s="193"/>
      <c r="CD16" s="193"/>
      <c r="CE16" s="193"/>
      <c r="CF16" s="193"/>
      <c r="CG16" s="193"/>
      <c r="CH16" s="193"/>
      <c r="CI16" s="193"/>
      <c r="CJ16" s="193"/>
      <c r="CK16" s="193"/>
      <c r="CL16" s="193"/>
      <c r="CM16" s="193"/>
      <c r="CN16" s="193"/>
      <c r="CO16" s="193"/>
      <c r="CP16" s="193"/>
    </row>
    <row r="17" spans="1:94" x14ac:dyDescent="0.3">
      <c r="AA17" s="3" t="str">
        <f>IF($F$2="","",HLOOKUP($F$2,Técnicos!$A$1:$E$51,AF17+1,FALSE))</f>
        <v>Ezequiel Antonio da Silva</v>
      </c>
      <c r="AB17" s="193"/>
      <c r="AC17" s="193"/>
      <c r="AD17" s="193"/>
      <c r="AE17" s="193"/>
      <c r="AF17" s="4">
        <f t="shared" si="6"/>
        <v>11</v>
      </c>
      <c r="AG17" s="193"/>
      <c r="AH17" s="193" t="s">
        <v>22</v>
      </c>
      <c r="AI17" s="193"/>
      <c r="AJ17" s="193"/>
      <c r="AK17" s="193"/>
      <c r="AL17" s="193"/>
      <c r="AM17" s="193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  <c r="AY17" s="193"/>
      <c r="AZ17" s="193"/>
      <c r="BA17" s="193"/>
      <c r="BB17" s="193" t="str">
        <f>Materiais!A12</f>
        <v>Sódio Cálcio</v>
      </c>
      <c r="BC17" s="193"/>
      <c r="BD17" s="193"/>
      <c r="BE17" s="193">
        <f t="shared" si="7"/>
        <v>11</v>
      </c>
      <c r="BF17" s="193" t="str">
        <f ca="1">IF(BE17&lt;=BE$6,VLOOKUP(BE17,'Controle dos padrões'!$CT$5:$CV$24,3,FALSE),"-")</f>
        <v>-</v>
      </c>
      <c r="BG17" s="193"/>
      <c r="BH17" s="193"/>
      <c r="BI17" s="193">
        <f t="shared" si="8"/>
        <v>11</v>
      </c>
      <c r="BJ17" s="193" t="str">
        <f ca="1">IF(BI17&lt;=BI$6,VLOOKUP(BI17,'Controle dos padrões'!$CT$28:$CV$47,3,FALSE),"-")</f>
        <v>-</v>
      </c>
      <c r="BK17" s="193"/>
      <c r="BL17" s="193"/>
      <c r="BM17" s="193">
        <f t="shared" si="9"/>
        <v>11</v>
      </c>
      <c r="BN17" s="193" t="str">
        <f ca="1">IF(BM17&lt;=BM$6,VLOOKUP(BM17,'Controle dos padrões'!$CT$51:$CV$70,3,FALSE),"-")</f>
        <v>-</v>
      </c>
      <c r="BO17" s="193"/>
      <c r="BP17" s="193"/>
      <c r="BQ17" s="193"/>
      <c r="BR17" s="193"/>
      <c r="BS17" s="193"/>
      <c r="BT17" s="193"/>
      <c r="BU17" s="193"/>
      <c r="BV17" s="193"/>
      <c r="BW17" s="193"/>
      <c r="BX17" s="193"/>
      <c r="BY17" s="193"/>
      <c r="BZ17" s="193"/>
      <c r="CA17" s="193"/>
      <c r="CB17" s="193"/>
      <c r="CC17" s="193"/>
      <c r="CD17" s="193"/>
      <c r="CE17" s="193"/>
      <c r="CF17" s="193"/>
      <c r="CG17" s="193"/>
      <c r="CH17" s="193"/>
      <c r="CI17" s="193"/>
      <c r="CJ17" s="193"/>
      <c r="CK17" s="193"/>
      <c r="CL17" s="193"/>
      <c r="CM17" s="193"/>
      <c r="CN17" s="193"/>
      <c r="CO17" s="193"/>
      <c r="CP17" s="193"/>
    </row>
    <row r="18" spans="1:94" x14ac:dyDescent="0.3">
      <c r="B18" s="5" t="s">
        <v>118</v>
      </c>
      <c r="C18" s="5"/>
      <c r="D18" s="5"/>
      <c r="E18" s="5"/>
      <c r="F18" s="387">
        <v>46076</v>
      </c>
      <c r="G18" s="388"/>
      <c r="H18" s="389" t="s">
        <v>119</v>
      </c>
      <c r="I18" s="390"/>
      <c r="J18" s="391"/>
      <c r="K18" s="387">
        <v>46076</v>
      </c>
      <c r="L18" s="388"/>
      <c r="M18" s="389" t="s">
        <v>120</v>
      </c>
      <c r="N18" s="390"/>
      <c r="O18" s="391"/>
      <c r="P18" s="392" t="s">
        <v>680</v>
      </c>
      <c r="Q18" s="393"/>
      <c r="R18" s="394"/>
      <c r="S18" s="389" t="s">
        <v>121</v>
      </c>
      <c r="T18" s="390"/>
      <c r="U18" s="391"/>
      <c r="V18" s="377" t="s">
        <v>681</v>
      </c>
      <c r="W18" s="378"/>
      <c r="X18" s="379"/>
      <c r="AA18" s="3" t="str">
        <f>IF($F$2="","",HLOOKUP($F$2,Técnicos!$A$1:$E$51,AF18+1,FALSE))</f>
        <v>Felipe Vicente Leite</v>
      </c>
      <c r="AB18" s="193"/>
      <c r="AC18" s="193"/>
      <c r="AD18" s="193"/>
      <c r="AE18" s="193"/>
      <c r="AF18" s="4">
        <f t="shared" si="6"/>
        <v>12</v>
      </c>
      <c r="AG18" s="193"/>
      <c r="AH18" s="193" t="s">
        <v>23</v>
      </c>
      <c r="AI18" s="193"/>
      <c r="AJ18" s="193"/>
      <c r="AK18" s="193"/>
      <c r="AL18" s="193"/>
      <c r="AM18" s="193"/>
      <c r="AN18" s="193"/>
      <c r="AO18" s="193"/>
      <c r="AP18" s="193"/>
      <c r="AQ18" s="193"/>
      <c r="AR18" s="193"/>
      <c r="AS18" s="193"/>
      <c r="AT18" s="193"/>
      <c r="AU18" s="193"/>
      <c r="AV18" s="193"/>
      <c r="AW18" s="193"/>
      <c r="AX18" s="193"/>
      <c r="AY18" s="193"/>
      <c r="AZ18" s="193"/>
      <c r="BA18" s="193"/>
      <c r="BB18" s="193" t="str">
        <f>Materiais!A13</f>
        <v>Vidro Desconhecido</v>
      </c>
      <c r="BC18" s="193"/>
      <c r="BD18" s="193"/>
      <c r="BE18" s="193">
        <f t="shared" si="7"/>
        <v>12</v>
      </c>
      <c r="BF18" s="193" t="str">
        <f ca="1">IF(BE18&lt;=BE$6,VLOOKUP(BE18,'Controle dos padrões'!$CT$5:$CV$24,3,FALSE),"-")</f>
        <v>-</v>
      </c>
      <c r="BG18" s="193"/>
      <c r="BH18" s="193"/>
      <c r="BI18" s="193">
        <f t="shared" si="8"/>
        <v>12</v>
      </c>
      <c r="BJ18" s="193" t="str">
        <f ca="1">IF(BI18&lt;=BI$6,VLOOKUP(BI18,'Controle dos padrões'!$CT$28:$CV$47,3,FALSE),"-")</f>
        <v>-</v>
      </c>
      <c r="BK18" s="193"/>
      <c r="BL18" s="193"/>
      <c r="BM18" s="193">
        <f t="shared" si="9"/>
        <v>12</v>
      </c>
      <c r="BN18" s="193" t="str">
        <f ca="1">IF(BM18&lt;=BM$6,VLOOKUP(BM18,'Controle dos padrões'!$CT$51:$CV$70,3,FALSE),"-")</f>
        <v>-</v>
      </c>
      <c r="BO18" s="193"/>
      <c r="BP18" s="193"/>
      <c r="BQ18" s="193"/>
      <c r="BR18" s="193"/>
      <c r="BS18" s="193"/>
      <c r="BT18" s="193"/>
      <c r="BU18" s="193"/>
      <c r="BV18" s="193"/>
      <c r="BW18" s="193"/>
      <c r="BX18" s="193"/>
      <c r="BY18" s="193"/>
      <c r="BZ18" s="193"/>
      <c r="CA18" s="193"/>
      <c r="CB18" s="193"/>
      <c r="CC18" s="193"/>
      <c r="CD18" s="193"/>
      <c r="CE18" s="193"/>
      <c r="CF18" s="193"/>
      <c r="CG18" s="193"/>
      <c r="CH18" s="193"/>
      <c r="CI18" s="193"/>
      <c r="CJ18" s="193"/>
      <c r="CK18" s="193"/>
      <c r="CL18" s="193"/>
      <c r="CM18" s="193"/>
      <c r="CN18" s="193"/>
      <c r="CO18" s="193"/>
      <c r="CP18" s="193"/>
    </row>
    <row r="19" spans="1:94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AA19" s="3" t="str">
        <f>IF($F$2="","",HLOOKUP($F$2,Técnicos!$A$1:$E$51,AF19+1,FALSE))</f>
        <v>Fernando Fardin Soares</v>
      </c>
      <c r="AB19" s="193"/>
      <c r="AC19" s="193"/>
      <c r="AD19" s="193"/>
      <c r="AE19" s="193"/>
      <c r="AF19" s="4">
        <f t="shared" si="6"/>
        <v>13</v>
      </c>
      <c r="AG19" s="193"/>
      <c r="AH19" s="193" t="s">
        <v>24</v>
      </c>
      <c r="AI19" s="193"/>
      <c r="AJ19" s="193"/>
      <c r="AK19" s="193"/>
      <c r="AL19" s="193"/>
      <c r="AM19" s="193"/>
      <c r="AN19" s="193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AY19" s="193"/>
      <c r="AZ19" s="193"/>
      <c r="BA19" s="193"/>
      <c r="BB19" s="193" t="str">
        <f>Materiais!A14</f>
        <v>Plastico Desconhecido</v>
      </c>
      <c r="BC19" s="193"/>
      <c r="BD19" s="193"/>
      <c r="BE19" s="193">
        <f t="shared" si="7"/>
        <v>13</v>
      </c>
      <c r="BF19" s="193" t="str">
        <f ca="1">IF(BE19&lt;=BE$6,VLOOKUP(BE19,'Controle dos padrões'!$CT$5:$CV$24,3,FALSE),"-")</f>
        <v>-</v>
      </c>
      <c r="BG19" s="193"/>
      <c r="BH19" s="193"/>
      <c r="BI19" s="193">
        <f t="shared" si="8"/>
        <v>13</v>
      </c>
      <c r="BJ19" s="193" t="str">
        <f ca="1">IF(BI19&lt;=BI$6,VLOOKUP(BI19,'Controle dos padrões'!$CT$28:$CV$47,3,FALSE),"-")</f>
        <v>-</v>
      </c>
      <c r="BK19" s="193"/>
      <c r="BL19" s="193"/>
      <c r="BM19" s="193">
        <f t="shared" si="9"/>
        <v>13</v>
      </c>
      <c r="BN19" s="193" t="str">
        <f ca="1">IF(BM19&lt;=BM$6,VLOOKUP(BM19,'Controle dos padrões'!$CT$51:$CV$70,3,FALSE),"-")</f>
        <v>-</v>
      </c>
      <c r="BO19" s="193"/>
      <c r="BP19" s="193"/>
      <c r="BQ19" s="193"/>
      <c r="BR19" s="193"/>
      <c r="BS19" s="193"/>
      <c r="BT19" s="193"/>
      <c r="BU19" s="193"/>
      <c r="BV19" s="193"/>
      <c r="BW19" s="193"/>
      <c r="BX19" s="193"/>
      <c r="BY19" s="193"/>
      <c r="BZ19" s="193"/>
      <c r="CA19" s="193"/>
      <c r="CB19" s="193"/>
      <c r="CC19" s="193"/>
      <c r="CD19" s="193"/>
      <c r="CE19" s="193"/>
      <c r="CF19" s="193"/>
      <c r="CG19" s="193"/>
      <c r="CH19" s="193"/>
      <c r="CI19" s="193"/>
      <c r="CJ19" s="193"/>
      <c r="CK19" s="193"/>
      <c r="CL19" s="193"/>
      <c r="CM19" s="193"/>
      <c r="CN19" s="193"/>
      <c r="CO19" s="193"/>
      <c r="CP19" s="193"/>
    </row>
    <row r="20" spans="1:94" x14ac:dyDescent="0.3">
      <c r="B20" s="380" t="s">
        <v>122</v>
      </c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380"/>
      <c r="V20" s="380"/>
      <c r="W20" s="380"/>
      <c r="X20" s="380"/>
      <c r="AA20" s="3" t="str">
        <f>IF($F$2="","",HLOOKUP($F$2,Técnicos!$A$1:$E$51,AF20+1,FALSE))</f>
        <v>Gabriel Job Borges da Silva</v>
      </c>
      <c r="AB20" s="193"/>
      <c r="AC20" s="193"/>
      <c r="AD20" s="193"/>
      <c r="AE20" s="193"/>
      <c r="AF20" s="4">
        <f t="shared" si="6"/>
        <v>14</v>
      </c>
      <c r="AG20" s="193"/>
      <c r="AH20" s="193" t="s">
        <v>25</v>
      </c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3"/>
      <c r="BA20" s="193"/>
      <c r="BB20" s="193" t="str">
        <f>Materiais!A15</f>
        <v>Metal Desconhecido</v>
      </c>
      <c r="BC20" s="193"/>
      <c r="BD20" s="193"/>
      <c r="BE20" s="193">
        <f t="shared" si="7"/>
        <v>14</v>
      </c>
      <c r="BF20" s="193" t="str">
        <f ca="1">IF(BE20&lt;=BE$6,VLOOKUP(BE20,'Controle dos padrões'!$CT$5:$CV$24,3,FALSE),"-")</f>
        <v>-</v>
      </c>
      <c r="BG20" s="193"/>
      <c r="BH20" s="193"/>
      <c r="BI20" s="193">
        <f t="shared" si="8"/>
        <v>14</v>
      </c>
      <c r="BJ20" s="193" t="str">
        <f ca="1">IF(BI20&lt;=BI$6,VLOOKUP(BI20,'Controle dos padrões'!$CT$28:$CV$47,3,FALSE),"-")</f>
        <v>-</v>
      </c>
      <c r="BK20" s="193"/>
      <c r="BL20" s="193"/>
      <c r="BM20" s="193">
        <f t="shared" si="9"/>
        <v>14</v>
      </c>
      <c r="BN20" s="193" t="str">
        <f ca="1">IF(BM20&lt;=BM$6,VLOOKUP(BM20,'Controle dos padrões'!$CT$51:$CV$70,3,FALSE),"-")</f>
        <v>-</v>
      </c>
      <c r="BO20" s="193"/>
      <c r="BP20" s="193"/>
      <c r="BQ20" s="193"/>
      <c r="BR20" s="193"/>
      <c r="BS20" s="193"/>
      <c r="BT20" s="193"/>
      <c r="BU20" s="193"/>
      <c r="BV20" s="193"/>
      <c r="BW20" s="193"/>
      <c r="BX20" s="193"/>
      <c r="BY20" s="193"/>
      <c r="BZ20" s="193"/>
      <c r="CA20" s="193"/>
      <c r="CB20" s="193"/>
      <c r="CC20" s="193"/>
      <c r="CD20" s="193"/>
      <c r="CE20" s="193"/>
      <c r="CF20" s="193"/>
      <c r="CG20" s="193"/>
      <c r="CH20" s="193"/>
      <c r="CI20" s="193"/>
      <c r="CJ20" s="193"/>
      <c r="CK20" s="193"/>
      <c r="CL20" s="193"/>
      <c r="CM20" s="193"/>
      <c r="CN20" s="193"/>
      <c r="CO20" s="193"/>
      <c r="CP20" s="193"/>
    </row>
    <row r="21" spans="1:94" x14ac:dyDescent="0.3">
      <c r="B21" s="31" t="s">
        <v>123</v>
      </c>
      <c r="C21" s="2"/>
      <c r="D21" s="2"/>
      <c r="E21" s="2"/>
      <c r="F21" s="381" t="s">
        <v>682</v>
      </c>
      <c r="G21" s="382"/>
      <c r="H21" s="196">
        <f ca="1">IF(F21="","",VLOOKUP(F21,'Controle dos padrões'!$CV$5:$CW$24,2,FALSE))</f>
        <v>56</v>
      </c>
      <c r="I21" s="2"/>
      <c r="J21" s="2" t="s">
        <v>124</v>
      </c>
      <c r="K21" s="2"/>
      <c r="L21" s="2"/>
      <c r="M21" s="2"/>
      <c r="N21" s="383" t="s">
        <v>683</v>
      </c>
      <c r="O21" s="384"/>
      <c r="P21" s="196">
        <f ca="1">IF(N21="","",VLOOKUP(N21,'Controle dos padrões'!$CV$28:$CW$47,2,FALSE))</f>
        <v>52</v>
      </c>
      <c r="Q21" s="2"/>
      <c r="R21" s="2" t="s">
        <v>125</v>
      </c>
      <c r="S21" s="2"/>
      <c r="T21" s="2"/>
      <c r="U21" s="2"/>
      <c r="V21" s="383" t="s">
        <v>683</v>
      </c>
      <c r="W21" s="384"/>
      <c r="X21" s="197">
        <f ca="1">IF(V21="","",VLOOKUP(V21,'Controle dos padrões'!$CV$51:$CW$70,2,FALSE))</f>
        <v>9</v>
      </c>
      <c r="AA21" s="3" t="str">
        <f>IF($F$2="","",HLOOKUP($F$2,Técnicos!$A$1:$E$51,AF21+1,FALSE))</f>
        <v>Gabriel Moura Ribeiro</v>
      </c>
      <c r="AB21" s="193"/>
      <c r="AC21" s="193"/>
      <c r="AD21" s="193"/>
      <c r="AE21" s="193"/>
      <c r="AF21" s="4">
        <f t="shared" si="6"/>
        <v>15</v>
      </c>
      <c r="AG21" s="193"/>
      <c r="AH21" s="193" t="s">
        <v>26</v>
      </c>
      <c r="AI21" s="193"/>
      <c r="AJ21" s="193"/>
      <c r="AK21" s="193"/>
      <c r="AL21" s="193"/>
      <c r="AM21" s="193"/>
      <c r="AN21" s="193"/>
      <c r="AO21" s="193"/>
      <c r="AP21" s="193"/>
      <c r="AQ21" s="193"/>
      <c r="AR21" s="193"/>
      <c r="AS21" s="193"/>
      <c r="AT21" s="193"/>
      <c r="AU21" s="193"/>
      <c r="AV21" s="193"/>
      <c r="AW21" s="193"/>
      <c r="AX21" s="193"/>
      <c r="AY21" s="193"/>
      <c r="AZ21" s="193"/>
      <c r="BA21" s="193"/>
      <c r="BB21" s="193"/>
      <c r="BC21" s="193"/>
      <c r="BD21" s="193"/>
      <c r="BE21" s="193">
        <f t="shared" si="7"/>
        <v>15</v>
      </c>
      <c r="BF21" s="193" t="str">
        <f ca="1">IF(BE21&lt;=BE$6,VLOOKUP(BE21,'Controle dos padrões'!$CT$5:$CV$24,3,FALSE),"-")</f>
        <v>-</v>
      </c>
      <c r="BG21" s="193"/>
      <c r="BH21" s="193"/>
      <c r="BI21" s="193">
        <f t="shared" si="8"/>
        <v>15</v>
      </c>
      <c r="BJ21" s="193" t="str">
        <f ca="1">IF(BI21&lt;=BI$6,VLOOKUP(BI21,'Controle dos padrões'!$CT$28:$CV$47,3,FALSE),"-")</f>
        <v>-</v>
      </c>
      <c r="BK21" s="193"/>
      <c r="BL21" s="193"/>
      <c r="BM21" s="193">
        <f t="shared" si="9"/>
        <v>15</v>
      </c>
      <c r="BN21" s="193" t="str">
        <f ca="1">IF(BM21&lt;=BM$6,VLOOKUP(BM21,'Controle dos padrões'!$CT$51:$CV$70,3,FALSE),"-")</f>
        <v>-</v>
      </c>
      <c r="BO21" s="193"/>
      <c r="BP21" s="193"/>
      <c r="BQ21" s="193"/>
      <c r="BR21" s="193"/>
      <c r="BS21" s="193"/>
      <c r="BT21" s="193"/>
      <c r="BU21" s="193"/>
      <c r="BV21" s="193"/>
      <c r="BW21" s="193"/>
      <c r="BX21" s="193"/>
      <c r="BY21" s="193"/>
      <c r="BZ21" s="193"/>
      <c r="CA21" s="193"/>
      <c r="CB21" s="193"/>
      <c r="CC21" s="193"/>
      <c r="CD21" s="193"/>
      <c r="CE21" s="193"/>
      <c r="CF21" s="193"/>
      <c r="CG21" s="193"/>
      <c r="CH21" s="193"/>
      <c r="CI21" s="193"/>
      <c r="CJ21" s="193"/>
      <c r="CK21" s="193"/>
      <c r="CL21" s="193"/>
      <c r="CM21" s="193"/>
      <c r="CN21" s="193"/>
      <c r="CO21" s="193"/>
      <c r="CP21" s="193"/>
    </row>
    <row r="22" spans="1:94" x14ac:dyDescent="0.3">
      <c r="B22" s="32" t="s">
        <v>259</v>
      </c>
      <c r="C22" s="5"/>
      <c r="D22" s="5"/>
      <c r="E22" s="5"/>
      <c r="F22" s="362">
        <v>19.670000000000002</v>
      </c>
      <c r="G22" s="363"/>
      <c r="H22" s="5" t="s">
        <v>126</v>
      </c>
      <c r="I22" s="5"/>
      <c r="J22" s="5" t="s">
        <v>261</v>
      </c>
      <c r="K22" s="5"/>
      <c r="L22" s="5"/>
      <c r="M22" s="5"/>
      <c r="N22" s="364">
        <v>57.13</v>
      </c>
      <c r="O22" s="364"/>
      <c r="P22" s="5" t="s">
        <v>497</v>
      </c>
      <c r="Q22" s="2"/>
      <c r="R22" s="5" t="s">
        <v>263</v>
      </c>
      <c r="S22" s="5"/>
      <c r="T22" s="5"/>
      <c r="U22" s="5"/>
      <c r="V22" s="364">
        <v>927.81</v>
      </c>
      <c r="W22" s="364"/>
      <c r="X22" s="33" t="s">
        <v>128</v>
      </c>
      <c r="AA22" s="3" t="str">
        <f>IF($F$2="","",HLOOKUP($F$2,Técnicos!$A$1:$E$51,AF22+1,FALSE))</f>
        <v>Geovani Silva Pereira Borges</v>
      </c>
      <c r="AB22" s="193"/>
      <c r="AC22" s="193"/>
      <c r="AD22" s="193"/>
      <c r="AE22" s="193"/>
      <c r="AF22" s="4">
        <f t="shared" si="6"/>
        <v>16</v>
      </c>
      <c r="AG22" s="193"/>
      <c r="AH22" s="193" t="s">
        <v>27</v>
      </c>
      <c r="AI22" s="193"/>
      <c r="AJ22" s="193"/>
      <c r="AK22" s="193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AY22" s="193"/>
      <c r="AZ22" s="193"/>
      <c r="BA22" s="193"/>
      <c r="BB22" s="193"/>
      <c r="BC22" s="193"/>
      <c r="BD22" s="193"/>
      <c r="BE22" s="193">
        <f t="shared" si="7"/>
        <v>16</v>
      </c>
      <c r="BF22" s="193" t="str">
        <f ca="1">IF(BE22&lt;=BE$6,VLOOKUP(BE22,'Controle dos padrões'!$CT$5:$CV$24,3,FALSE),"-")</f>
        <v>-</v>
      </c>
      <c r="BG22" s="193"/>
      <c r="BH22" s="193"/>
      <c r="BI22" s="193">
        <f t="shared" si="8"/>
        <v>16</v>
      </c>
      <c r="BJ22" s="193" t="str">
        <f ca="1">IF(BI22&lt;=BI$6,VLOOKUP(BI22,'Controle dos padrões'!$CT$28:$CV$47,3,FALSE),"-")</f>
        <v>-</v>
      </c>
      <c r="BK22" s="193"/>
      <c r="BL22" s="193"/>
      <c r="BM22" s="193">
        <f t="shared" si="9"/>
        <v>16</v>
      </c>
      <c r="BN22" s="193" t="str">
        <f ca="1">IF(BM22&lt;=BM$6,VLOOKUP(BM22,'Controle dos padrões'!$CT$51:$CV$70,3,FALSE),"-")</f>
        <v>-</v>
      </c>
      <c r="BO22" s="193"/>
      <c r="BP22" s="193"/>
      <c r="BQ22" s="193"/>
      <c r="BR22" s="193"/>
      <c r="BS22" s="193"/>
      <c r="BT22" s="193"/>
      <c r="BU22" s="193"/>
      <c r="BV22" s="193"/>
      <c r="BW22" s="193"/>
      <c r="BX22" s="193"/>
      <c r="BY22" s="193"/>
      <c r="BZ22" s="193"/>
      <c r="CA22" s="193"/>
      <c r="CB22" s="193"/>
      <c r="CC22" s="193"/>
      <c r="CD22" s="193"/>
      <c r="CE22" s="193"/>
      <c r="CF22" s="193"/>
      <c r="CG22" s="193"/>
      <c r="CH22" s="193"/>
      <c r="CI22" s="193"/>
      <c r="CJ22" s="193"/>
      <c r="CK22" s="193"/>
      <c r="CL22" s="193"/>
      <c r="CM22" s="193"/>
      <c r="CN22" s="193"/>
      <c r="CO22" s="193"/>
      <c r="CP22" s="193"/>
    </row>
    <row r="23" spans="1:94" x14ac:dyDescent="0.3">
      <c r="B23" s="34" t="s">
        <v>260</v>
      </c>
      <c r="C23" s="35"/>
      <c r="D23" s="35"/>
      <c r="E23" s="35"/>
      <c r="F23" s="362">
        <v>19.670000000000002</v>
      </c>
      <c r="G23" s="363"/>
      <c r="H23" s="35" t="s">
        <v>126</v>
      </c>
      <c r="I23" s="35"/>
      <c r="J23" s="35" t="s">
        <v>262</v>
      </c>
      <c r="K23" s="35"/>
      <c r="L23" s="35"/>
      <c r="M23" s="35"/>
      <c r="N23" s="364">
        <v>57.13</v>
      </c>
      <c r="O23" s="364"/>
      <c r="P23" s="35" t="s">
        <v>497</v>
      </c>
      <c r="Q23" s="35"/>
      <c r="R23" s="35" t="s">
        <v>264</v>
      </c>
      <c r="S23" s="35"/>
      <c r="T23" s="35"/>
      <c r="U23" s="35"/>
      <c r="V23" s="364">
        <v>927.81</v>
      </c>
      <c r="W23" s="364"/>
      <c r="X23" s="36" t="s">
        <v>128</v>
      </c>
      <c r="AA23" s="3" t="str">
        <f>IF($F$2="","",HLOOKUP($F$2,Técnicos!$A$1:$E$51,AF23+1,FALSE))</f>
        <v xml:space="preserve">Guilherme Tullio Sellini </v>
      </c>
      <c r="AB23" s="193"/>
      <c r="AC23" s="193"/>
      <c r="AD23" s="193"/>
      <c r="AE23" s="193"/>
      <c r="AF23" s="4">
        <f t="shared" si="6"/>
        <v>17</v>
      </c>
      <c r="AG23" s="193"/>
      <c r="AH23" s="193" t="s">
        <v>28</v>
      </c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3"/>
      <c r="BA23" s="193"/>
      <c r="BB23" s="193"/>
      <c r="BC23" s="193"/>
      <c r="BD23" s="193"/>
      <c r="BE23" s="193">
        <f t="shared" si="7"/>
        <v>17</v>
      </c>
      <c r="BF23" s="193" t="str">
        <f ca="1">IF(BE23&lt;=BE$6,VLOOKUP(BE23,'Controle dos padrões'!$CT$5:$CV$24,3,FALSE),"-")</f>
        <v>-</v>
      </c>
      <c r="BG23" s="193"/>
      <c r="BH23" s="193"/>
      <c r="BI23" s="193">
        <f t="shared" si="8"/>
        <v>17</v>
      </c>
      <c r="BJ23" s="193" t="str">
        <f ca="1">IF(BI23&lt;=BI$6,VLOOKUP(BI23,'Controle dos padrões'!$CT$28:$CV$47,3,FALSE),"-")</f>
        <v>-</v>
      </c>
      <c r="BK23" s="193"/>
      <c r="BL23" s="193"/>
      <c r="BM23" s="193">
        <f t="shared" si="9"/>
        <v>17</v>
      </c>
      <c r="BN23" s="193" t="str">
        <f ca="1">IF(BM23&lt;=BM$6,VLOOKUP(BM23,'Controle dos padrões'!$CT$51:$CV$70,3,FALSE),"-")</f>
        <v>-</v>
      </c>
      <c r="BO23" s="193"/>
      <c r="BP23" s="193"/>
      <c r="BQ23" s="193"/>
      <c r="BR23" s="193"/>
      <c r="BS23" s="193"/>
      <c r="BT23" s="193"/>
      <c r="BU23" s="193"/>
      <c r="BV23" s="193"/>
      <c r="BW23" s="193"/>
      <c r="BX23" s="193"/>
      <c r="BY23" s="193"/>
      <c r="BZ23" s="193"/>
      <c r="CA23" s="193"/>
      <c r="CB23" s="193"/>
      <c r="CC23" s="193"/>
      <c r="CD23" s="193"/>
      <c r="CE23" s="193"/>
      <c r="CF23" s="193"/>
      <c r="CG23" s="193"/>
      <c r="CH23" s="193"/>
      <c r="CI23" s="193"/>
      <c r="CJ23" s="193"/>
      <c r="CK23" s="193"/>
      <c r="CL23" s="193"/>
      <c r="CM23" s="193"/>
      <c r="CN23" s="193"/>
      <c r="CO23" s="193"/>
      <c r="CP23" s="193"/>
    </row>
    <row r="24" spans="1:94" x14ac:dyDescent="0.3">
      <c r="A24" s="2"/>
      <c r="B24" s="5"/>
      <c r="C24" s="5"/>
      <c r="D24" s="5"/>
      <c r="E24" s="5"/>
      <c r="F24" s="37">
        <v>0</v>
      </c>
      <c r="G24" s="38">
        <v>0</v>
      </c>
      <c r="H24" s="38"/>
      <c r="I24" s="38"/>
      <c r="J24" s="38"/>
      <c r="K24" s="38"/>
      <c r="L24" s="38"/>
      <c r="M24" s="38"/>
      <c r="N24" s="38">
        <v>0</v>
      </c>
      <c r="O24" s="38"/>
      <c r="P24" s="5"/>
      <c r="Q24" s="5"/>
      <c r="R24" s="5"/>
      <c r="S24" s="5"/>
      <c r="T24" s="5"/>
      <c r="U24" s="5"/>
      <c r="V24" s="5"/>
      <c r="W24" s="5"/>
      <c r="X24" s="5"/>
      <c r="AA24" s="3" t="str">
        <f>IF($F$2="","",HLOOKUP($F$2,Técnicos!$A$1:$E$51,AF24+1,FALSE))</f>
        <v>Gustavo Nonato Sanfelici</v>
      </c>
      <c r="AB24" s="193"/>
      <c r="AC24" s="193"/>
      <c r="AD24" s="193"/>
      <c r="AE24" s="193"/>
      <c r="AF24" s="4">
        <f t="shared" si="6"/>
        <v>18</v>
      </c>
      <c r="AG24" s="193"/>
      <c r="AH24" s="193" t="s">
        <v>29</v>
      </c>
      <c r="AI24" s="193"/>
      <c r="AJ24" s="193"/>
      <c r="AK24" s="193"/>
      <c r="AL24" s="193"/>
      <c r="AM24" s="193"/>
      <c r="AN24" s="193"/>
      <c r="AO24" s="193"/>
      <c r="AP24" s="193"/>
      <c r="AQ24" s="193"/>
      <c r="AR24" s="193"/>
      <c r="AS24" s="193"/>
      <c r="AT24" s="193"/>
      <c r="AU24" s="193"/>
      <c r="AV24" s="193"/>
      <c r="AW24" s="193"/>
      <c r="AX24" s="193"/>
      <c r="AY24" s="193"/>
      <c r="AZ24" s="193"/>
      <c r="BA24" s="193"/>
      <c r="BB24" s="193"/>
      <c r="BC24" s="193"/>
      <c r="BD24" s="193"/>
      <c r="BE24" s="193">
        <f t="shared" si="7"/>
        <v>18</v>
      </c>
      <c r="BF24" s="193" t="str">
        <f ca="1">IF(BE24&lt;=BE$6,VLOOKUP(BE24,'Controle dos padrões'!$CT$5:$CV$24,3,FALSE),"-")</f>
        <v>-</v>
      </c>
      <c r="BG24" s="193"/>
      <c r="BH24" s="193"/>
      <c r="BI24" s="193">
        <f t="shared" si="8"/>
        <v>18</v>
      </c>
      <c r="BJ24" s="193" t="str">
        <f ca="1">IF(BI24&lt;=BI$6,VLOOKUP(BI24,'Controle dos padrões'!$CT$28:$CV$47,3,FALSE),"-")</f>
        <v>-</v>
      </c>
      <c r="BK24" s="193"/>
      <c r="BL24" s="193"/>
      <c r="BM24" s="193">
        <f t="shared" si="9"/>
        <v>18</v>
      </c>
      <c r="BN24" s="193" t="str">
        <f ca="1">IF(BM24&lt;=BM$6,VLOOKUP(BM24,'Controle dos padrões'!$CT$51:$CV$70,3,FALSE),"-")</f>
        <v>-</v>
      </c>
      <c r="BO24" s="193"/>
      <c r="BP24" s="193"/>
      <c r="BQ24" s="193"/>
      <c r="BR24" s="193"/>
      <c r="BS24" s="193"/>
      <c r="BT24" s="193"/>
      <c r="BU24" s="193"/>
      <c r="BV24" s="193"/>
      <c r="BW24" s="193"/>
      <c r="BX24" s="193"/>
      <c r="BY24" s="193"/>
      <c r="BZ24" s="193"/>
      <c r="CA24" s="193"/>
      <c r="CB24" s="193"/>
      <c r="CC24" s="193"/>
      <c r="CD24" s="193"/>
      <c r="CE24" s="193"/>
      <c r="CF24" s="193"/>
      <c r="CG24" s="193"/>
      <c r="CH24" s="193"/>
      <c r="CI24" s="193"/>
      <c r="CJ24" s="193"/>
      <c r="CK24" s="193"/>
      <c r="CL24" s="193"/>
      <c r="CM24" s="193"/>
      <c r="CN24" s="193"/>
      <c r="CO24" s="193"/>
      <c r="CP24" s="193"/>
    </row>
    <row r="25" spans="1:94" x14ac:dyDescent="0.3">
      <c r="A25" s="2"/>
      <c r="B25" s="5" t="s">
        <v>138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AA25" s="3" t="str">
        <f>IF($F$2="","",HLOOKUP($F$2,Técnicos!$A$1:$E$51,AF25+1,FALSE))</f>
        <v>Gustavo Vinicius Neres Carneiro</v>
      </c>
      <c r="AB25" s="193"/>
      <c r="AC25" s="193"/>
      <c r="AD25" s="193"/>
      <c r="AE25" s="193"/>
      <c r="AF25" s="4">
        <f t="shared" si="6"/>
        <v>19</v>
      </c>
      <c r="AG25" s="193"/>
      <c r="AH25" s="193" t="s">
        <v>30</v>
      </c>
      <c r="AI25" s="193"/>
      <c r="AJ25" s="193"/>
      <c r="AK25" s="193"/>
      <c r="AL25" s="193"/>
      <c r="AM25" s="193"/>
      <c r="AN25" s="193"/>
      <c r="AO25" s="193"/>
      <c r="AP25" s="193"/>
      <c r="AQ25" s="193"/>
      <c r="AR25" s="193"/>
      <c r="AS25" s="193"/>
      <c r="AT25" s="193"/>
      <c r="AU25" s="193"/>
      <c r="AV25" s="193"/>
      <c r="AW25" s="193"/>
      <c r="AX25" s="193"/>
      <c r="AY25" s="193"/>
      <c r="AZ25" s="193"/>
      <c r="BA25" s="193"/>
      <c r="BB25" s="193"/>
      <c r="BC25" s="193"/>
      <c r="BD25" s="193"/>
      <c r="BE25" s="193">
        <f t="shared" si="7"/>
        <v>19</v>
      </c>
      <c r="BF25" s="193" t="str">
        <f ca="1">IF(BE25&lt;=BE$6,VLOOKUP(BE25,'Controle dos padrões'!$CT$5:$CV$24,3,FALSE),"-")</f>
        <v>-</v>
      </c>
      <c r="BG25" s="193"/>
      <c r="BH25" s="193"/>
      <c r="BI25" s="193">
        <f t="shared" si="8"/>
        <v>19</v>
      </c>
      <c r="BJ25" s="193" t="str">
        <f ca="1">IF(BI25&lt;=BI$6,VLOOKUP(BI25,'Controle dos padrões'!$CT$28:$CV$47,3,FALSE),"-")</f>
        <v>-</v>
      </c>
      <c r="BK25" s="193"/>
      <c r="BL25" s="193"/>
      <c r="BM25" s="193">
        <f t="shared" si="9"/>
        <v>19</v>
      </c>
      <c r="BN25" s="193" t="str">
        <f ca="1">IF(BM25&lt;=BM$6,VLOOKUP(BM25,'Controle dos padrões'!$CT$51:$CV$70,3,FALSE),"-")</f>
        <v>-</v>
      </c>
      <c r="BO25" s="193"/>
      <c r="BP25" s="193"/>
      <c r="BQ25" s="193"/>
      <c r="BR25" s="193"/>
      <c r="BS25" s="193"/>
      <c r="BT25" s="193"/>
      <c r="BU25" s="193"/>
      <c r="BV25" s="193"/>
      <c r="BW25" s="193"/>
      <c r="BX25" s="193"/>
      <c r="BY25" s="193"/>
      <c r="BZ25" s="193"/>
      <c r="CA25" s="193"/>
      <c r="CB25" s="193"/>
      <c r="CC25" s="193"/>
      <c r="CD25" s="193"/>
      <c r="CE25" s="193"/>
      <c r="CF25" s="193"/>
      <c r="CG25" s="193"/>
      <c r="CH25" s="193"/>
      <c r="CI25" s="193"/>
      <c r="CJ25" s="193"/>
      <c r="CK25" s="193"/>
      <c r="CL25" s="193"/>
      <c r="CM25" s="193"/>
      <c r="CN25" s="193"/>
      <c r="CO25" s="193"/>
      <c r="CP25" s="193"/>
    </row>
    <row r="26" spans="1:94" x14ac:dyDescent="0.3">
      <c r="A26" s="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AA26" s="3" t="str">
        <f>IF($F$2="","",HLOOKUP($F$2,Técnicos!$A$1:$E$51,AF26+1,FALSE))</f>
        <v>Ivao Joab de Souza Tochizawa</v>
      </c>
      <c r="AB26" s="193"/>
      <c r="AC26" s="193"/>
      <c r="AD26" s="193"/>
      <c r="AE26" s="193"/>
      <c r="AF26" s="4">
        <f t="shared" si="6"/>
        <v>20</v>
      </c>
      <c r="AG26" s="193"/>
      <c r="AH26" s="193" t="s">
        <v>31</v>
      </c>
      <c r="AI26" s="193"/>
      <c r="AJ26" s="193"/>
      <c r="AK26" s="193"/>
      <c r="AL26" s="193"/>
      <c r="AM26" s="193"/>
      <c r="AN26" s="193"/>
      <c r="AO26" s="193"/>
      <c r="AP26" s="193"/>
      <c r="AQ26" s="193"/>
      <c r="AR26" s="193"/>
      <c r="AS26" s="193"/>
      <c r="AT26" s="193"/>
      <c r="AU26" s="193"/>
      <c r="AV26" s="193"/>
      <c r="AW26" s="193"/>
      <c r="AX26" s="193"/>
      <c r="AY26" s="193"/>
      <c r="AZ26" s="193"/>
      <c r="BA26" s="193"/>
      <c r="BB26" s="193"/>
      <c r="BC26" s="193"/>
      <c r="BD26" s="193"/>
      <c r="BE26" s="193">
        <f t="shared" si="7"/>
        <v>20</v>
      </c>
      <c r="BF26" s="193" t="str">
        <f ca="1">IF(BE26&lt;=BE$6,VLOOKUP(BE26,'Controle dos padrões'!$CT$5:$CV$24,3,FALSE),"-")</f>
        <v>-</v>
      </c>
      <c r="BG26" s="193"/>
      <c r="BH26" s="193"/>
      <c r="BI26" s="193">
        <f t="shared" si="8"/>
        <v>20</v>
      </c>
      <c r="BJ26" s="193" t="str">
        <f ca="1">IF(BI26&lt;=BI$6,VLOOKUP(BI26,'Controle dos padrões'!$CT$28:$CV$47,3,FALSE),"-")</f>
        <v>-</v>
      </c>
      <c r="BK26" s="193"/>
      <c r="BL26" s="193"/>
      <c r="BM26" s="193">
        <f t="shared" si="9"/>
        <v>20</v>
      </c>
      <c r="BN26" s="193" t="str">
        <f ca="1">IF(BM26&lt;=BM$6,VLOOKUP(BM26,'Controle dos padrões'!$CT$51:$CV$70,3,FALSE),"-")</f>
        <v>-</v>
      </c>
      <c r="BO26" s="193"/>
      <c r="BP26" s="193"/>
      <c r="BQ26" s="193"/>
      <c r="BR26" s="193"/>
      <c r="BS26" s="193"/>
      <c r="BT26" s="193"/>
      <c r="BU26" s="193"/>
      <c r="BV26" s="193"/>
      <c r="BW26" s="193"/>
      <c r="BX26" s="193"/>
      <c r="BY26" s="193"/>
      <c r="BZ26" s="193"/>
      <c r="CA26" s="193"/>
      <c r="CB26" s="193"/>
      <c r="CC26" s="193"/>
      <c r="CD26" s="193"/>
      <c r="CE26" s="193"/>
      <c r="CF26" s="193"/>
      <c r="CG26" s="193"/>
      <c r="CH26" s="193"/>
      <c r="CI26" s="193"/>
      <c r="CJ26" s="193"/>
      <c r="CK26" s="193"/>
      <c r="CL26" s="193"/>
      <c r="CM26" s="193"/>
      <c r="CN26" s="193"/>
      <c r="CO26" s="193"/>
      <c r="CP26" s="193"/>
    </row>
    <row r="27" spans="1:94" x14ac:dyDescent="0.3">
      <c r="A27" s="2"/>
      <c r="B27" s="368"/>
      <c r="C27" s="369"/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69"/>
      <c r="R27" s="369"/>
      <c r="S27" s="369"/>
      <c r="T27" s="369"/>
      <c r="U27" s="369"/>
      <c r="V27" s="369"/>
      <c r="W27" s="369"/>
      <c r="X27" s="370"/>
      <c r="AA27" s="3" t="str">
        <f>IF($F$2="","",HLOOKUP($F$2,Técnicos!$A$1:$E$51,AF27+1,FALSE))</f>
        <v>João Lucas Meris Flausino</v>
      </c>
      <c r="AB27" s="193"/>
      <c r="AC27" s="193"/>
      <c r="AD27" s="193"/>
      <c r="AE27" s="193"/>
      <c r="AF27" s="4">
        <f t="shared" si="6"/>
        <v>21</v>
      </c>
      <c r="AG27" s="193"/>
      <c r="AH27" s="193" t="s">
        <v>32</v>
      </c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  <c r="AU27" s="193"/>
      <c r="AV27" s="193"/>
      <c r="AW27" s="193"/>
      <c r="AX27" s="193"/>
      <c r="AY27" s="193"/>
      <c r="AZ27" s="193"/>
      <c r="BA27" s="193"/>
      <c r="BB27" s="193"/>
      <c r="BC27" s="193"/>
      <c r="BD27" s="193"/>
      <c r="BE27" s="193"/>
      <c r="BF27" s="193"/>
      <c r="BG27" s="193"/>
      <c r="BH27" s="193"/>
      <c r="BI27" s="193"/>
      <c r="BJ27" s="193"/>
      <c r="BK27" s="193"/>
      <c r="BL27" s="193"/>
      <c r="BM27" s="193"/>
      <c r="BN27" s="193"/>
      <c r="BO27" s="193"/>
      <c r="BP27" s="193"/>
      <c r="BQ27" s="193"/>
      <c r="BR27" s="193"/>
      <c r="BS27" s="193"/>
      <c r="BT27" s="193"/>
      <c r="BU27" s="193"/>
      <c r="BV27" s="193"/>
      <c r="BW27" s="193"/>
      <c r="BX27" s="193"/>
      <c r="BY27" s="193"/>
      <c r="BZ27" s="193"/>
      <c r="CA27" s="193"/>
      <c r="CB27" s="193"/>
      <c r="CC27" s="193"/>
      <c r="CD27" s="193"/>
      <c r="CE27" s="193"/>
      <c r="CF27" s="193"/>
      <c r="CG27" s="193"/>
      <c r="CH27" s="193"/>
      <c r="CI27" s="193"/>
      <c r="CJ27" s="193"/>
      <c r="CK27" s="193"/>
      <c r="CL27" s="193"/>
      <c r="CM27" s="193"/>
      <c r="CN27" s="193"/>
      <c r="CO27" s="193"/>
      <c r="CP27" s="193"/>
    </row>
    <row r="28" spans="1:94" x14ac:dyDescent="0.3">
      <c r="A28" s="2"/>
      <c r="B28" s="371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  <c r="U28" s="372"/>
      <c r="V28" s="372"/>
      <c r="W28" s="372"/>
      <c r="X28" s="373"/>
      <c r="AA28" s="3" t="str">
        <f>IF($F$2="","",HLOOKUP($F$2,Técnicos!$A$1:$E$51,AF28+1,FALSE))</f>
        <v xml:space="preserve">Joelson José Batista de Faria </v>
      </c>
      <c r="AB28" s="193"/>
      <c r="AC28" s="193"/>
      <c r="AD28" s="193"/>
      <c r="AE28" s="193"/>
      <c r="AF28" s="4">
        <f t="shared" si="6"/>
        <v>22</v>
      </c>
      <c r="AG28" s="193"/>
      <c r="AH28" s="193" t="s">
        <v>33</v>
      </c>
      <c r="AI28" s="193"/>
      <c r="AJ28" s="193"/>
      <c r="AK28" s="193"/>
      <c r="AL28" s="193"/>
      <c r="AM28" s="193"/>
      <c r="AN28" s="193"/>
      <c r="AO28" s="193"/>
      <c r="AP28" s="193"/>
      <c r="AQ28" s="193"/>
      <c r="AR28" s="193"/>
      <c r="AS28" s="193"/>
      <c r="AT28" s="193"/>
      <c r="AU28" s="193"/>
      <c r="AV28" s="193"/>
      <c r="AW28" s="193"/>
      <c r="AX28" s="193"/>
      <c r="AY28" s="193"/>
      <c r="AZ28" s="193"/>
      <c r="BA28" s="193"/>
      <c r="BB28" s="193"/>
      <c r="BC28" s="193"/>
      <c r="BD28" s="193"/>
      <c r="BE28" s="193"/>
      <c r="BF28" s="193"/>
      <c r="BG28" s="193"/>
      <c r="BH28" s="193"/>
      <c r="BI28" s="193"/>
      <c r="BJ28" s="193"/>
      <c r="BK28" s="193"/>
      <c r="BL28" s="193"/>
      <c r="BM28" s="193"/>
      <c r="BN28" s="193"/>
      <c r="BO28" s="193"/>
      <c r="BP28" s="193"/>
      <c r="BQ28" s="193"/>
      <c r="BR28" s="193"/>
      <c r="BS28" s="193"/>
      <c r="BT28" s="193"/>
      <c r="BU28" s="193"/>
      <c r="BV28" s="193"/>
      <c r="BW28" s="193"/>
      <c r="BX28" s="193"/>
      <c r="BY28" s="193"/>
      <c r="BZ28" s="193"/>
      <c r="CA28" s="193"/>
      <c r="CB28" s="193"/>
      <c r="CC28" s="193"/>
      <c r="CD28" s="193"/>
      <c r="CE28" s="193"/>
      <c r="CF28" s="193"/>
      <c r="CG28" s="193"/>
      <c r="CH28" s="193"/>
      <c r="CI28" s="193"/>
      <c r="CJ28" s="193"/>
      <c r="CK28" s="193"/>
      <c r="CL28" s="193"/>
      <c r="CM28" s="193"/>
      <c r="CN28" s="193"/>
      <c r="CO28" s="193"/>
      <c r="CP28" s="193"/>
    </row>
    <row r="29" spans="1:94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AA29" s="3" t="str">
        <f>IF($F$2="","",HLOOKUP($F$2,Técnicos!$A$1:$E$51,AF29+1,FALSE))</f>
        <v>Joyce Carvalho Moreira</v>
      </c>
      <c r="AB29" s="193"/>
      <c r="AC29" s="193"/>
      <c r="AD29" s="193"/>
      <c r="AE29" s="193"/>
      <c r="AF29" s="4">
        <f t="shared" si="6"/>
        <v>23</v>
      </c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AY29" s="193"/>
      <c r="AZ29" s="193"/>
      <c r="BA29" s="193"/>
      <c r="BB29" s="193"/>
      <c r="BC29" s="193"/>
      <c r="BD29" s="193"/>
      <c r="BE29" s="193"/>
      <c r="BF29" s="193"/>
      <c r="BG29" s="193"/>
      <c r="BH29" s="193"/>
      <c r="BI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  <c r="BV29" s="193"/>
      <c r="BW29" s="193"/>
      <c r="BX29" s="193"/>
      <c r="BY29" s="193"/>
      <c r="BZ29" s="193"/>
      <c r="CA29" s="193"/>
      <c r="CB29" s="193"/>
      <c r="CC29" s="193"/>
      <c r="CD29" s="193"/>
      <c r="CE29" s="193"/>
      <c r="CF29" s="193"/>
      <c r="CG29" s="193"/>
      <c r="CH29" s="193"/>
      <c r="CI29" s="193"/>
      <c r="CJ29" s="193"/>
      <c r="CK29" s="193"/>
      <c r="CL29" s="193"/>
      <c r="CM29" s="193"/>
      <c r="CN29" s="193"/>
      <c r="CO29" s="193"/>
      <c r="CP29" s="193"/>
    </row>
    <row r="30" spans="1:94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AA30" s="3" t="str">
        <f>IF($F$2="","",HLOOKUP($F$2,Técnicos!$A$1:$E$51,AF30+1,FALSE))</f>
        <v>Julio Cesar Pereira de Souza</v>
      </c>
      <c r="AB30" s="193"/>
      <c r="AC30" s="193"/>
      <c r="AD30" s="193"/>
      <c r="AE30" s="193"/>
      <c r="AF30" s="4">
        <f t="shared" si="6"/>
        <v>24</v>
      </c>
      <c r="AG30" s="193"/>
      <c r="AH30" s="193"/>
      <c r="AI30" s="193"/>
      <c r="AJ30" s="193"/>
      <c r="AK30" s="193"/>
      <c r="AL30" s="193"/>
      <c r="AM30" s="193"/>
      <c r="AN30" s="193"/>
      <c r="AO30" s="193"/>
      <c r="AP30" s="193"/>
      <c r="AQ30" s="193"/>
      <c r="AR30" s="193"/>
      <c r="AS30" s="193"/>
      <c r="AT30" s="193"/>
      <c r="AU30" s="193"/>
      <c r="AV30" s="193"/>
      <c r="AW30" s="193"/>
      <c r="AX30" s="193"/>
      <c r="AY30" s="193"/>
      <c r="AZ30" s="193"/>
      <c r="BA30" s="193"/>
      <c r="BB30" s="193"/>
      <c r="BC30" s="193"/>
      <c r="BD30" s="193"/>
      <c r="BE30" s="193"/>
      <c r="BF30" s="193"/>
      <c r="BG30" s="193"/>
      <c r="BH30" s="193"/>
      <c r="BI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  <c r="BV30" s="193"/>
      <c r="BW30" s="193"/>
      <c r="BX30" s="193"/>
      <c r="BY30" s="193"/>
      <c r="BZ30" s="193"/>
      <c r="CA30" s="193"/>
      <c r="CB30" s="193"/>
      <c r="CC30" s="193"/>
      <c r="CD30" s="193"/>
      <c r="CE30" s="193"/>
      <c r="CF30" s="193"/>
      <c r="CG30" s="193"/>
      <c r="CH30" s="193"/>
      <c r="CI30" s="193"/>
      <c r="CJ30" s="193"/>
      <c r="CK30" s="193"/>
      <c r="CL30" s="193"/>
      <c r="CM30" s="193"/>
      <c r="CN30" s="193"/>
      <c r="CO30" s="193"/>
      <c r="CP30" s="193"/>
    </row>
    <row r="31" spans="1:94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AA31" s="3" t="str">
        <f>IF($F$2="","",HLOOKUP($F$2,Técnicos!$A$1:$E$51,AF31+1,FALSE))</f>
        <v xml:space="preserve">Leandra Luiza Oliveira de Araújo </v>
      </c>
      <c r="AB31" s="193"/>
      <c r="AC31" s="193"/>
      <c r="AD31" s="193"/>
      <c r="AE31" s="193"/>
      <c r="AF31" s="4">
        <f t="shared" si="6"/>
        <v>25</v>
      </c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3"/>
      <c r="BH31" s="193"/>
      <c r="BI31" s="193"/>
      <c r="BJ31" s="193"/>
      <c r="BK31" s="193"/>
      <c r="BL31" s="193"/>
      <c r="BM31" s="193"/>
      <c r="BN31" s="193"/>
      <c r="BO31" s="193"/>
      <c r="BP31" s="193"/>
      <c r="BQ31" s="193"/>
      <c r="BR31" s="193"/>
      <c r="BS31" s="193"/>
      <c r="BT31" s="193"/>
      <c r="BU31" s="193"/>
      <c r="BV31" s="193"/>
      <c r="BW31" s="193"/>
      <c r="BX31" s="193"/>
      <c r="BY31" s="193"/>
      <c r="BZ31" s="193"/>
      <c r="CA31" s="193"/>
      <c r="CB31" s="193"/>
      <c r="CC31" s="193"/>
      <c r="CD31" s="193"/>
      <c r="CE31" s="193"/>
      <c r="CF31" s="193"/>
      <c r="CG31" s="193"/>
      <c r="CH31" s="193"/>
      <c r="CI31" s="193"/>
      <c r="CJ31" s="193"/>
      <c r="CK31" s="193"/>
      <c r="CL31" s="193"/>
      <c r="CM31" s="193"/>
      <c r="CN31" s="193"/>
      <c r="CO31" s="193"/>
      <c r="CP31" s="193"/>
    </row>
    <row r="32" spans="1:94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AA32" s="3" t="str">
        <f>IF($F$2="","",HLOOKUP($F$2,Técnicos!$A$1:$E$51,AF32+1,FALSE))</f>
        <v>Leonardo Portolani da Silva</v>
      </c>
      <c r="AB32" s="193"/>
      <c r="AC32" s="193"/>
      <c r="AD32" s="193"/>
      <c r="AE32" s="193"/>
      <c r="AF32" s="4">
        <f t="shared" si="6"/>
        <v>26</v>
      </c>
      <c r="AG32" s="193"/>
      <c r="AH32" s="193"/>
      <c r="AI32" s="193"/>
      <c r="AJ32" s="193"/>
      <c r="AK32" s="193"/>
      <c r="AL32" s="193"/>
      <c r="AM32" s="193"/>
      <c r="AN32" s="193"/>
      <c r="AO32" s="193"/>
      <c r="AP32" s="193"/>
      <c r="AQ32" s="193"/>
      <c r="AR32" s="193"/>
      <c r="AS32" s="193"/>
      <c r="AT32" s="193"/>
      <c r="AU32" s="193"/>
      <c r="AV32" s="193"/>
      <c r="AW32" s="193"/>
      <c r="AX32" s="193"/>
      <c r="AY32" s="193"/>
      <c r="AZ32" s="193"/>
      <c r="BA32" s="193"/>
      <c r="BB32" s="193"/>
      <c r="BC32" s="193"/>
      <c r="BD32" s="193"/>
      <c r="BE32" s="193"/>
      <c r="BF32" s="193"/>
      <c r="BG32" s="193"/>
      <c r="BH32" s="193"/>
      <c r="BI32" s="193"/>
      <c r="BJ32" s="193"/>
      <c r="BK32" s="193"/>
      <c r="BL32" s="193"/>
      <c r="BM32" s="193"/>
      <c r="BN32" s="193"/>
      <c r="BO32" s="193"/>
      <c r="BP32" s="193"/>
      <c r="BQ32" s="193"/>
      <c r="BR32" s="193"/>
      <c r="BS32" s="193"/>
      <c r="BT32" s="193"/>
      <c r="BU32" s="193"/>
      <c r="BV32" s="193"/>
      <c r="BW32" s="193"/>
      <c r="BX32" s="193"/>
      <c r="BY32" s="193"/>
      <c r="BZ32" s="193"/>
      <c r="CA32" s="193"/>
      <c r="CB32" s="193"/>
      <c r="CC32" s="193"/>
      <c r="CD32" s="193"/>
      <c r="CE32" s="193"/>
      <c r="CF32" s="193"/>
      <c r="CG32" s="193"/>
      <c r="CH32" s="193"/>
      <c r="CI32" s="193"/>
      <c r="CJ32" s="193"/>
      <c r="CK32" s="193"/>
      <c r="CL32" s="193"/>
      <c r="CM32" s="193"/>
      <c r="CN32" s="193"/>
      <c r="CO32" s="193"/>
      <c r="CP32" s="193"/>
    </row>
    <row r="33" spans="1:94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AA33" s="3" t="str">
        <f>IF($F$2="","",HLOOKUP($F$2,Técnicos!$A$1:$E$51,AF33+1,FALSE))</f>
        <v xml:space="preserve">Leonardo Sousa Araújo </v>
      </c>
      <c r="AB33" s="193"/>
      <c r="AC33" s="193"/>
      <c r="AD33" s="193"/>
      <c r="AE33" s="193"/>
      <c r="AF33" s="4">
        <f t="shared" si="6"/>
        <v>27</v>
      </c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93"/>
      <c r="AU33" s="193"/>
      <c r="AV33" s="193"/>
      <c r="AW33" s="193"/>
      <c r="AX33" s="193"/>
      <c r="AY33" s="193"/>
      <c r="AZ33" s="193"/>
      <c r="BA33" s="193"/>
      <c r="BB33" s="193"/>
      <c r="BC33" s="193"/>
      <c r="BD33" s="193"/>
      <c r="BE33" s="193"/>
      <c r="BF33" s="193"/>
      <c r="BG33" s="193"/>
      <c r="BH33" s="193"/>
      <c r="BI33" s="193"/>
      <c r="BJ33" s="193"/>
      <c r="BK33" s="193"/>
      <c r="BL33" s="193"/>
      <c r="BM33" s="193"/>
      <c r="BN33" s="193"/>
      <c r="BO33" s="193"/>
      <c r="BP33" s="193"/>
      <c r="BQ33" s="193"/>
      <c r="BR33" s="193"/>
      <c r="BS33" s="193"/>
      <c r="BT33" s="193"/>
      <c r="BU33" s="193"/>
      <c r="BV33" s="193"/>
      <c r="BW33" s="193"/>
      <c r="BX33" s="193"/>
      <c r="BY33" s="193"/>
      <c r="BZ33" s="193"/>
      <c r="CA33" s="193"/>
      <c r="CB33" s="193"/>
      <c r="CC33" s="193"/>
      <c r="CD33" s="193"/>
      <c r="CE33" s="193"/>
      <c r="CF33" s="193"/>
      <c r="CG33" s="193"/>
      <c r="CH33" s="193"/>
      <c r="CI33" s="193"/>
      <c r="CJ33" s="193"/>
      <c r="CK33" s="193"/>
      <c r="CL33" s="193"/>
      <c r="CM33" s="193"/>
      <c r="CN33" s="193"/>
      <c r="CO33" s="193"/>
      <c r="CP33" s="193"/>
    </row>
    <row r="34" spans="1:94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AA34" s="3" t="str">
        <f>IF($F$2="","",HLOOKUP($F$2,Técnicos!$A$1:$E$51,AF34+1,FALSE))</f>
        <v>Lucas Rodrigues Amador</v>
      </c>
      <c r="AB34" s="193"/>
      <c r="AC34" s="193"/>
      <c r="AD34" s="193"/>
      <c r="AE34" s="193"/>
      <c r="AF34" s="4">
        <f t="shared" si="6"/>
        <v>28</v>
      </c>
      <c r="AG34" s="193"/>
      <c r="AH34" s="193"/>
      <c r="AI34" s="193"/>
      <c r="AJ34" s="193"/>
      <c r="AK34" s="193"/>
      <c r="AL34" s="193"/>
      <c r="AM34" s="193"/>
      <c r="AN34" s="193"/>
      <c r="AO34" s="193"/>
      <c r="AP34" s="193"/>
      <c r="AQ34" s="193"/>
      <c r="AR34" s="193"/>
      <c r="AS34" s="193"/>
      <c r="AT34" s="193"/>
      <c r="AU34" s="193"/>
      <c r="AV34" s="193"/>
      <c r="AW34" s="193"/>
      <c r="AX34" s="193"/>
      <c r="AY34" s="193"/>
      <c r="AZ34" s="193"/>
      <c r="BA34" s="193"/>
      <c r="BB34" s="193"/>
      <c r="BC34" s="193"/>
      <c r="BD34" s="193"/>
      <c r="BE34" s="193"/>
      <c r="BF34" s="193"/>
      <c r="BG34" s="193"/>
      <c r="BH34" s="193"/>
      <c r="BI34" s="193"/>
      <c r="BJ34" s="193"/>
      <c r="BK34" s="193"/>
      <c r="BL34" s="193"/>
      <c r="BM34" s="193"/>
      <c r="BN34" s="193"/>
      <c r="BO34" s="193"/>
      <c r="BP34" s="193"/>
      <c r="BQ34" s="193"/>
      <c r="BR34" s="193"/>
      <c r="BS34" s="193"/>
      <c r="BT34" s="193"/>
      <c r="BU34" s="193"/>
      <c r="BV34" s="193"/>
      <c r="BW34" s="193"/>
      <c r="BX34" s="193"/>
      <c r="BY34" s="193"/>
      <c r="BZ34" s="193"/>
      <c r="CA34" s="193"/>
      <c r="CB34" s="193"/>
      <c r="CC34" s="193"/>
      <c r="CD34" s="193"/>
      <c r="CE34" s="193"/>
      <c r="CF34" s="193"/>
      <c r="CG34" s="193"/>
      <c r="CH34" s="193"/>
      <c r="CI34" s="193"/>
      <c r="CJ34" s="193"/>
      <c r="CK34" s="193"/>
      <c r="CL34" s="193"/>
      <c r="CM34" s="193"/>
      <c r="CN34" s="193"/>
      <c r="CO34" s="193"/>
      <c r="CP34" s="193"/>
    </row>
    <row r="35" spans="1:94" x14ac:dyDescent="0.3">
      <c r="A35" s="2"/>
      <c r="B35" s="219" t="s">
        <v>129</v>
      </c>
      <c r="C35" s="220"/>
      <c r="D35" s="220"/>
      <c r="E35" s="220"/>
      <c r="F35" s="221"/>
      <c r="G35" s="222"/>
      <c r="H35" s="222"/>
      <c r="I35" s="222"/>
      <c r="J35" s="219" t="s">
        <v>130</v>
      </c>
      <c r="K35" s="220"/>
      <c r="L35" s="220"/>
      <c r="M35" s="220"/>
      <c r="N35" s="221"/>
      <c r="O35" s="222"/>
      <c r="P35" s="222"/>
      <c r="Q35" s="222"/>
      <c r="R35" s="219" t="s">
        <v>131</v>
      </c>
      <c r="S35" s="220"/>
      <c r="T35" s="220"/>
      <c r="U35" s="220"/>
      <c r="V35" s="221"/>
      <c r="W35" s="222"/>
      <c r="X35" s="2"/>
      <c r="AA35" s="3" t="str">
        <f>IF($F$2="","",HLOOKUP($F$2,Técnicos!$A$1:$E$51,AF35+1,FALSE))</f>
        <v>Luiz de Jesus F. Neto</v>
      </c>
      <c r="AB35" s="193"/>
      <c r="AC35" s="193"/>
      <c r="AD35" s="193"/>
      <c r="AE35" s="193"/>
      <c r="AF35" s="4">
        <f t="shared" si="6"/>
        <v>29</v>
      </c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  <c r="AR35" s="193"/>
      <c r="AS35" s="193"/>
      <c r="AT35" s="193"/>
      <c r="AU35" s="193"/>
      <c r="AV35" s="193"/>
      <c r="AW35" s="193"/>
      <c r="AX35" s="193"/>
      <c r="AY35" s="193"/>
      <c r="AZ35" s="193"/>
      <c r="BA35" s="193"/>
      <c r="BB35" s="193"/>
      <c r="BC35" s="193"/>
      <c r="BD35" s="193"/>
      <c r="BE35" s="193"/>
      <c r="BF35" s="193"/>
      <c r="BG35" s="193"/>
      <c r="BH35" s="193"/>
      <c r="BI35" s="193"/>
      <c r="BJ35" s="193"/>
      <c r="BK35" s="193"/>
      <c r="BL35" s="193"/>
      <c r="BM35" s="193"/>
      <c r="BN35" s="193"/>
      <c r="BO35" s="193"/>
      <c r="BP35" s="193"/>
      <c r="BQ35" s="193"/>
      <c r="BR35" s="193"/>
      <c r="BS35" s="193"/>
      <c r="BT35" s="193"/>
      <c r="BU35" s="193"/>
      <c r="BV35" s="193"/>
      <c r="BW35" s="193"/>
      <c r="BX35" s="193"/>
      <c r="BY35" s="193"/>
      <c r="BZ35" s="193"/>
      <c r="CA35" s="193"/>
      <c r="CB35" s="193"/>
      <c r="CC35" s="193"/>
      <c r="CD35" s="193"/>
      <c r="CE35" s="193"/>
      <c r="CF35" s="193"/>
      <c r="CG35" s="193"/>
      <c r="CH35" s="193"/>
      <c r="CI35" s="193"/>
      <c r="CJ35" s="193"/>
      <c r="CK35" s="193"/>
      <c r="CL35" s="193"/>
      <c r="CM35" s="193"/>
      <c r="CN35" s="193"/>
      <c r="CO35" s="193"/>
      <c r="CP35" s="193"/>
    </row>
    <row r="36" spans="1:94" x14ac:dyDescent="0.3">
      <c r="A36" s="2"/>
      <c r="B36" s="219" t="s">
        <v>132</v>
      </c>
      <c r="C36" s="220"/>
      <c r="D36" s="220"/>
      <c r="E36" s="220"/>
      <c r="F36" s="223">
        <f>AVERAGE(F22:G23)</f>
        <v>19.670000000000002</v>
      </c>
      <c r="G36" s="222" t="str">
        <f ca="1">FIXED(ROUND(F36,F42),F42)</f>
        <v>19,7</v>
      </c>
      <c r="H36" s="222"/>
      <c r="I36" s="222"/>
      <c r="J36" s="219" t="s">
        <v>132</v>
      </c>
      <c r="K36" s="220"/>
      <c r="L36" s="220"/>
      <c r="M36" s="220"/>
      <c r="N36" s="223">
        <f>AVERAGE(N22:O23)</f>
        <v>57.13</v>
      </c>
      <c r="O36" s="222" t="str">
        <f ca="1">FIXED(ROUND(N36,N42),N42)</f>
        <v>57,1</v>
      </c>
      <c r="P36" s="222"/>
      <c r="Q36" s="222"/>
      <c r="R36" s="219" t="s">
        <v>132</v>
      </c>
      <c r="S36" s="220"/>
      <c r="T36" s="220"/>
      <c r="U36" s="220"/>
      <c r="V36" s="223">
        <f>AVERAGE(V22:W23)</f>
        <v>927.81</v>
      </c>
      <c r="W36" s="222" t="str">
        <f ca="1">FIXED(ROUND(V36,V42),V42)</f>
        <v>927,8</v>
      </c>
      <c r="X36" s="2"/>
      <c r="AA36" s="3" t="str">
        <f>IF($F$2="","",HLOOKUP($F$2,Técnicos!$A$1:$E$51,AF36+1,FALSE))</f>
        <v>Luiz Roberto Hiller</v>
      </c>
      <c r="AB36" s="193"/>
      <c r="AC36" s="193"/>
      <c r="AD36" s="193"/>
      <c r="AE36" s="193"/>
      <c r="AF36" s="4">
        <f t="shared" si="6"/>
        <v>30</v>
      </c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  <c r="AR36" s="193"/>
      <c r="AS36" s="193"/>
      <c r="AT36" s="193"/>
      <c r="AU36" s="193"/>
      <c r="AV36" s="193"/>
      <c r="AW36" s="193"/>
      <c r="AX36" s="193"/>
      <c r="AY36" s="193"/>
      <c r="AZ36" s="193"/>
      <c r="BA36" s="193"/>
      <c r="BB36" s="193"/>
      <c r="BC36" s="193"/>
      <c r="BD36" s="193"/>
      <c r="BE36" s="193"/>
      <c r="BF36" s="193"/>
      <c r="BG36" s="193"/>
      <c r="BH36" s="193"/>
      <c r="BI36" s="193"/>
      <c r="BJ36" s="193"/>
      <c r="BK36" s="193"/>
      <c r="BL36" s="193"/>
      <c r="BM36" s="193"/>
      <c r="BN36" s="193"/>
      <c r="BO36" s="193"/>
      <c r="BP36" s="193"/>
      <c r="BQ36" s="193"/>
      <c r="BR36" s="193"/>
      <c r="BS36" s="193"/>
      <c r="BT36" s="193"/>
      <c r="BU36" s="193"/>
      <c r="BV36" s="193"/>
      <c r="BW36" s="193"/>
      <c r="BX36" s="193"/>
      <c r="BY36" s="193"/>
      <c r="BZ36" s="193"/>
      <c r="CA36" s="193"/>
      <c r="CB36" s="193"/>
      <c r="CC36" s="193"/>
      <c r="CD36" s="193"/>
      <c r="CE36" s="193"/>
      <c r="CF36" s="193"/>
      <c r="CG36" s="193"/>
      <c r="CH36" s="193"/>
      <c r="CI36" s="193"/>
      <c r="CJ36" s="193"/>
      <c r="CK36" s="193"/>
      <c r="CL36" s="193"/>
      <c r="CM36" s="193"/>
      <c r="CN36" s="193"/>
      <c r="CO36" s="193"/>
      <c r="CP36" s="193"/>
    </row>
    <row r="37" spans="1:94" x14ac:dyDescent="0.3">
      <c r="A37" s="2"/>
      <c r="B37" s="224" t="s">
        <v>133</v>
      </c>
      <c r="C37" s="225"/>
      <c r="D37" s="225"/>
      <c r="E37" s="225"/>
      <c r="F37" s="226">
        <f>MAX(F22:F23)-MIN(F22:F23)</f>
        <v>0</v>
      </c>
      <c r="G37" s="222">
        <f>F37/SQRT(3)</f>
        <v>0</v>
      </c>
      <c r="H37" s="222"/>
      <c r="I37" s="222"/>
      <c r="J37" s="224" t="s">
        <v>133</v>
      </c>
      <c r="K37" s="225"/>
      <c r="L37" s="225"/>
      <c r="M37" s="225"/>
      <c r="N37" s="226">
        <f>MAX(N22:N23)-MIN(N22:N23)</f>
        <v>0</v>
      </c>
      <c r="O37" s="222">
        <f>N37/SQRT(3)</f>
        <v>0</v>
      </c>
      <c r="P37" s="222"/>
      <c r="Q37" s="222"/>
      <c r="R37" s="224" t="s">
        <v>133</v>
      </c>
      <c r="S37" s="225"/>
      <c r="T37" s="225"/>
      <c r="U37" s="225"/>
      <c r="V37" s="226">
        <f>MAX(V22:V23)-MIN(V22:V23)</f>
        <v>0</v>
      </c>
      <c r="W37" s="222">
        <f>V37/SQRT(3)</f>
        <v>0</v>
      </c>
      <c r="X37" s="2"/>
      <c r="AA37" s="3" t="str">
        <f>IF($F$2="","",HLOOKUP($F$2,Técnicos!$A$1:$E$51,AF37+1,FALSE))</f>
        <v>Marcelo Bueno da Silva</v>
      </c>
      <c r="AB37" s="193"/>
      <c r="AC37" s="193"/>
      <c r="AD37" s="193"/>
      <c r="AE37" s="193"/>
      <c r="AF37" s="4">
        <f t="shared" si="6"/>
        <v>31</v>
      </c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193"/>
      <c r="BX37" s="193"/>
      <c r="BY37" s="193"/>
      <c r="BZ37" s="193"/>
      <c r="CA37" s="193"/>
      <c r="CB37" s="193"/>
      <c r="CC37" s="193"/>
      <c r="CD37" s="193"/>
      <c r="CE37" s="193"/>
      <c r="CF37" s="193"/>
      <c r="CG37" s="193"/>
      <c r="CH37" s="193"/>
      <c r="CI37" s="193"/>
      <c r="CJ37" s="193"/>
      <c r="CK37" s="193"/>
      <c r="CL37" s="193"/>
      <c r="CM37" s="193"/>
      <c r="CN37" s="193"/>
      <c r="CO37" s="193"/>
      <c r="CP37" s="193"/>
    </row>
    <row r="38" spans="1:94" x14ac:dyDescent="0.3">
      <c r="A38" s="2"/>
      <c r="B38" s="227" t="s">
        <v>134</v>
      </c>
      <c r="C38" s="222"/>
      <c r="D38" s="222"/>
      <c r="E38" s="222"/>
      <c r="F38" s="228">
        <f ca="1">IF($H$21="","",VLOOKUP($H$21,'Controle dos padrões'!$A$5:$BP$24,14,FALSE))</f>
        <v>0.1</v>
      </c>
      <c r="G38" s="222">
        <f ca="1">F38/2</f>
        <v>0.05</v>
      </c>
      <c r="H38" s="222"/>
      <c r="I38" s="222"/>
      <c r="J38" s="227" t="s">
        <v>134</v>
      </c>
      <c r="K38" s="222"/>
      <c r="L38" s="222"/>
      <c r="M38" s="222"/>
      <c r="N38" s="228">
        <f ca="1">IF($P$21="","",VLOOKUP($P$21,'Controle dos padrões'!$A$28:$BP$47,13,FALSE))</f>
        <v>0.1</v>
      </c>
      <c r="O38" s="222">
        <f ca="1">N38/2</f>
        <v>0.05</v>
      </c>
      <c r="P38" s="222"/>
      <c r="Q38" s="222"/>
      <c r="R38" s="227" t="s">
        <v>134</v>
      </c>
      <c r="S38" s="222"/>
      <c r="T38" s="222"/>
      <c r="U38" s="222"/>
      <c r="V38" s="228">
        <f ca="1">IF($X$21="","",VLOOKUP($X$21,'Controle dos padrões'!$A$51:$BP$70,12,FALSE))</f>
        <v>0.1</v>
      </c>
      <c r="W38" s="222">
        <f ca="1">V38/2</f>
        <v>0.05</v>
      </c>
      <c r="X38" s="2"/>
      <c r="AA38" s="3" t="str">
        <f>IF($F$2="","",HLOOKUP($F$2,Técnicos!$A$1:$E$51,AF38+1,FALSE))</f>
        <v>Marcos Benedito P. de Souza</v>
      </c>
      <c r="AB38" s="193"/>
      <c r="AC38" s="193"/>
      <c r="AD38" s="193"/>
      <c r="AE38" s="193"/>
      <c r="AF38" s="4">
        <f t="shared" si="6"/>
        <v>32</v>
      </c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AY38" s="193"/>
      <c r="AZ38" s="193"/>
      <c r="BA38" s="193"/>
      <c r="BB38" s="193"/>
      <c r="BC38" s="193"/>
      <c r="BD38" s="193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193"/>
      <c r="BX38" s="193"/>
      <c r="BY38" s="193"/>
      <c r="BZ38" s="193"/>
      <c r="CA38" s="193"/>
      <c r="CB38" s="193"/>
      <c r="CC38" s="193"/>
      <c r="CD38" s="193"/>
      <c r="CE38" s="193"/>
      <c r="CF38" s="193"/>
      <c r="CG38" s="193"/>
      <c r="CH38" s="193"/>
      <c r="CI38" s="193"/>
      <c r="CJ38" s="193"/>
      <c r="CK38" s="193"/>
      <c r="CL38" s="193"/>
      <c r="CM38" s="193"/>
      <c r="CN38" s="193"/>
      <c r="CO38" s="193"/>
      <c r="CP38" s="193"/>
    </row>
    <row r="39" spans="1:94" x14ac:dyDescent="0.3">
      <c r="A39" s="2"/>
      <c r="B39" s="227" t="s">
        <v>135</v>
      </c>
      <c r="C39" s="222"/>
      <c r="D39" s="222"/>
      <c r="E39" s="222"/>
      <c r="F39" s="228">
        <f ca="1">IF($H$21="","",VLOOKUP($H$21,'Controle dos padrões'!$A$5:$BP$24,17,FALSE))</f>
        <v>0.10000000000000142</v>
      </c>
      <c r="G39" s="222">
        <f ca="1">F39/SQRT(3)</f>
        <v>5.77350269189634E-2</v>
      </c>
      <c r="H39" s="222"/>
      <c r="I39" s="222"/>
      <c r="J39" s="227" t="s">
        <v>135</v>
      </c>
      <c r="K39" s="222"/>
      <c r="L39" s="222"/>
      <c r="M39" s="222"/>
      <c r="N39" s="228">
        <f ca="1">IF($P$21="","",VLOOKUP($P$21,'Controle dos padrões'!$A$28:$BP$47,16,FALSE))</f>
        <v>0.20000000000000284</v>
      </c>
      <c r="O39" s="222">
        <f ca="1">N39/SQRT(3)</f>
        <v>0.1154700538379268</v>
      </c>
      <c r="P39" s="222"/>
      <c r="Q39" s="222"/>
      <c r="R39" s="227" t="s">
        <v>135</v>
      </c>
      <c r="S39" s="222"/>
      <c r="T39" s="222"/>
      <c r="U39" s="222"/>
      <c r="V39" s="228">
        <f ca="1">IF($X$21="","",VLOOKUP($X$21,'Controle dos padrões'!$A$51:$BP$70,15,FALSE))</f>
        <v>0.5</v>
      </c>
      <c r="W39" s="222">
        <f ca="1">V39/SQRT(3)</f>
        <v>0.28867513459481292</v>
      </c>
      <c r="X39" s="2"/>
      <c r="AA39" s="3" t="str">
        <f>IF($F$2="","",HLOOKUP($F$2,Técnicos!$A$1:$E$51,AF39+1,FALSE))</f>
        <v>Marcos Franco da Silva</v>
      </c>
      <c r="AB39" s="193"/>
      <c r="AC39" s="193"/>
      <c r="AD39" s="193"/>
      <c r="AE39" s="193"/>
      <c r="AF39" s="4">
        <f t="shared" si="6"/>
        <v>33</v>
      </c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  <c r="AR39" s="193"/>
      <c r="AS39" s="193"/>
      <c r="AT39" s="193"/>
      <c r="AU39" s="193"/>
      <c r="AV39" s="193"/>
      <c r="AW39" s="193"/>
      <c r="AX39" s="193"/>
      <c r="AY39" s="193"/>
      <c r="AZ39" s="193"/>
      <c r="BA39" s="193"/>
      <c r="BB39" s="193"/>
      <c r="BC39" s="193"/>
      <c r="BD39" s="193"/>
      <c r="BE39" s="193"/>
      <c r="BF39" s="193"/>
      <c r="BG39" s="193"/>
      <c r="BH39" s="193"/>
      <c r="BI39" s="193"/>
      <c r="BJ39" s="193"/>
      <c r="BK39" s="193"/>
      <c r="BL39" s="193"/>
      <c r="BM39" s="193"/>
      <c r="BN39" s="193"/>
      <c r="BO39" s="193"/>
      <c r="BP39" s="193"/>
      <c r="BQ39" s="193"/>
      <c r="BR39" s="193"/>
      <c r="BS39" s="193"/>
      <c r="BT39" s="193"/>
      <c r="BU39" s="193"/>
      <c r="BV39" s="193"/>
      <c r="BW39" s="193"/>
      <c r="BX39" s="193"/>
      <c r="BY39" s="193"/>
      <c r="BZ39" s="193"/>
      <c r="CA39" s="193"/>
      <c r="CB39" s="193"/>
      <c r="CC39" s="193"/>
      <c r="CD39" s="193"/>
      <c r="CE39" s="193"/>
      <c r="CF39" s="193"/>
      <c r="CG39" s="193"/>
      <c r="CH39" s="193"/>
      <c r="CI39" s="193"/>
      <c r="CJ39" s="193"/>
      <c r="CK39" s="193"/>
      <c r="CL39" s="193"/>
      <c r="CM39" s="193"/>
      <c r="CN39" s="193"/>
      <c r="CO39" s="193"/>
      <c r="CP39" s="193"/>
    </row>
    <row r="40" spans="1:94" x14ac:dyDescent="0.3">
      <c r="A40" s="2"/>
      <c r="B40" s="227" t="s">
        <v>136</v>
      </c>
      <c r="C40" s="222"/>
      <c r="D40" s="222"/>
      <c r="E40" s="222"/>
      <c r="F40" s="228">
        <f ca="1">IF($H$21="","",VLOOKUP($H$21,'Controle dos padrões'!$A$5:$BP$24,16,FALSE))</f>
        <v>0.1</v>
      </c>
      <c r="G40" s="222">
        <f ca="1">F40/SQRT(3)</f>
        <v>5.7735026918962581E-2</v>
      </c>
      <c r="H40" s="222"/>
      <c r="I40" s="222"/>
      <c r="J40" s="227" t="s">
        <v>136</v>
      </c>
      <c r="K40" s="222"/>
      <c r="L40" s="222"/>
      <c r="M40" s="222"/>
      <c r="N40" s="228">
        <f ca="1">IF($P$21="","",VLOOKUP($P$21,'Controle dos padrões'!$A$28:$BP$47,15,FALSE))</f>
        <v>0.9</v>
      </c>
      <c r="O40" s="222">
        <f ca="1">N40/SQRT(3)</f>
        <v>0.51961524227066325</v>
      </c>
      <c r="P40" s="222"/>
      <c r="Q40" s="222"/>
      <c r="R40" s="227" t="s">
        <v>136</v>
      </c>
      <c r="S40" s="222"/>
      <c r="T40" s="222"/>
      <c r="U40" s="222"/>
      <c r="V40" s="228">
        <f ca="1">IF($X$21="","",VLOOKUP($X$21,'Controle dos padrões'!$A$51:$BP$70,14,FALSE))</f>
        <v>0.2</v>
      </c>
      <c r="W40" s="222">
        <f ca="1">V40/SQRT(3)</f>
        <v>0.11547005383792516</v>
      </c>
      <c r="X40" s="2"/>
      <c r="AA40" s="3" t="str">
        <f>IF($F$2="","",HLOOKUP($F$2,Técnicos!$A$1:$E$51,AF40+1,FALSE))</f>
        <v>Mariana dos Santos Dias</v>
      </c>
      <c r="AF40" s="4">
        <f t="shared" si="6"/>
        <v>34</v>
      </c>
    </row>
    <row r="41" spans="1:94" x14ac:dyDescent="0.3">
      <c r="A41" s="2"/>
      <c r="B41" s="224" t="s">
        <v>137</v>
      </c>
      <c r="C41" s="225"/>
      <c r="D41" s="225"/>
      <c r="E41" s="225"/>
      <c r="F41" s="229">
        <f ca="1">IF($H$21="","",VLOOKUP($H$21,'Controle dos padrões'!$A$5:$BP$24,15,FALSE))</f>
        <v>0</v>
      </c>
      <c r="G41" s="222">
        <f ca="1">F41/SQRT(3)</f>
        <v>0</v>
      </c>
      <c r="H41" s="222"/>
      <c r="I41" s="222"/>
      <c r="J41" s="224" t="s">
        <v>137</v>
      </c>
      <c r="K41" s="225"/>
      <c r="L41" s="225"/>
      <c r="M41" s="225"/>
      <c r="N41" s="229">
        <f ca="1">IF($P$21="","",VLOOKUP($P$21,'Controle dos padrões'!$A$28:$BP$47,14,FALSE))</f>
        <v>0.70000000000000284</v>
      </c>
      <c r="O41" s="222">
        <f ca="1">N41/SQRT(3)</f>
        <v>0.40414518843273972</v>
      </c>
      <c r="P41" s="222"/>
      <c r="Q41" s="222"/>
      <c r="R41" s="224" t="s">
        <v>137</v>
      </c>
      <c r="S41" s="225"/>
      <c r="T41" s="225"/>
      <c r="U41" s="225"/>
      <c r="V41" s="229">
        <f ca="1">IF($X$21="","",VLOOKUP($X$21,'Controle dos padrões'!$A$51:$BP$70,13,FALSE))</f>
        <v>0.20000000000004547</v>
      </c>
      <c r="W41" s="222">
        <f ca="1">V41/SQRT(3)</f>
        <v>0.11547005383795142</v>
      </c>
      <c r="X41" s="2"/>
      <c r="AA41" s="3" t="str">
        <f>IF($F$2="","",HLOOKUP($F$2,Técnicos!$A$1:$E$51,AF41+1,FALSE))</f>
        <v>Matheus Pereira dos Santos</v>
      </c>
      <c r="AF41" s="4">
        <f t="shared" si="6"/>
        <v>35</v>
      </c>
    </row>
    <row r="42" spans="1:94" x14ac:dyDescent="0.3">
      <c r="A42" s="2"/>
      <c r="B42" s="222"/>
      <c r="C42" s="222"/>
      <c r="D42" s="222"/>
      <c r="E42" s="222"/>
      <c r="F42" s="222">
        <f ca="1">IF(F38&gt;=1,0,LEN(F38)-2)</f>
        <v>1</v>
      </c>
      <c r="G42" s="222" t="str">
        <f ca="1">FIXED(ROUND(SQRT(SUMSQ(G37:G41))*2,F42),F42)</f>
        <v>0,2</v>
      </c>
      <c r="H42" s="222"/>
      <c r="I42" s="222"/>
      <c r="J42" s="222"/>
      <c r="K42" s="222"/>
      <c r="L42" s="222"/>
      <c r="M42" s="222"/>
      <c r="N42" s="222">
        <f ca="1">IF(N38&gt;=1,0,LEN(N38)-2)</f>
        <v>1</v>
      </c>
      <c r="O42" s="222" t="str">
        <f ca="1">FIXED(ROUND(SQRT(SUMSQ(O37:O41))*2,N42),N42)</f>
        <v>1,3</v>
      </c>
      <c r="P42" s="222"/>
      <c r="Q42" s="222"/>
      <c r="R42" s="222"/>
      <c r="S42" s="222"/>
      <c r="T42" s="222"/>
      <c r="U42" s="222"/>
      <c r="V42" s="222">
        <f ca="1">IF(V38&gt;=1,0,LEN(V38)-2)</f>
        <v>1</v>
      </c>
      <c r="W42" s="222" t="str">
        <f ca="1">FIXED(ROUND(SQRT(SUMSQ(W37:W41))*2,V42),V42)</f>
        <v>0,7</v>
      </c>
      <c r="X42" s="2"/>
      <c r="AA42" s="3" t="str">
        <f>IF($F$2="","",HLOOKUP($F$2,Técnicos!$A$1:$E$51,AF42+1,FALSE))</f>
        <v>Maurício Barros de A. Júnior</v>
      </c>
      <c r="AF42" s="4">
        <f t="shared" si="6"/>
        <v>36</v>
      </c>
    </row>
    <row r="43" spans="1:94" x14ac:dyDescent="0.3">
      <c r="AA43" s="3" t="str">
        <f>IF($F$2="","",HLOOKUP($F$2,Técnicos!$A$1:$E$51,AF43+1,FALSE))</f>
        <v>Mayko Vasconcelos Rodrigues</v>
      </c>
      <c r="AF43" s="4">
        <f t="shared" si="6"/>
        <v>37</v>
      </c>
    </row>
    <row r="44" spans="1:94" x14ac:dyDescent="0.3">
      <c r="AA44" s="3" t="str">
        <f>IF($F$2="","",HLOOKUP($F$2,Técnicos!$A$1:$E$51,AF44+1,FALSE))</f>
        <v>Mônica Alves da Silva</v>
      </c>
      <c r="AF44" s="4">
        <f t="shared" si="6"/>
        <v>38</v>
      </c>
    </row>
    <row r="45" spans="1:94" x14ac:dyDescent="0.3">
      <c r="AA45" s="3" t="str">
        <f>IF($F$2="","",HLOOKUP($F$2,Técnicos!$A$1:$E$51,AF45+1,FALSE))</f>
        <v>Nathan Aragão Aguiar</v>
      </c>
      <c r="AF45" s="4">
        <f t="shared" si="6"/>
        <v>39</v>
      </c>
    </row>
    <row r="46" spans="1:94" x14ac:dyDescent="0.3">
      <c r="AA46" s="3" t="str">
        <f>IF($F$2="","",HLOOKUP($F$2,Técnicos!$A$1:$E$51,AF46+1,FALSE))</f>
        <v>Nicolas Santos Assunção</v>
      </c>
      <c r="AF46" s="4">
        <f t="shared" si="6"/>
        <v>40</v>
      </c>
    </row>
    <row r="47" spans="1:94" x14ac:dyDescent="0.3">
      <c r="AA47" s="3" t="str">
        <f>IF($F$2="","",HLOOKUP($F$2,Técnicos!$A$1:$E$51,AF47+1,FALSE))</f>
        <v>Renan Andrade da Annunciação</v>
      </c>
      <c r="AF47" s="4">
        <f t="shared" si="6"/>
        <v>41</v>
      </c>
    </row>
    <row r="48" spans="1:94" x14ac:dyDescent="0.3">
      <c r="AA48" s="3" t="str">
        <f>IF($F$2="","",HLOOKUP($F$2,Técnicos!$A$1:$E$51,AF48+1,FALSE))</f>
        <v>Rinaldo Alves Martinez</v>
      </c>
      <c r="AF48" s="4">
        <f t="shared" si="6"/>
        <v>42</v>
      </c>
    </row>
    <row r="49" spans="27:32" x14ac:dyDescent="0.3">
      <c r="AA49" s="3" t="str">
        <f>IF($F$2="","",HLOOKUP($F$2,Técnicos!$A$1:$E$51,AF49+1,FALSE))</f>
        <v>Robson Crepaldi</v>
      </c>
      <c r="AF49" s="4">
        <f t="shared" si="6"/>
        <v>43</v>
      </c>
    </row>
    <row r="50" spans="27:32" x14ac:dyDescent="0.3">
      <c r="AA50" s="3" t="str">
        <f>IF($F$2="","",HLOOKUP($F$2,Técnicos!$A$1:$E$51,AF50+1,FALSE))</f>
        <v>Rodrigo Gomes Cordeiro</v>
      </c>
      <c r="AF50" s="4">
        <f t="shared" si="6"/>
        <v>44</v>
      </c>
    </row>
    <row r="51" spans="27:32" x14ac:dyDescent="0.3">
      <c r="AA51" s="3" t="str">
        <f>IF($F$2="","",HLOOKUP($F$2,Técnicos!$A$1:$E$51,AF51+1,FALSE))</f>
        <v>Rodrigo Merida Silva</v>
      </c>
      <c r="AF51" s="4">
        <f t="shared" si="6"/>
        <v>45</v>
      </c>
    </row>
    <row r="52" spans="27:32" x14ac:dyDescent="0.3">
      <c r="AA52" s="3" t="str">
        <f>IF($F$2="","",HLOOKUP($F$2,Técnicos!$A$1:$E$51,AF52+1,FALSE))</f>
        <v>Uendel Ranieres B. de Carvalho</v>
      </c>
      <c r="AF52" s="4">
        <f t="shared" si="6"/>
        <v>46</v>
      </c>
    </row>
    <row r="53" spans="27:32" x14ac:dyDescent="0.3">
      <c r="AA53" s="3" t="str">
        <f>IF($F$2="","",HLOOKUP($F$2,Técnicos!$A$1:$E$51,AF53+1,FALSE))</f>
        <v>Vitor Santos Nunes</v>
      </c>
      <c r="AF53" s="4">
        <f t="shared" si="6"/>
        <v>47</v>
      </c>
    </row>
    <row r="54" spans="27:32" x14ac:dyDescent="0.3">
      <c r="AA54" s="3" t="str">
        <f>IF($F$2="","",HLOOKUP($F$2,Técnicos!$A$1:$E$51,AF54+1,FALSE))</f>
        <v>Weverton Santos Oliveira</v>
      </c>
      <c r="AF54" s="4">
        <f t="shared" si="6"/>
        <v>48</v>
      </c>
    </row>
    <row r="55" spans="27:32" x14ac:dyDescent="0.3">
      <c r="AA55" s="3" t="str">
        <f>IF($F$2="","",HLOOKUP($F$2,Técnicos!$A$1:$E$51,AF55+1,FALSE))</f>
        <v>-</v>
      </c>
      <c r="AF55" s="4">
        <f t="shared" si="6"/>
        <v>49</v>
      </c>
    </row>
    <row r="56" spans="27:32" x14ac:dyDescent="0.3">
      <c r="AA56" s="3" t="str">
        <f>IF($F$2="","",HLOOKUP($F$2,Técnicos!$A$1:$E$51,AF56+1,FALSE))</f>
        <v>-</v>
      </c>
      <c r="AF56" s="4">
        <f t="shared" si="6"/>
        <v>50</v>
      </c>
    </row>
  </sheetData>
  <sheetProtection algorithmName="SHA-512" hashValue="QRjYmrqJ1zbBQ7RjtfRnnpCSd/CI+y6glS3UK01Rnb6U8TqT+F6hhklRvIgQyRa9k23s+WIo2xtrPe1DGaIfYA==" saltValue="r+niW25VJryjfGJ5+aPzrA==" spinCount="100000" sheet="1" objects="1" scenarios="1"/>
  <mergeCells count="44">
    <mergeCell ref="F9:L9"/>
    <mergeCell ref="F7:X7"/>
    <mergeCell ref="R9:X9"/>
    <mergeCell ref="N2:Q2"/>
    <mergeCell ref="W2:X2"/>
    <mergeCell ref="W3:X3"/>
    <mergeCell ref="F4:X4"/>
    <mergeCell ref="F5:X5"/>
    <mergeCell ref="F6:X6"/>
    <mergeCell ref="F2:I2"/>
    <mergeCell ref="F11:L11"/>
    <mergeCell ref="F12:L12"/>
    <mergeCell ref="F13:L13"/>
    <mergeCell ref="F14:L14"/>
    <mergeCell ref="F15:L15"/>
    <mergeCell ref="W12:X12"/>
    <mergeCell ref="R12:S12"/>
    <mergeCell ref="U12:V12"/>
    <mergeCell ref="R13:S13"/>
    <mergeCell ref="U13:X13"/>
    <mergeCell ref="R11:X11"/>
    <mergeCell ref="V18:X18"/>
    <mergeCell ref="B20:X20"/>
    <mergeCell ref="F21:G21"/>
    <mergeCell ref="N21:O21"/>
    <mergeCell ref="V21:W21"/>
    <mergeCell ref="F16:L16"/>
    <mergeCell ref="R14:X14"/>
    <mergeCell ref="R15:S15"/>
    <mergeCell ref="W15:X15"/>
    <mergeCell ref="F18:G18"/>
    <mergeCell ref="H18:J18"/>
    <mergeCell ref="K18:L18"/>
    <mergeCell ref="M18:O18"/>
    <mergeCell ref="P18:R18"/>
    <mergeCell ref="S18:U18"/>
    <mergeCell ref="F23:G23"/>
    <mergeCell ref="N23:O23"/>
    <mergeCell ref="V23:W23"/>
    <mergeCell ref="R16:X16"/>
    <mergeCell ref="B27:X28"/>
    <mergeCell ref="F22:G22"/>
    <mergeCell ref="N22:O22"/>
    <mergeCell ref="V22:W22"/>
  </mergeCells>
  <conditionalFormatting sqref="R16:X16">
    <cfRule type="expression" dxfId="428" priority="7">
      <formula>$N$16=""</formula>
    </cfRule>
  </conditionalFormatting>
  <conditionalFormatting sqref="R12:T12">
    <cfRule type="expression" dxfId="427" priority="1">
      <formula>$Z$9=3</formula>
    </cfRule>
    <cfRule type="expression" dxfId="426" priority="6">
      <formula>$Z$9=1</formula>
    </cfRule>
  </conditionalFormatting>
  <conditionalFormatting sqref="R13:S13">
    <cfRule type="expression" dxfId="425" priority="5">
      <formula>$N$13=""</formula>
    </cfRule>
  </conditionalFormatting>
  <conditionalFormatting sqref="R15:S15">
    <cfRule type="expression" dxfId="424" priority="4">
      <formula>$Z$9=1</formula>
    </cfRule>
  </conditionalFormatting>
  <conditionalFormatting sqref="W15:X15">
    <cfRule type="expression" dxfId="423" priority="3">
      <formula>$Z$9=1</formula>
    </cfRule>
  </conditionalFormatting>
  <conditionalFormatting sqref="N12:X15">
    <cfRule type="expression" dxfId="422" priority="2">
      <formula>$Z$9=""</formula>
    </cfRule>
  </conditionalFormatting>
  <dataValidations count="18">
    <dataValidation type="list" allowBlank="1" showInputMessage="1" showErrorMessage="1" sqref="N2:Q2" xr:uid="{BF880F83-4228-4348-893A-A0F7274140E6}">
      <formula1>$AA$2:$AA$5</formula1>
    </dataValidation>
    <dataValidation type="list" sqref="F9" xr:uid="{0B49EC01-35B8-4D0A-84FF-B19F5A3B00AA}">
      <formula1>$AH$7:$AH$28</formula1>
    </dataValidation>
    <dataValidation type="list" sqref="R9:X9" xr:uid="{E7D9F391-5918-4D06-91B2-204C8ABBF491}">
      <formula1>$AN$7:$AN$12</formula1>
    </dataValidation>
    <dataValidation type="list" allowBlank="1" showInputMessage="1" showErrorMessage="1" sqref="F15:L15" xr:uid="{5681FD43-F28C-4FE9-BFB7-743BD0A3E428}">
      <formula1>$AR$7:$AR$9</formula1>
    </dataValidation>
    <dataValidation sqref="R13:S13" xr:uid="{84B5A8C6-F987-486F-91E4-DCF2068726FB}"/>
    <dataValidation type="list" allowBlank="1" showInputMessage="1" showErrorMessage="1" sqref="W12:X12" xr:uid="{C2526B5E-4333-4604-A836-F7DD060F0F75}">
      <formula1>$AU$7:$AU$14</formula1>
    </dataValidation>
    <dataValidation type="list" sqref="F16:L16" xr:uid="{668FA3C3-2159-4871-8FDD-0B03C53A19C0}">
      <formula1>$BB$7:$BB$20</formula1>
    </dataValidation>
    <dataValidation type="list" sqref="R14:X14" xr:uid="{582542A1-3269-481E-8E9E-35B0E3E60EB3}">
      <formula1>$AX$7:$AX$11</formula1>
    </dataValidation>
    <dataValidation type="whole" showInputMessage="1" showErrorMessage="1" errorTitle="Erro" error="Quantidade maxima de 12 canais." prompt="1 a 12" sqref="R15:S15" xr:uid="{10712D86-CB40-41BA-8A44-577DE3CBEB73}">
      <formula1>1</formula1>
      <formula2>12</formula2>
    </dataValidation>
    <dataValidation type="whole" showInputMessage="1" showErrorMessage="1" errorTitle="Erro" error="Quantidade maxima de 7 pontos por canal." prompt="1 a 7" sqref="W15:X15" xr:uid="{A41AFE6E-7896-4587-A933-3DDF2EC08216}">
      <formula1>1</formula1>
      <formula2>7</formula2>
    </dataValidation>
    <dataValidation type="list" errorStyle="warning" allowBlank="1" errorTitle="Temperatura Ambiente" error="Temperatura do ambiente fora do recomendado pelo procedimento._x000a__x000a_Temperatura recomendada 23±5°C." sqref="N21:O21" xr:uid="{61592416-C3D2-424E-B57D-F8BE73ABC636}">
      <formula1>$BJ$7:$BJ$26</formula1>
    </dataValidation>
    <dataValidation type="list" errorStyle="warning" allowBlank="1" errorTitle="Temperatura Ambiente" error="Temperatura do ambiente fora do recomendado pelo procedimento._x000a__x000a_Temperatura recomendada 23±5°C." sqref="V21:W21" xr:uid="{860DBFB2-C8C7-4979-BECD-02B96658123A}">
      <formula1>$BN$7:$BN$26</formula1>
    </dataValidation>
    <dataValidation type="list" errorStyle="warning" allowBlank="1" errorTitle="Temperatura Ambiente" error="Temperatura do ambiente fora do recomendado pelo procedimento._x000a__x000a_Temperatura recomendada 23±5°C." sqref="F21:G21" xr:uid="{837D9F4D-0271-4ACA-9AA8-9A246580E4AD}">
      <formula1>$BF$7:$BF$26</formula1>
    </dataValidation>
    <dataValidation errorStyle="warning" allowBlank="1" errorTitle="Temperatura Ambiente" error="Temperatura do ambiente fora do recomendado pelo procedimento._x000a__x000a_Temperatura recomendada 23±5°C." sqref="F22:G23" xr:uid="{71A9F1E7-35CA-418A-9D0A-09365255987C}"/>
    <dataValidation errorStyle="warning" allowBlank="1" errorTitle="Umidade Relativa" error="Valor da Umidade Relativa do ambiente fora do recomendado pelo procedimento._x000a__x000a_Umidade Relativa recomendade 45~70 %UR." sqref="N22:O23 V22:W23" xr:uid="{04D48274-373E-4D38-978D-7C3F44A3A9B9}"/>
    <dataValidation type="list" allowBlank="1" showInputMessage="1" showErrorMessage="1" sqref="V18:X18" xr:uid="{B23B5CC6-B903-44F4-B6BB-5266A1A7767C}">
      <formula1>$AA$7:$AA$56</formula1>
    </dataValidation>
    <dataValidation type="list" allowBlank="1" showInputMessage="1" showErrorMessage="1" sqref="R16:X16" xr:uid="{8AE089F8-96BA-4F49-86B5-9251A658CE78}">
      <formula1>$AG$2:$AG$3</formula1>
    </dataValidation>
    <dataValidation type="list" allowBlank="1" showInputMessage="1" showErrorMessage="1" sqref="F2:I2" xr:uid="{ECF7BF56-B884-41C2-82D2-648FA3FC2718}">
      <formula1>$AM$2:$AM$4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otão 1">
              <controlPr locked="0" defaultSize="0" print="0" autoFill="0" autoPict="0">
                <anchor moveWithCells="1" sizeWithCells="1">
                  <from>
                    <xdr:col>20</xdr:col>
                    <xdr:colOff>144780</xdr:colOff>
                    <xdr:row>24</xdr:row>
                    <xdr:rowOff>0</xdr:rowOff>
                  </from>
                  <to>
                    <xdr:col>24</xdr:col>
                    <xdr:colOff>7620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otão 2">
              <controlPr locked="0" defaultSize="0" print="0" autoFill="0" autoPict="0">
                <anchor moveWithCells="1" sizeWithCells="1">
                  <from>
                    <xdr:col>16</xdr:col>
                    <xdr:colOff>228600</xdr:colOff>
                    <xdr:row>24</xdr:row>
                    <xdr:rowOff>0</xdr:rowOff>
                  </from>
                  <to>
                    <xdr:col>20</xdr:col>
                    <xdr:colOff>99060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otão 1">
              <controlPr locked="0" defaultSize="0" print="0" autoFill="0" autoPict="0" macro="[0]!Próximo">
                <anchor moveWithCells="1" sizeWithCells="1">
                  <from>
                    <xdr:col>20</xdr:col>
                    <xdr:colOff>144780</xdr:colOff>
                    <xdr:row>24</xdr:row>
                    <xdr:rowOff>0</xdr:rowOff>
                  </from>
                  <to>
                    <xdr:col>24</xdr:col>
                    <xdr:colOff>7620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otão 2">
              <controlPr locked="0" defaultSize="0" print="0" autoFill="0" autoPict="0" macro="[0]!Certif">
                <anchor moveWithCells="1" sizeWithCells="1">
                  <from>
                    <xdr:col>16</xdr:col>
                    <xdr:colOff>228600</xdr:colOff>
                    <xdr:row>24</xdr:row>
                    <xdr:rowOff>0</xdr:rowOff>
                  </from>
                  <to>
                    <xdr:col>20</xdr:col>
                    <xdr:colOff>99060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Option Button 21">
              <controlPr defaultSize="0" autoFill="0" autoLine="0" autoPict="0">
                <anchor moveWithCells="1">
                  <from>
                    <xdr:col>17</xdr:col>
                    <xdr:colOff>22860</xdr:colOff>
                    <xdr:row>9</xdr:row>
                    <xdr:rowOff>190500</xdr:rowOff>
                  </from>
                  <to>
                    <xdr:col>18</xdr:col>
                    <xdr:colOff>312420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Option Button 22">
              <controlPr defaultSize="0" autoFill="0" autoLine="0" autoPict="0">
                <anchor moveWithCells="1">
                  <from>
                    <xdr:col>19</xdr:col>
                    <xdr:colOff>106680</xdr:colOff>
                    <xdr:row>10</xdr:row>
                    <xdr:rowOff>22860</xdr:rowOff>
                  </from>
                  <to>
                    <xdr:col>21</xdr:col>
                    <xdr:colOff>175260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Option Button 24">
              <controlPr defaultSize="0" autoFill="0" autoLine="0" autoPict="0">
                <anchor moveWithCells="1">
                  <from>
                    <xdr:col>21</xdr:col>
                    <xdr:colOff>274320</xdr:colOff>
                    <xdr:row>10</xdr:row>
                    <xdr:rowOff>22860</xdr:rowOff>
                  </from>
                  <to>
                    <xdr:col>23</xdr:col>
                    <xdr:colOff>342900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FB22-E878-4B16-B3CB-E755CBE9946D}">
  <sheetPr codeName="Planilha2"/>
  <dimension ref="A1:DM156"/>
  <sheetViews>
    <sheetView topLeftCell="A70" zoomScaleNormal="100" workbookViewId="0">
      <selection activeCell="I70" sqref="I70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Dados</v>
      </c>
      <c r="AC1" s="61" t="str">
        <f>CONCATENATE("Incerteza - R",A2)</f>
        <v>Incerteza - R1</v>
      </c>
      <c r="AD1" s="61" t="str">
        <f>CONCATENATE("Resultados - ",A2)</f>
        <v>Resultados - 1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1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>IF($J$4="",$CX$1*DB2/100,$Q$4*DB2/100)</f>
        <v>100</v>
      </c>
      <c r="DD2" s="217">
        <f>Dados!BW7</f>
        <v>10</v>
      </c>
      <c r="DE2" s="218">
        <f>IF($J$4="",$CX$1*DD2/100,$Q$4*DD2/100)</f>
        <v>100</v>
      </c>
      <c r="DF2" s="217">
        <f>Dados!BY7</f>
        <v>25</v>
      </c>
      <c r="DG2" s="218">
        <f>IF($J$4="",$CX$1*DF2/100,$Q$4*DF2/100)</f>
        <v>250</v>
      </c>
      <c r="DH2" s="217">
        <f>Dados!CA7</f>
        <v>10</v>
      </c>
      <c r="DI2" s="218">
        <f>IF($J$4="",$CX$1*DH2/100,$Q$4*DH2/100)</f>
        <v>100</v>
      </c>
      <c r="DJ2" s="217">
        <f>Dados!CC7</f>
        <v>10</v>
      </c>
      <c r="DK2" s="218">
        <f t="shared" ref="DK2:DK7" si="0">IF($J$4="",$CX$1*DJ2/100,$Q$4*DJ2/100)</f>
        <v>100</v>
      </c>
      <c r="DL2" s="217">
        <f>Dados!CE7</f>
        <v>10</v>
      </c>
      <c r="DM2" s="218">
        <f t="shared" ref="DM2:DM8" si="1"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>IF($J$4="",$CX$1*DB3/100,$Q$4*DB3/100)</f>
        <v>1000</v>
      </c>
      <c r="DD3" s="217">
        <f>Dados!BW8</f>
        <v>50</v>
      </c>
      <c r="DE3" s="218">
        <f>IF($J$4="",$CX$1*DD3/100,$Q$4*DD3/100)</f>
        <v>500</v>
      </c>
      <c r="DF3" s="217">
        <f>Dados!BY8</f>
        <v>50</v>
      </c>
      <c r="DG3" s="218">
        <f>IF($J$4="",$CX$1*DF3/100,$Q$4*DF3/100)</f>
        <v>500</v>
      </c>
      <c r="DH3" s="217">
        <f>Dados!CA8</f>
        <v>25</v>
      </c>
      <c r="DI3" s="218">
        <f>IF($J$4="",$CX$1*DH3/100,$Q$4*DH3/100)</f>
        <v>250</v>
      </c>
      <c r="DJ3" s="217">
        <f>Dados!CC8</f>
        <v>20</v>
      </c>
      <c r="DK3" s="218">
        <f t="shared" si="0"/>
        <v>200</v>
      </c>
      <c r="DL3" s="217">
        <f>Dados!CE8</f>
        <v>20</v>
      </c>
      <c r="DM3" s="218">
        <f t="shared" si="1"/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39"/>
      <c r="P4" s="24" t="str">
        <f>IF(OR(U1=1,U1=3),"","~")</f>
        <v>~</v>
      </c>
      <c r="Q4" s="438"/>
      <c r="R4" s="439"/>
      <c r="S4" s="440"/>
      <c r="T4" s="440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2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>IF($J$4="",$CX$1*DD4/100,$Q$4*DD4/100)</f>
        <v>1000</v>
      </c>
      <c r="DF4" s="217">
        <f>Dados!BY9</f>
        <v>75</v>
      </c>
      <c r="DG4" s="218">
        <f>IF($J$4="",$CX$1*DF4/100,$Q$4*DF4/100)</f>
        <v>750</v>
      </c>
      <c r="DH4" s="217">
        <f>Dados!CA9</f>
        <v>50</v>
      </c>
      <c r="DI4" s="218">
        <f>IF($J$4="",$CX$1*DH4/100,$Q$4*DH4/100)</f>
        <v>500</v>
      </c>
      <c r="DJ4" s="217">
        <f>Dados!CC9</f>
        <v>40</v>
      </c>
      <c r="DK4" s="218">
        <f t="shared" si="0"/>
        <v>400</v>
      </c>
      <c r="DL4" s="217">
        <f>Dados!CE9</f>
        <v>35</v>
      </c>
      <c r="DM4" s="218">
        <f t="shared" si="1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39"/>
      <c r="S5" s="441" t="str">
        <f>IF(S4="","",S4)</f>
        <v/>
      </c>
      <c r="T5" s="441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2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>IF($J$4="",$CX$1*DF5/100,$Q$4*DF5/100)</f>
        <v>1000</v>
      </c>
      <c r="DH5" s="217">
        <f>Dados!CA10</f>
        <v>75</v>
      </c>
      <c r="DI5" s="218">
        <f>IF($J$4="",$CX$1*DH5/100,$Q$4*DH5/100)</f>
        <v>750</v>
      </c>
      <c r="DJ5" s="217">
        <f>Dados!CC10</f>
        <v>60</v>
      </c>
      <c r="DK5" s="218">
        <f t="shared" si="0"/>
        <v>600</v>
      </c>
      <c r="DL5" s="217">
        <f>Dados!CE10</f>
        <v>50</v>
      </c>
      <c r="DM5" s="218">
        <f t="shared" si="1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2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>IF($J$4="",$CX$1*DH6/100,$Q$4*DH6/100)</f>
        <v>1000</v>
      </c>
      <c r="DJ6" s="217">
        <f>Dados!CC11</f>
        <v>80</v>
      </c>
      <c r="DK6" s="218">
        <f t="shared" si="0"/>
        <v>800</v>
      </c>
      <c r="DL6" s="217">
        <f>Dados!CE11</f>
        <v>65</v>
      </c>
      <c r="DM6" s="218">
        <f t="shared" si="1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v>2.67353</v>
      </c>
      <c r="R7" s="439"/>
      <c r="S7" s="440" t="s">
        <v>272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2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0"/>
        <v>1000</v>
      </c>
      <c r="DL7" s="217">
        <f>Dados!CE12</f>
        <v>80</v>
      </c>
      <c r="DM7" s="218">
        <f t="shared" si="1"/>
        <v>800</v>
      </c>
    </row>
    <row r="8" spans="1:117" x14ac:dyDescent="0.3">
      <c r="CG8" s="28">
        <v>1</v>
      </c>
      <c r="CL8" s="1">
        <f t="shared" si="2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1"/>
        <v>1000</v>
      </c>
    </row>
    <row r="9" spans="1:117" s="192" customFormat="1" x14ac:dyDescent="0.3">
      <c r="CG9" s="194">
        <v>1</v>
      </c>
      <c r="CL9" s="192">
        <f t="shared" si="2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2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0.10007000000000001</v>
      </c>
      <c r="BN11" s="1">
        <f>BN10+1</f>
        <v>2</v>
      </c>
      <c r="CG11" s="28">
        <f>CG10</f>
        <v>1</v>
      </c>
      <c r="CL11" s="1">
        <f t="shared" si="2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v>100</v>
      </c>
      <c r="F12" s="406"/>
      <c r="G12" s="51" t="str">
        <f>IF($J$4="",$CY$1,$S$4)</f>
        <v>µL</v>
      </c>
      <c r="H12" s="1" t="s">
        <v>269</v>
      </c>
      <c r="K12" s="408" t="s">
        <v>684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0.10014000000000001</v>
      </c>
      <c r="AP12" s="30" t="s">
        <v>422</v>
      </c>
      <c r="BN12" s="1">
        <f t="shared" ref="BN12:BN29" si="3">BN11+1</f>
        <v>3</v>
      </c>
      <c r="CG12" s="28">
        <f>CG11</f>
        <v>1</v>
      </c>
      <c r="CL12" s="1">
        <f t="shared" si="2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">
        <v>685</v>
      </c>
      <c r="L13" s="409"/>
      <c r="M13" s="410"/>
      <c r="AO13" s="51" t="s">
        <v>39</v>
      </c>
      <c r="AP13" s="51">
        <f ca="1">IF(AP14&lt;=1,0,STDEV(AP18:AP27)/SQRT(AP14))</f>
        <v>8.4293751175141644E-3</v>
      </c>
      <c r="AQ13" s="51" t="s">
        <v>621</v>
      </c>
      <c r="BN13" s="1">
        <f t="shared" si="3"/>
        <v>4</v>
      </c>
      <c r="CG13" s="28">
        <f>CG12</f>
        <v>1</v>
      </c>
      <c r="CL13" s="1">
        <f t="shared" si="2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1" t="s">
        <v>678</v>
      </c>
      <c r="S14" s="408"/>
      <c r="T14" s="41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2.7000000000000001E-3</v>
      </c>
      <c r="BN14" s="1">
        <f t="shared" si="3"/>
        <v>5</v>
      </c>
      <c r="CG14" s="28">
        <f>CG13</f>
        <v>1</v>
      </c>
      <c r="CL14" s="1">
        <f t="shared" si="2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S15" s="324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3"/>
        <v>6</v>
      </c>
      <c r="CG15" s="28">
        <f t="shared" ref="CG15:CG30" si="4">CG14</f>
        <v>1</v>
      </c>
      <c r="CL15" s="1">
        <f t="shared" si="2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2.7736700000000001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3"/>
        <v>7</v>
      </c>
      <c r="CG16" s="28">
        <f t="shared" si="4"/>
        <v>1</v>
      </c>
      <c r="CL16" s="1">
        <f t="shared" si="2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100,382</v>
      </c>
      <c r="F17" s="400"/>
      <c r="G17" s="1" t="str">
        <f ca="1">IF(E17="","",G12)</f>
        <v>µL</v>
      </c>
      <c r="H17" s="414" t="str">
        <f ca="1">AH18</f>
        <v>g</v>
      </c>
      <c r="I17" s="415"/>
      <c r="J17" s="416"/>
      <c r="K17" s="422"/>
      <c r="L17" s="423"/>
      <c r="M17" s="424"/>
      <c r="O17" s="1" t="s">
        <v>476</v>
      </c>
      <c r="Q17" s="418"/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3"/>
        <v>8</v>
      </c>
      <c r="CG17" s="28">
        <f t="shared" si="4"/>
        <v>1</v>
      </c>
      <c r="CL17" s="1">
        <f t="shared" si="2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0.10014000000000001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-0,382</v>
      </c>
      <c r="F18" s="400"/>
      <c r="G18" s="1" t="str">
        <f ca="1">G17</f>
        <v>µL</v>
      </c>
      <c r="H18" s="51" t="str">
        <f t="shared" ref="H18:H27" si="5">IF(I18="","",CONCATENATE(BN14-4,"ª"))</f>
        <v>1ª</v>
      </c>
      <c r="I18" s="402">
        <v>0.10014000000000001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1.0029257535080716</v>
      </c>
      <c r="AA18" s="51">
        <f ca="1">IF(AQ18="","",1-($AU$5/$AU$6))</f>
        <v>0.99985917933542445</v>
      </c>
      <c r="AB18" s="51">
        <f ca="1">IF(AO18="","",(1-($AU$7*(AR18-20))))</f>
        <v>0.99995500000000004</v>
      </c>
      <c r="AC18" s="51">
        <f ca="1">IF(AO18="","",AB18*AA18*Z18)</f>
        <v>1.0027393955335049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>
        <f ca="1">IF(I18="","",I18/AO15)</f>
        <v>0.10014000000000001</v>
      </c>
      <c r="AP18" s="51">
        <f ca="1">IF(AO18="","",AO18*AC18*AP15)</f>
        <v>100.4143230687252</v>
      </c>
      <c r="AQ18" s="51">
        <f t="shared" ref="AQ18:AQ27" ca="1" si="6">IF(AR18="","",(($AQ$7*AR18^5)+($AQ$6*AR18^4)+($AQ$5*AR18^3)+($AQ$4*AR18^2)+($AQ$3*AR18)+$AQ$2)/1000)</f>
        <v>0.99818118273772027</v>
      </c>
      <c r="AR18" s="26">
        <f t="shared" ref="AR18:AR27" ca="1" si="7">IF(AS18="","",ROUND((AZ18*K18^8)+(BA18*K18^7)+(BB18*K18^6)+(BC18*K18^5)+(BD18*K18^4)+(BE18*K18^3)+(BF18*K18^2)+(BG18*K18)+BH18,AV18))</f>
        <v>20.100000000000001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0.10000000000000142</v>
      </c>
      <c r="AX18" s="51">
        <f ca="1">IF($BL18="","",VLOOKUP($BL18,'Controle dos padrões'!$A$74:$BP$93,AX$15,FALSE))</f>
        <v>3.5374328320040616E-2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6.5711077831950271E-5</v>
      </c>
      <c r="BF18" s="51">
        <f ca="1">IF($BL18="","",VLOOKUP($BL18,'Controle dos padrões'!$A$74:$BP$93,BF$15,FALSE))</f>
        <v>-4.6375269312513749E-3</v>
      </c>
      <c r="BG18" s="51">
        <f ca="1">IF($BL18="","",VLOOKUP($BL18,'Controle dos padrões'!$A$74:$BP$93,BG$15,FALSE))</f>
        <v>1.0970866723681396</v>
      </c>
      <c r="BH18" s="51">
        <f ca="1">IF($BL18="","",VLOOKUP($BL18,'Controle dos padrões'!$A$74:$BP$93,BH$15,FALSE))</f>
        <v>-0.53012839192736561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97</v>
      </c>
      <c r="BN18" s="1">
        <f t="shared" si="3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0.10038223540806812</v>
      </c>
      <c r="CA18" s="1" t="s">
        <v>88</v>
      </c>
      <c r="CB18" s="1">
        <f>VLOOKUP(CA18,'Unidades de medida'!$A$2:$B$9,2,FALSE)</f>
        <v>1</v>
      </c>
      <c r="CG18" s="28">
        <f t="shared" si="4"/>
        <v>1</v>
      </c>
      <c r="CL18" s="1">
        <f t="shared" si="2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R1'!$S$4:$W$163,2,FALSE))</f>
        <v>0,050</v>
      </c>
      <c r="F19" s="400"/>
      <c r="G19" s="1" t="str">
        <f ca="1">G18</f>
        <v>µL</v>
      </c>
      <c r="H19" s="51" t="str">
        <f t="shared" si="5"/>
        <v>2ª</v>
      </c>
      <c r="I19" s="402">
        <v>0.10007000000000001</v>
      </c>
      <c r="J19" s="402"/>
      <c r="K19" s="402">
        <v>20</v>
      </c>
      <c r="L19" s="402"/>
      <c r="M19" s="60" t="str">
        <f t="shared" ref="M19:M27" si="8">IF(I19="","","°C")</f>
        <v>°C</v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9">IF(AQ19="","",(1/(AQ19-$AU$5)))</f>
        <v>1.0029257535080716</v>
      </c>
      <c r="AA19" s="51">
        <f t="shared" ref="AA19:AA27" ca="1" si="10">IF(AQ19="","",1-($AU$5/$AU$6))</f>
        <v>0.99985917933542445</v>
      </c>
      <c r="AB19" s="51">
        <f t="shared" ref="AB19:AB27" ca="1" si="11">IF(AO19="","",(1-($AU$7*(AR19-20))))</f>
        <v>0.99995500000000004</v>
      </c>
      <c r="AC19" s="51">
        <f t="shared" ref="AC19:AC27" ca="1" si="12">IF(AO19="","",AB19*AA19*Z19)</f>
        <v>1.0027393955335049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9.9999999996214228E-6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9.9999999996214228E-6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1000000</v>
      </c>
      <c r="AN19" s="51">
        <f ca="1">IF(I19="","",AN18)</f>
        <v>9</v>
      </c>
      <c r="AO19" s="51">
        <f ca="1">IF(I19="","",I19/AO15)</f>
        <v>0.10007000000000001</v>
      </c>
      <c r="AP19" s="51">
        <f ca="1">IF(AO19="","",AO19*AC19*AP15)</f>
        <v>100.34413131103784</v>
      </c>
      <c r="AQ19" s="51">
        <f t="shared" ca="1" si="6"/>
        <v>0.99818118273772027</v>
      </c>
      <c r="AR19" s="26">
        <f t="shared" ca="1" si="7"/>
        <v>20.100000000000001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0.10000000000000142</v>
      </c>
      <c r="AX19" s="51">
        <f ca="1">IF(BL19="","",AX18)</f>
        <v>3.5374328320040616E-2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6.5711077831950271E-5</v>
      </c>
      <c r="BF19" s="51">
        <f ca="1">IF(BL19="","",BF18)</f>
        <v>-4.6375269312513749E-3</v>
      </c>
      <c r="BG19" s="51">
        <f ca="1">IF(BL19="","",BG18)</f>
        <v>1.0970866723681396</v>
      </c>
      <c r="BH19" s="51">
        <f ca="1">IF(BL19="","",BH18)</f>
        <v>-0.53012839192736561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97</v>
      </c>
      <c r="BN19" s="1">
        <f t="shared" si="3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100.38223540806811</v>
      </c>
      <c r="CA19" s="1" t="str">
        <f>AP17</f>
        <v>µL</v>
      </c>
      <c r="CB19" s="1">
        <f>VLOOKUP(CA19,'Unidades de medida'!$A$2:$B$9,2,FALSE)</f>
        <v>1000</v>
      </c>
      <c r="CG19" s="28">
        <f t="shared" si="4"/>
        <v>1</v>
      </c>
      <c r="CL19" s="1">
        <f t="shared" si="2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>
        <f ca="1">IFERROR(VLOOKUP(BM10,'Incerteza - R1'!$S$4:$W$163,5,FALSE),"")</f>
        <v>3</v>
      </c>
      <c r="C20" s="190">
        <f>IF(E13="",0,IF(E13&gt;=1,0,LEN(E13)-2))</f>
        <v>0</v>
      </c>
      <c r="D20" s="68" t="s">
        <v>614</v>
      </c>
      <c r="E20" s="400" t="str">
        <f ca="1">IF(E18="","",VLOOKUP(BM10,'Incerteza - R1'!$S$4:$W$163,3,FALSE))</f>
        <v>2,01</v>
      </c>
      <c r="F20" s="400"/>
      <c r="H20" s="51" t="str">
        <f t="shared" si="5"/>
        <v>3ª</v>
      </c>
      <c r="I20" s="402">
        <v>0.10009</v>
      </c>
      <c r="J20" s="402"/>
      <c r="K20" s="402">
        <v>20</v>
      </c>
      <c r="L20" s="402"/>
      <c r="M20" s="60" t="str">
        <f t="shared" si="8"/>
        <v>°C</v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>
        <f ca="1">HLOOKUP(U19,V19:W20,2,FALSE)</f>
        <v>0.432</v>
      </c>
      <c r="V20" s="61">
        <f ca="1">ABS(E18*1)</f>
        <v>0.38200000000000001</v>
      </c>
      <c r="W20" s="61">
        <f ca="1">ABS(E18*1)+(E19*1)</f>
        <v>0.432</v>
      </c>
      <c r="X20" s="61">
        <f ca="1">MAX(AP18:AP27)-MIN(AP18:AP27)</f>
        <v>7.0191757687354084E-2</v>
      </c>
      <c r="Z20" s="51">
        <f t="shared" ca="1" si="9"/>
        <v>1.0029257535080716</v>
      </c>
      <c r="AA20" s="51">
        <f t="shared" ca="1" si="10"/>
        <v>0.99985917933542445</v>
      </c>
      <c r="AB20" s="51">
        <f t="shared" ca="1" si="11"/>
        <v>0.99995500000000004</v>
      </c>
      <c r="AC20" s="51">
        <f t="shared" ca="1" si="12"/>
        <v>1.0027393955335049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9.9999999996214228E-6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9.9999999996214228E-6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1000000</v>
      </c>
      <c r="AN20" s="51">
        <f ca="1">IF(I20="","",AN18)</f>
        <v>9</v>
      </c>
      <c r="AO20" s="51">
        <f ca="1">IF(I20="","",I20/AO15)</f>
        <v>0.10009</v>
      </c>
      <c r="AP20" s="51">
        <f ca="1">IF(AO20="","",AO20*AC20*AP15)</f>
        <v>100.36418609894849</v>
      </c>
      <c r="AQ20" s="51">
        <f t="shared" ca="1" si="6"/>
        <v>0.99818118273772027</v>
      </c>
      <c r="AR20" s="26">
        <f t="shared" ca="1" si="7"/>
        <v>20.100000000000001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0.10000000000000142</v>
      </c>
      <c r="AX20" s="51">
        <f ca="1">IF(BL20="","",AX18)</f>
        <v>3.5374328320040616E-2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6.5711077831950271E-5</v>
      </c>
      <c r="BF20" s="51">
        <f ca="1">IF(BL20="","",BF18)</f>
        <v>-4.6375269312513749E-3</v>
      </c>
      <c r="BG20" s="51">
        <f ca="1">IF(BL20="","",BG18)</f>
        <v>1.0970866723681396</v>
      </c>
      <c r="BH20" s="51">
        <f ca="1">IF(BL20="","",BH18)</f>
        <v>-0.53012839192736561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97</v>
      </c>
      <c r="BN20" s="1">
        <f t="shared" si="3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3">BP20</f>
        <v>2</v>
      </c>
      <c r="CB20" s="1">
        <f>CB18/CB19</f>
        <v>1E-3</v>
      </c>
      <c r="CG20" s="28">
        <f t="shared" si="4"/>
        <v>1</v>
      </c>
      <c r="CL20" s="1">
        <f t="shared" si="2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4">IF(DB20="-","-",DB20/DC20)</f>
        <v>1.0000000000000001E-5</v>
      </c>
      <c r="DG20" s="1">
        <f t="shared" ref="DG20:DG28" si="15">CZ20</f>
        <v>2</v>
      </c>
      <c r="DH20" s="51">
        <f ca="1">HLOOKUP(CONCATENATE($CZ20,DH18),'Controle dos padrões'!$AB$96:$BY$116,CY18+1,FALSE)</f>
        <v>0</v>
      </c>
      <c r="DI20" s="1">
        <f t="shared" ref="DI20:DI28" ca="1" si="16">ABS(DH20)</f>
        <v>0</v>
      </c>
      <c r="DK20" s="51">
        <f ca="1">HLOOKUP(CONCATENATE($CZ20,DK18),'Controle dos padrões'!$AB$96:$CI$116,CY18+1,FALSE)</f>
        <v>0</v>
      </c>
      <c r="DL20" s="1">
        <f t="shared" ref="DL20:DL28" ca="1" si="17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R1'!$S$4:$W$163,4,FALSE))</f>
        <v>277</v>
      </c>
      <c r="F21" s="400"/>
      <c r="H21" s="51" t="str">
        <f t="shared" si="5"/>
        <v>4ª</v>
      </c>
      <c r="I21" s="402">
        <v>0.10013</v>
      </c>
      <c r="J21" s="402"/>
      <c r="K21" s="402">
        <v>20</v>
      </c>
      <c r="L21" s="402"/>
      <c r="M21" s="60" t="str">
        <f t="shared" si="8"/>
        <v>°C</v>
      </c>
      <c r="Z21" s="51">
        <f t="shared" ca="1" si="9"/>
        <v>1.0029257535080716</v>
      </c>
      <c r="AA21" s="51">
        <f t="shared" ca="1" si="10"/>
        <v>0.99985917933542445</v>
      </c>
      <c r="AB21" s="51">
        <f t="shared" ca="1" si="11"/>
        <v>0.99995500000000004</v>
      </c>
      <c r="AC21" s="51">
        <f t="shared" ca="1" si="12"/>
        <v>1.0027393955335049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9.9999999996214228E-6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9.9999999996214228E-6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1000000</v>
      </c>
      <c r="AN21" s="51">
        <f ca="1">IF(I21="","",AN18)</f>
        <v>9</v>
      </c>
      <c r="AO21" s="51">
        <f ca="1">IF(I21="","",I21/AO15)</f>
        <v>0.10013</v>
      </c>
      <c r="AP21" s="51">
        <f ca="1">IF(AO21="","",AO21*AC21*AP15)</f>
        <v>100.40429567476984</v>
      </c>
      <c r="AQ21" s="51">
        <f t="shared" ca="1" si="6"/>
        <v>0.99818118273772027</v>
      </c>
      <c r="AR21" s="26">
        <f t="shared" ca="1" si="7"/>
        <v>20.100000000000001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0.10000000000000142</v>
      </c>
      <c r="AX21" s="51">
        <f ca="1">IF(BL21="","",AX18)</f>
        <v>3.5374328320040616E-2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6.5711077831950271E-5</v>
      </c>
      <c r="BF21" s="51">
        <f ca="1">IF(BL21="","",BF18)</f>
        <v>-4.6375269312513749E-3</v>
      </c>
      <c r="BG21" s="51">
        <f ca="1">IF(BL21="","",BG18)</f>
        <v>1.0970866723681396</v>
      </c>
      <c r="BH21" s="51">
        <f ca="1">IF(BL21="","",BH18)</f>
        <v>-0.53012839192736561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97</v>
      </c>
      <c r="BN21" s="1">
        <f t="shared" si="3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3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4"/>
        <v>1</v>
      </c>
      <c r="CL21" s="1">
        <f t="shared" si="2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4"/>
        <v>1.5E-5</v>
      </c>
      <c r="DF21" s="1">
        <f ca="1">IF(CY21=1,MAX(DE19:DE21),"-")</f>
        <v>1.5E-5</v>
      </c>
      <c r="DG21" s="1">
        <f t="shared" si="15"/>
        <v>3</v>
      </c>
      <c r="DH21" s="51">
        <f ca="1">HLOOKUP(CONCATENATE($CZ21,DH18),'Controle dos padrões'!$AB$96:$BY$116,CY18+1,FALSE)</f>
        <v>9.9999999996214228E-6</v>
      </c>
      <c r="DI21" s="1">
        <f t="shared" ca="1" si="16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17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5"/>
        <v>5ª</v>
      </c>
      <c r="I22" s="402">
        <v>0.10011</v>
      </c>
      <c r="J22" s="402"/>
      <c r="K22" s="402">
        <v>20</v>
      </c>
      <c r="L22" s="402"/>
      <c r="M22" s="60" t="str">
        <f t="shared" si="8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9"/>
        <v>1.0029257535080716</v>
      </c>
      <c r="AA22" s="51">
        <f t="shared" ca="1" si="10"/>
        <v>0.99985917933542445</v>
      </c>
      <c r="AB22" s="51">
        <f t="shared" ca="1" si="11"/>
        <v>0.99995500000000004</v>
      </c>
      <c r="AC22" s="51">
        <f t="shared" ca="1" si="12"/>
        <v>1.0027393955335049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9.9999999996214228E-6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9.9999999996214228E-6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1000000</v>
      </c>
      <c r="AN22" s="51">
        <f ca="1">IF(I22="","",AN18)</f>
        <v>9</v>
      </c>
      <c r="AO22" s="51">
        <f ca="1">IF(I22="","",I22/AO15)</f>
        <v>0.10011</v>
      </c>
      <c r="AP22" s="51">
        <f ca="1">IF(AO22="","",AO22*AC22*AP15)</f>
        <v>100.38424088685919</v>
      </c>
      <c r="AQ22" s="51">
        <f t="shared" ca="1" si="6"/>
        <v>0.99818118273772027</v>
      </c>
      <c r="AR22" s="26">
        <f t="shared" ca="1" si="7"/>
        <v>20.100000000000001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0.10000000000000142</v>
      </c>
      <c r="AX22" s="51">
        <f ca="1">IF(BL22="","",AX18)</f>
        <v>3.5374328320040616E-2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6.5711077831950271E-5</v>
      </c>
      <c r="BF22" s="51">
        <f ca="1">IF(BL22="","",BF18)</f>
        <v>-4.6375269312513749E-3</v>
      </c>
      <c r="BG22" s="51">
        <f ca="1">IF(BL22="","",BG18)</f>
        <v>1.0970866723681396</v>
      </c>
      <c r="BH22" s="51">
        <f ca="1">IF(BL22="","",BH18)</f>
        <v>-0.53012839192736561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97</v>
      </c>
      <c r="BN22" s="1">
        <f t="shared" si="3"/>
        <v>13</v>
      </c>
      <c r="CB22" s="1">
        <f ca="1">CB19/CB21</f>
        <v>1</v>
      </c>
      <c r="CG22" s="28">
        <f t="shared" si="4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4"/>
        <v>7.4999999999999993E-5</v>
      </c>
      <c r="DF22" s="1" t="str">
        <f ca="1">IF(CY22=1,MAX(DE19:DE22),"-")</f>
        <v>-</v>
      </c>
      <c r="DG22" s="1">
        <f t="shared" si="15"/>
        <v>4</v>
      </c>
      <c r="DH22" s="51">
        <f ca="1">HLOOKUP(CONCATENATE($CZ22,DH18),'Controle dos padrões'!$AB$96:$BY$116,CY18+1,FALSE)</f>
        <v>1.0000000003174137E-5</v>
      </c>
      <c r="DI22" s="1">
        <f t="shared" ca="1" si="16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17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5"/>
        <v>6ª</v>
      </c>
      <c r="I23" s="402">
        <v>0.10008</v>
      </c>
      <c r="J23" s="402"/>
      <c r="K23" s="402">
        <v>20</v>
      </c>
      <c r="L23" s="402"/>
      <c r="M23" s="60" t="str">
        <f t="shared" si="8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20,1 °C</v>
      </c>
      <c r="T23" s="400"/>
      <c r="Z23" s="51">
        <f t="shared" ca="1" si="9"/>
        <v>1.0029257535080716</v>
      </c>
      <c r="AA23" s="51">
        <f t="shared" ca="1" si="10"/>
        <v>0.99985917933542445</v>
      </c>
      <c r="AB23" s="51">
        <f t="shared" ca="1" si="11"/>
        <v>0.99995500000000004</v>
      </c>
      <c r="AC23" s="51">
        <f t="shared" ca="1" si="12"/>
        <v>1.0027393955335049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9.9999999996214228E-6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9.9999999996214228E-6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1000000</v>
      </c>
      <c r="AN23" s="51">
        <f ca="1">IF(I23="","",AN18)</f>
        <v>9</v>
      </c>
      <c r="AO23" s="51">
        <f ca="1">IF(I23="","",I23/AO15)</f>
        <v>0.10008</v>
      </c>
      <c r="AP23" s="51">
        <f ca="1">IF(AO23="","",AO23*AC23*AP15)</f>
        <v>100.35415870499317</v>
      </c>
      <c r="AQ23" s="51">
        <f t="shared" ca="1" si="6"/>
        <v>0.99818118273772027</v>
      </c>
      <c r="AR23" s="26">
        <f t="shared" ca="1" si="7"/>
        <v>20.100000000000001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0.10000000000000142</v>
      </c>
      <c r="AX23" s="51">
        <f ca="1">IF(BL23="","",AX18)</f>
        <v>3.5374328320040616E-2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6.5711077831950271E-5</v>
      </c>
      <c r="BF23" s="51">
        <f ca="1">IF(BL23="","",BF18)</f>
        <v>-4.6375269312513749E-3</v>
      </c>
      <c r="BG23" s="51">
        <f ca="1">IF(BL23="","",BG18)</f>
        <v>1.0970866723681396</v>
      </c>
      <c r="BH23" s="51">
        <f ca="1">IF(BL23="","",BH18)</f>
        <v>-0.53012839192736561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97</v>
      </c>
      <c r="BN23" s="1">
        <f t="shared" si="3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4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4"/>
        <v>2.0000000000000001E-4</v>
      </c>
      <c r="DF23" s="1" t="str">
        <f ca="1">IF(CY23=1,MAX(DE19:DE23),"-")</f>
        <v>-</v>
      </c>
      <c r="DG23" s="1">
        <f t="shared" si="15"/>
        <v>5</v>
      </c>
      <c r="DH23" s="51">
        <f ca="1">HLOOKUP(CONCATENATE($CZ23,DH18),'Controle dos padrões'!$AB$96:$BY$116,CY18+1,FALSE)</f>
        <v>-1.0000000000331966E-4</v>
      </c>
      <c r="DI23" s="1">
        <f t="shared" ca="1" si="16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17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5"/>
        <v>7ª</v>
      </c>
      <c r="I24" s="402">
        <v>0.10011</v>
      </c>
      <c r="J24" s="402"/>
      <c r="K24" s="402">
        <v>20</v>
      </c>
      <c r="L24" s="402"/>
      <c r="M24" s="60" t="str">
        <f t="shared" si="8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9"/>
        <v>1.0029257535080716</v>
      </c>
      <c r="AA24" s="51">
        <f t="shared" ca="1" si="10"/>
        <v>0.99985917933542445</v>
      </c>
      <c r="AB24" s="51">
        <f t="shared" ca="1" si="11"/>
        <v>0.99995500000000004</v>
      </c>
      <c r="AC24" s="51">
        <f t="shared" ca="1" si="12"/>
        <v>1.0027393955335049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9.9999999996214228E-6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9.9999999996214228E-6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1000000</v>
      </c>
      <c r="AN24" s="51">
        <f ca="1">IF(I24="","",AN18)</f>
        <v>9</v>
      </c>
      <c r="AO24" s="51">
        <f ca="1">IF(I24="","",I24/AO15)</f>
        <v>0.10011</v>
      </c>
      <c r="AP24" s="51">
        <f ca="1">IF(AO24="","",AO24*AC24*AP15)</f>
        <v>100.38424088685919</v>
      </c>
      <c r="AQ24" s="51">
        <f t="shared" ca="1" si="6"/>
        <v>0.99818118273772027</v>
      </c>
      <c r="AR24" s="26">
        <f t="shared" ca="1" si="7"/>
        <v>20.100000000000001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0.10000000000000142</v>
      </c>
      <c r="AX24" s="51">
        <f ca="1">IF(BL24="","",AX18)</f>
        <v>3.5374328320040616E-2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6.5711077831950271E-5</v>
      </c>
      <c r="BF24" s="51">
        <f ca="1">IF(BL24="","",BF18)</f>
        <v>-4.6375269312513749E-3</v>
      </c>
      <c r="BG24" s="51">
        <f ca="1">IF(BL24="","",BG18)</f>
        <v>1.0970866723681396</v>
      </c>
      <c r="BH24" s="51">
        <f ca="1">IF(BL24="","",BH18)</f>
        <v>-0.53012839192736561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97</v>
      </c>
      <c r="BN24" s="1">
        <f t="shared" si="3"/>
        <v>15</v>
      </c>
      <c r="CG24" s="28">
        <f t="shared" si="4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4"/>
        <v>2.5000000000000001E-4</v>
      </c>
      <c r="DF24" s="1" t="str">
        <f ca="1">IF(CY24=1,MAX(DE19:DE24),"-")</f>
        <v>-</v>
      </c>
      <c r="DG24" s="1">
        <f t="shared" si="15"/>
        <v>6</v>
      </c>
      <c r="DH24" s="51">
        <f ca="1">HLOOKUP(CONCATENATE($CZ24,DH18),'Controle dos padrões'!$AB$96:$BY$116,CY18+1,FALSE)</f>
        <v>-1.0000000000331966E-4</v>
      </c>
      <c r="DI24" s="1">
        <f t="shared" ca="1" si="16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17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5"/>
        <v>8ª</v>
      </c>
      <c r="I25" s="402">
        <v>0.10013</v>
      </c>
      <c r="J25" s="402"/>
      <c r="K25" s="402">
        <v>20</v>
      </c>
      <c r="L25" s="402"/>
      <c r="M25" s="60" t="str">
        <f t="shared" si="8"/>
        <v>°C</v>
      </c>
      <c r="Z25" s="51">
        <f t="shared" ca="1" si="9"/>
        <v>1.0029257535080716</v>
      </c>
      <c r="AA25" s="51">
        <f t="shared" ca="1" si="10"/>
        <v>0.99985917933542445</v>
      </c>
      <c r="AB25" s="51">
        <f t="shared" ca="1" si="11"/>
        <v>0.99995500000000004</v>
      </c>
      <c r="AC25" s="51">
        <f t="shared" ca="1" si="12"/>
        <v>1.0027393955335049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9.9999999996214228E-6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9.9999999996214228E-6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1000000</v>
      </c>
      <c r="AN25" s="51">
        <f ca="1">IF(I25="","",AN18)</f>
        <v>9</v>
      </c>
      <c r="AO25" s="51">
        <f ca="1">IF(I25="","",I25/AO15)</f>
        <v>0.10013</v>
      </c>
      <c r="AP25" s="51">
        <f ca="1">IF(AO25="","",AO25*AC25*AP15)</f>
        <v>100.40429567476984</v>
      </c>
      <c r="AQ25" s="51">
        <f t="shared" ca="1" si="6"/>
        <v>0.99818118273772027</v>
      </c>
      <c r="AR25" s="26">
        <f t="shared" ca="1" si="7"/>
        <v>20.100000000000001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0.10000000000000142</v>
      </c>
      <c r="AX25" s="51">
        <f ca="1">IF(BL25="","",AX18)</f>
        <v>3.5374328320040616E-2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6.5711077831950271E-5</v>
      </c>
      <c r="BF25" s="51">
        <f ca="1">IF(BL25="","",BF18)</f>
        <v>-4.6375269312513749E-3</v>
      </c>
      <c r="BG25" s="51">
        <f ca="1">IF(BL25="","",BG18)</f>
        <v>1.0970866723681396</v>
      </c>
      <c r="BH25" s="51">
        <f ca="1">IF(BL25="","",BH18)</f>
        <v>-0.53012839192736561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97</v>
      </c>
      <c r="BN25" s="1">
        <f t="shared" si="3"/>
        <v>16</v>
      </c>
      <c r="BP25" s="1" t="s">
        <v>483</v>
      </c>
      <c r="BQ25" s="1" t="str">
        <f>IF($J$4&lt;&gt;"","-","8665-2 - Micropipeta Mono")</f>
        <v>8665-2 - Micropipeta Mono</v>
      </c>
      <c r="BR25" s="1" t="str">
        <f>IF($J$4&lt;&gt;"","-","8665-2 - Micropipeta Multi")</f>
        <v>8665-2 - Micropipeta Multi</v>
      </c>
      <c r="BS25" s="1" t="str">
        <f>IF($J$4&lt;&gt;"","-","8665-3 - Bureta Auto")</f>
        <v>8665-3 - Bureta Auto</v>
      </c>
      <c r="BT25" s="1" t="str">
        <f>IF($J$4&lt;&gt;"","-","8665-3 - Bureta Manual")</f>
        <v>8665-3 - Bureta Manual</v>
      </c>
      <c r="BU25" s="1" t="s">
        <v>484</v>
      </c>
      <c r="BV25" s="1">
        <f>IF(BU25=Q17,1,0)</f>
        <v>0</v>
      </c>
      <c r="CG25" s="28">
        <f t="shared" si="4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4"/>
        <v>4.0000000000000002E-4</v>
      </c>
      <c r="DF25" s="1" t="str">
        <f ca="1">IF(CY25=1,MAX(DE19:DE25),"-")</f>
        <v>-</v>
      </c>
      <c r="DG25" s="1">
        <f t="shared" si="15"/>
        <v>7</v>
      </c>
      <c r="DH25" s="51">
        <f ca="1">HLOOKUP(CONCATENATE($CZ25,DH18),'Controle dos padrões'!$AB$96:$BY$116,CY18+1,FALSE)</f>
        <v>2.0000000000663931E-4</v>
      </c>
      <c r="DI25" s="1">
        <f t="shared" ca="1" si="16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17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5"/>
        <v>9ª</v>
      </c>
      <c r="I26" s="402">
        <v>0.10008</v>
      </c>
      <c r="J26" s="402"/>
      <c r="K26" s="402">
        <v>20</v>
      </c>
      <c r="L26" s="402"/>
      <c r="M26" s="60" t="str">
        <f t="shared" si="8"/>
        <v>°C</v>
      </c>
      <c r="Z26" s="51">
        <f t="shared" ca="1" si="9"/>
        <v>1.0029257535080716</v>
      </c>
      <c r="AA26" s="51">
        <f t="shared" ca="1" si="10"/>
        <v>0.99985917933542445</v>
      </c>
      <c r="AB26" s="51">
        <f t="shared" ca="1" si="11"/>
        <v>0.99995500000000004</v>
      </c>
      <c r="AC26" s="51">
        <f t="shared" ca="1" si="12"/>
        <v>1.0027393955335049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9.9999999996214228E-6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9.9999999996214228E-6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1000000</v>
      </c>
      <c r="AN26" s="51">
        <f ca="1">IF(I26="","",AN18)</f>
        <v>9</v>
      </c>
      <c r="AO26" s="51">
        <f ca="1">IF(I26="","",I26/AO15)</f>
        <v>0.10008</v>
      </c>
      <c r="AP26" s="51">
        <f ca="1">IF(AO26="","",AO26*AC26*AP15)</f>
        <v>100.35415870499317</v>
      </c>
      <c r="AQ26" s="51">
        <f t="shared" ca="1" si="6"/>
        <v>0.99818118273772027</v>
      </c>
      <c r="AR26" s="26">
        <f t="shared" ca="1" si="7"/>
        <v>20.100000000000001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0.10000000000000142</v>
      </c>
      <c r="AX26" s="51">
        <f ca="1">IF(BL26="","",AX18)</f>
        <v>3.5374328320040616E-2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6.5711077831950271E-5</v>
      </c>
      <c r="BF26" s="51">
        <f ca="1">IF(BL26="","",BF18)</f>
        <v>-4.6375269312513749E-3</v>
      </c>
      <c r="BG26" s="51">
        <f ca="1">IF(BL26="","",BG18)</f>
        <v>1.0970866723681396</v>
      </c>
      <c r="BH26" s="51">
        <f ca="1">IF(BL26="","",BH18)</f>
        <v>-0.53012839192736561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97</v>
      </c>
      <c r="BN26" s="1">
        <f t="shared" si="3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4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4"/>
        <v>-</v>
      </c>
      <c r="DF26" s="1" t="str">
        <f ca="1">IF(CY26=1,MAX(DE19:DE26),"-")</f>
        <v>-</v>
      </c>
      <c r="DG26" s="1">
        <f t="shared" si="15"/>
        <v>8</v>
      </c>
      <c r="DH26" s="51">
        <f ca="1">HLOOKUP(CONCATENATE($CZ26,DH18),'Controle dos padrões'!$AB$96:$BY$116,CY18+1,FALSE)</f>
        <v>0</v>
      </c>
      <c r="DI26" s="1">
        <f t="shared" ca="1" si="16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17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5"/>
        <v>10ª</v>
      </c>
      <c r="I27" s="402">
        <v>0.10014000000000001</v>
      </c>
      <c r="J27" s="402"/>
      <c r="K27" s="402">
        <v>20</v>
      </c>
      <c r="L27" s="402"/>
      <c r="M27" s="60" t="str">
        <f t="shared" si="8"/>
        <v>°C</v>
      </c>
      <c r="Z27" s="51">
        <f t="shared" ca="1" si="9"/>
        <v>1.0029257535080716</v>
      </c>
      <c r="AA27" s="51">
        <f t="shared" ca="1" si="10"/>
        <v>0.99985917933542445</v>
      </c>
      <c r="AB27" s="51">
        <f t="shared" ca="1" si="11"/>
        <v>0.99995500000000004</v>
      </c>
      <c r="AC27" s="51">
        <f t="shared" ca="1" si="12"/>
        <v>1.0027393955335049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9.9999999996214228E-6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9.9999999996214228E-6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1000000</v>
      </c>
      <c r="AN27" s="51">
        <f ca="1">IF(I27="","",AN18)</f>
        <v>9</v>
      </c>
      <c r="AO27" s="51">
        <f ca="1">IF(I27="","",I27/AO15)</f>
        <v>0.10014000000000001</v>
      </c>
      <c r="AP27" s="51">
        <f ca="1">IF(AO27="","",AO27*AC27*AP15)</f>
        <v>100.4143230687252</v>
      </c>
      <c r="AQ27" s="51">
        <f t="shared" ca="1" si="6"/>
        <v>0.99818118273772027</v>
      </c>
      <c r="AR27" s="26">
        <f t="shared" ca="1" si="7"/>
        <v>20.100000000000001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0.10000000000000142</v>
      </c>
      <c r="AX27" s="51">
        <f ca="1">IF(BL27="","",AX18)</f>
        <v>3.5374328320040616E-2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6.5711077831950271E-5</v>
      </c>
      <c r="BF27" s="51">
        <f ca="1">IF(BL27="","",BF18)</f>
        <v>-4.6375269312513749E-3</v>
      </c>
      <c r="BG27" s="51">
        <f ca="1">IF(BL27="","",BG18)</f>
        <v>1.0970866723681396</v>
      </c>
      <c r="BH27" s="51">
        <f ca="1">IF(BL27="","",BH18)</f>
        <v>-0.53012839192736561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97</v>
      </c>
      <c r="BN27" s="1">
        <f t="shared" si="3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4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4"/>
        <v>-</v>
      </c>
      <c r="DF27" s="1" t="str">
        <f ca="1">IF(CY27=1,MAX(DE19:DE27),"-")</f>
        <v>-</v>
      </c>
      <c r="DG27" s="1">
        <f t="shared" si="15"/>
        <v>9</v>
      </c>
      <c r="DH27" s="51">
        <f ca="1">HLOOKUP(CONCATENATE($CZ27,DH18),'Controle dos padrões'!$AB$96:$BY$116,CY18+1,FALSE)</f>
        <v>0</v>
      </c>
      <c r="DI27" s="1">
        <f t="shared" ca="1" si="16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17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3"/>
        <v>19</v>
      </c>
      <c r="CG28" s="28">
        <f t="shared" si="4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4"/>
        <v>-</v>
      </c>
      <c r="DF28" s="1" t="str">
        <f ca="1">IF(CY28=1,MAX(DE19:DE28),"-")</f>
        <v>-</v>
      </c>
      <c r="DG28" s="1">
        <f t="shared" si="15"/>
        <v>10</v>
      </c>
      <c r="DH28" s="51">
        <f ca="1">HLOOKUP(CONCATENATE($CZ28,DH18),'Controle dos padrões'!$AB$96:$BY$116,CY18+1,FALSE)</f>
        <v>0</v>
      </c>
      <c r="DI28" s="1">
        <f t="shared" ca="1" si="16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17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18">IF(Z18="","",AVERAGE(Z18:Z27))</f>
        <v>1.0029257535080716</v>
      </c>
      <c r="AA29" s="51">
        <f t="shared" ca="1" si="18"/>
        <v>0.99985917933542434</v>
      </c>
      <c r="AB29" s="51">
        <f t="shared" ca="1" si="18"/>
        <v>0.99995500000000015</v>
      </c>
      <c r="AC29" s="51">
        <f ca="1">IF(AC18="","",AVERAGE(AC18:AC27))</f>
        <v>1.0027393955335049</v>
      </c>
      <c r="AO29" s="51">
        <f ca="1">IF(AO18="","",AVERAGE(AO18:AO27))</f>
        <v>0.100108</v>
      </c>
      <c r="AP29" s="51">
        <f ca="1">IFERROR(IF(AP18="","",AVERAGE(AP18:AP27)),"")</f>
        <v>100.38223540806811</v>
      </c>
      <c r="AQ29" s="51">
        <f ca="1">IF(AQ18="","",AVERAGE(AQ18:AQ27))</f>
        <v>0.9981811827377205</v>
      </c>
      <c r="AR29" s="51">
        <f ca="1">IF(AR18="","",AVERAGE(AR18:AR27))</f>
        <v>20.099999999999998</v>
      </c>
      <c r="BN29" s="1">
        <f t="shared" si="3"/>
        <v>20</v>
      </c>
      <c r="CG29" s="28">
        <f t="shared" si="4"/>
        <v>1</v>
      </c>
      <c r="DA29" s="1">
        <f ca="1">MAX(DA19:DA28)</f>
        <v>220</v>
      </c>
    </row>
    <row r="30" spans="1:117" s="192" customFormat="1" x14ac:dyDescent="0.3">
      <c r="CG30" s="194">
        <f t="shared" si="4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19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0.49617</v>
      </c>
      <c r="BN32" s="1">
        <f>BN31+1</f>
        <v>2</v>
      </c>
      <c r="CG32" s="28">
        <f t="shared" ref="CG32:CG95" si="20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500</v>
      </c>
      <c r="F33" s="406"/>
      <c r="G33" s="51" t="str">
        <f>IF($J$4="",$CY$1,$S$4)</f>
        <v>µL</v>
      </c>
      <c r="H33" s="1" t="s">
        <v>269</v>
      </c>
      <c r="K33" s="408" t="s">
        <v>684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0.49624000000000001</v>
      </c>
      <c r="AP33" s="51" t="s">
        <v>422</v>
      </c>
      <c r="BN33" s="1">
        <f t="shared" ref="BN33:BN50" si="21">BN32+1</f>
        <v>3</v>
      </c>
      <c r="CG33" s="28">
        <f t="shared" si="20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ca="1" si="22">IF(AP35&lt;=1,0,STDEV(AP39:AP48)/SQRT(AP35))</f>
        <v>7.831645038981502E-3</v>
      </c>
      <c r="AQ34" s="51" t="s">
        <v>621</v>
      </c>
      <c r="BN34" s="1">
        <f t="shared" si="21"/>
        <v>4</v>
      </c>
      <c r="CG34" s="28">
        <f t="shared" si="20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3">BZ44</f>
        <v>0.05</v>
      </c>
      <c r="AP35" s="51">
        <f t="shared" ref="AP35" ca="1" si="24">COUNT(AP39:AP48)</f>
        <v>10</v>
      </c>
      <c r="AQ35" s="51">
        <f ca="1">VLOOKUP(CONCATENATE($A$2,".",BM31),'Evaporação do fluido'!$H$1:$L$84,5,FALSE)</f>
        <v>2.7000000000000001E-3</v>
      </c>
      <c r="BN35" s="1">
        <f t="shared" si="21"/>
        <v>5</v>
      </c>
      <c r="CG35" s="28">
        <f t="shared" si="20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1"/>
        <v>6</v>
      </c>
      <c r="CG36" s="28">
        <f t="shared" si="20"/>
        <v>1</v>
      </c>
      <c r="CZ36" s="1">
        <f ca="1">IF(DC38=0,0,IF(DC36&gt;DA50,1,0))</f>
        <v>0</v>
      </c>
      <c r="DA36" s="1" t="s">
        <v>665</v>
      </c>
      <c r="DC36" s="1">
        <f ca="1">DC37+DC38</f>
        <v>3.1697699999999998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411" t="s">
        <v>295</v>
      </c>
      <c r="AE37" s="411"/>
      <c r="AF37" s="411"/>
      <c r="AG37" s="411"/>
      <c r="AH37" s="411"/>
      <c r="AI37" s="411"/>
      <c r="AJ37" s="411"/>
      <c r="AK37" s="411"/>
      <c r="AL37" s="411"/>
      <c r="AM37" s="411"/>
      <c r="AN37" s="411"/>
      <c r="AO37" s="62" t="s">
        <v>274</v>
      </c>
      <c r="AP37" s="62" t="s">
        <v>279</v>
      </c>
      <c r="AQ37" s="62" t="s">
        <v>280</v>
      </c>
      <c r="AR37" s="412" t="s">
        <v>289</v>
      </c>
      <c r="AS37" s="413" t="s">
        <v>290</v>
      </c>
      <c r="AT37" s="413"/>
      <c r="AU37" s="413"/>
      <c r="AV37" s="413"/>
      <c r="AW37" s="413"/>
      <c r="AX37" s="413"/>
      <c r="AY37" s="413"/>
      <c r="AZ37" s="413"/>
      <c r="BA37" s="413"/>
      <c r="BB37" s="413"/>
      <c r="BC37" s="413"/>
      <c r="BD37" s="413"/>
      <c r="BE37" s="413"/>
      <c r="BF37" s="413"/>
      <c r="BG37" s="413"/>
      <c r="BH37" s="413"/>
      <c r="BI37" s="413"/>
      <c r="BJ37" s="413"/>
      <c r="BK37" s="413"/>
      <c r="BL37" s="413"/>
      <c r="BN37" s="1">
        <f t="shared" si="21"/>
        <v>7</v>
      </c>
      <c r="CG37" s="28">
        <f t="shared" si="20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497,560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18">
        <f>Q17</f>
        <v>0</v>
      </c>
      <c r="R38" s="418"/>
      <c r="S38" s="418"/>
      <c r="T38" s="418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5">G33</f>
        <v>µL</v>
      </c>
      <c r="AQ38" s="63" t="s">
        <v>281</v>
      </c>
      <c r="AR38" s="412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1"/>
        <v>8</v>
      </c>
      <c r="CG38" s="28">
        <f t="shared" si="20"/>
        <v>1</v>
      </c>
      <c r="CZ38" s="1" t="s">
        <v>666</v>
      </c>
      <c r="DA38" s="1" t="s">
        <v>667</v>
      </c>
      <c r="DC38" s="1">
        <f ca="1">MAX(AO39:AO48)</f>
        <v>0.49624000000000001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2,440</v>
      </c>
      <c r="F39" s="400"/>
      <c r="G39" s="1" t="str">
        <f ca="1">G38</f>
        <v>µL</v>
      </c>
      <c r="H39" s="51" t="str">
        <f t="shared" ref="H39:H48" si="26">IF(I39="","",CONCATENATE(BN35-4,"ª"))</f>
        <v>1ª</v>
      </c>
      <c r="I39" s="402">
        <v>0.49621999999999999</v>
      </c>
      <c r="J39" s="402"/>
      <c r="K39" s="402">
        <v>20</v>
      </c>
      <c r="L39" s="402"/>
      <c r="M39" s="60" t="str">
        <f t="shared" ref="M39:M48" si="27">IF(I39="","","°C")</f>
        <v>°C</v>
      </c>
      <c r="Q39" s="411" t="s">
        <v>481</v>
      </c>
      <c r="R39" s="411"/>
      <c r="S39" s="411" t="s">
        <v>482</v>
      </c>
      <c r="T39" s="411"/>
      <c r="Z39" s="51">
        <f t="shared" ref="Z39:Z48" ca="1" si="28">IF(AQ39="","",(1/(AQ39-$AU$5)))</f>
        <v>1.0029257535080716</v>
      </c>
      <c r="AA39" s="51">
        <f t="shared" ref="AA39:AA48" ca="1" si="29">IF(AQ39="","",1-($AU$5/$AU$6))</f>
        <v>0.99985917933542445</v>
      </c>
      <c r="AB39" s="51">
        <f t="shared" ref="AB39:AB48" ca="1" si="30">IF(AO39="","",(1-($AU$7*(AR39-20))))</f>
        <v>0.99995500000000004</v>
      </c>
      <c r="AC39" s="51">
        <f t="shared" ref="AC39:AC48" ca="1" si="31">IF(AO39="","",AB39*AA39*Z39)</f>
        <v>1.0027393955335049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>
        <f t="shared" ref="AO39" ca="1" si="32">IF(I39="","",I39/AO36)</f>
        <v>0.49621999999999999</v>
      </c>
      <c r="AP39" s="51">
        <f t="shared" ref="AP39" ca="1" si="33">IF(AO39="","",AO39*AC39*AP36)</f>
        <v>497.57934285163577</v>
      </c>
      <c r="AQ39" s="51">
        <f t="shared" ref="AQ39:AQ48" ca="1" si="34">IF(AR39="","",(($AQ$7*AR39^5)+($AQ$6*AR39^4)+($AQ$5*AR39^3)+($AQ$4*AR39^2)+($AQ$3*AR39)+$AQ$2)/1000)</f>
        <v>0.99818118273772027</v>
      </c>
      <c r="AR39" s="26">
        <f t="shared" ref="AR39:AR48" ca="1" si="35">IF(AS39="","",ROUND((AZ39*K39^8)+(BA39*K39^7)+(BB39*K39^6)+(BC39*K39^5)+(BD39*K39^4)+(BE39*K39^3)+(BF39*K39^2)+(BG39*K39)+BH39,AV39))</f>
        <v>20.100000000000001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t="shared" ref="AV39" ca="1" si="36">IF(AU39="","",IF(AU39&gt;=1,0,LEN(AU39)-2))</f>
        <v>1</v>
      </c>
      <c r="AW39" s="51">
        <f ca="1">IF($BL39="","",VLOOKUP($BL39,'Controle dos padrões'!$A$74:$BP$93,AW$15,FALSE))</f>
        <v>0.10000000000000142</v>
      </c>
      <c r="AX39" s="51">
        <f ca="1">IF($BL39="","",VLOOKUP($BL39,'Controle dos padrões'!$A$74:$BP$93,AX$15,FALSE))</f>
        <v>3.5374328320040616E-2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6.5711077831950271E-5</v>
      </c>
      <c r="BF39" s="51">
        <f ca="1">IF($BL39="","",VLOOKUP($BL39,'Controle dos padrões'!$A$74:$BP$93,BF$15,FALSE))</f>
        <v>-4.6375269312513749E-3</v>
      </c>
      <c r="BG39" s="51">
        <f ca="1">IF($BL39="","",VLOOKUP($BL39,'Controle dos padrões'!$A$74:$BP$93,BG$15,FALSE))</f>
        <v>1.0970866723681396</v>
      </c>
      <c r="BH39" s="51">
        <f ca="1">IF($BL39="","",VLOOKUP($BL39,'Controle dos padrões'!$A$74:$BP$93,BH$15,FALSE))</f>
        <v>-0.53012839192736561</v>
      </c>
      <c r="BI39" s="51">
        <f ca="1">IF($BL39="","",VLOOKUP($BL39,'Controle dos padrões'!$A$74:$BP$93,BI$15,FALSE))</f>
        <v>0.1</v>
      </c>
      <c r="BJ39" s="51">
        <f t="shared" ref="BJ39" ca="1" si="37">IF(BI39="","",2)</f>
        <v>2</v>
      </c>
      <c r="BK39" s="51">
        <f t="shared" ref="BK39" ca="1" si="38">IF(BJ39="","",1000000)</f>
        <v>1000000</v>
      </c>
      <c r="BL39" s="51">
        <f ca="1">IF(K39="","",IF(K34="","",VLOOKUP(K34,'Controle dos padrões'!$CV$74:$CW$93,2,FALSE)))</f>
        <v>97</v>
      </c>
      <c r="BN39" s="1">
        <f t="shared" si="21"/>
        <v>9</v>
      </c>
      <c r="BP39" s="1">
        <f t="shared" ref="BP39" si="39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40">BZ40*CB41</f>
        <v>0.49756029080312075</v>
      </c>
      <c r="CA39" s="1" t="s">
        <v>88</v>
      </c>
      <c r="CB39" s="1">
        <f>VLOOKUP(CA39,'Unidades de medida'!$A$2:$B$9,2,FALSE)</f>
        <v>1</v>
      </c>
      <c r="CG39" s="28">
        <f t="shared" si="20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R1'!$S$4:$W$163,2,FALSE))</f>
        <v>0,060</v>
      </c>
      <c r="F40" s="400"/>
      <c r="G40" s="1" t="str">
        <f ca="1">G39</f>
        <v>µL</v>
      </c>
      <c r="H40" s="51" t="str">
        <f t="shared" si="26"/>
        <v>2ª</v>
      </c>
      <c r="I40" s="402">
        <v>0.49619000000000002</v>
      </c>
      <c r="J40" s="402"/>
      <c r="K40" s="402">
        <v>20</v>
      </c>
      <c r="L40" s="402"/>
      <c r="M40" s="60" t="str">
        <f t="shared" si="27"/>
        <v>°C</v>
      </c>
      <c r="O40" s="1" t="s">
        <v>477</v>
      </c>
      <c r="Q40" s="29" t="e">
        <f t="shared" ref="Q40" si="41">HLOOKUP(Q38,BP46:BU48,2,FALSE)</f>
        <v>#N/A</v>
      </c>
      <c r="R40" s="30" t="str">
        <f t="shared" ref="R40" si="42">G33</f>
        <v>µL</v>
      </c>
      <c r="S40" s="29" t="e">
        <f t="shared" ref="S40" si="43">HLOOKUP(Q38,BP46:BU48,3,FALSE)</f>
        <v>#N/A</v>
      </c>
      <c r="T40" s="30" t="str">
        <f t="shared" ref="T40" si="44">G33</f>
        <v>µL</v>
      </c>
      <c r="U40" s="61">
        <f t="shared" ref="U40" si="45"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ca="1" si="28"/>
        <v>1.0029257535080716</v>
      </c>
      <c r="AA40" s="51">
        <f t="shared" ca="1" si="29"/>
        <v>0.99985917933542445</v>
      </c>
      <c r="AB40" s="51">
        <f t="shared" ca="1" si="30"/>
        <v>0.99995500000000004</v>
      </c>
      <c r="AC40" s="51">
        <f t="shared" ca="1" si="31"/>
        <v>1.0027393955335049</v>
      </c>
      <c r="AD40" s="51">
        <f t="shared" ref="AD40" ca="1" si="46">IF(AN40="","",AD39)</f>
        <v>1E-3</v>
      </c>
      <c r="AE40" s="51">
        <f t="shared" ref="AE40" ca="1" si="47">IF(AN40="","",AE39)</f>
        <v>220</v>
      </c>
      <c r="AF40" s="51">
        <f t="shared" ref="AF40" ca="1" si="48">IF(AN40="","",AF39)</f>
        <v>1.0000000000000001E-5</v>
      </c>
      <c r="AG40" s="51">
        <f t="shared" ref="AG40" ca="1" si="49">IF(AN40="","",AG39)</f>
        <v>9.9999999996214228E-6</v>
      </c>
      <c r="AH40" s="51" t="str">
        <f t="shared" ref="AH40" ca="1" si="50">IF(AN40="","",AH39)</f>
        <v>g</v>
      </c>
      <c r="AI40" s="69">
        <f t="shared" ref="AI40" ca="1" si="51">IF(AN40="","",AI39)</f>
        <v>5</v>
      </c>
      <c r="AJ40" s="51">
        <f t="shared" ref="AJ40" ca="1" si="52">IF(AN40="","",AJ39)</f>
        <v>9.9999999996214228E-6</v>
      </c>
      <c r="AK40" s="51">
        <f t="shared" ref="AK40" ca="1" si="53">IF(AN40="","",AK39)</f>
        <v>3.0000000000000001E-5</v>
      </c>
      <c r="AL40" s="51">
        <f t="shared" ref="AL40" ca="1" si="54">IF(AN40="","",AL39)</f>
        <v>2</v>
      </c>
      <c r="AM40" s="51">
        <f t="shared" ref="AM40" ca="1" si="55">IF(AN40="","",AM39)</f>
        <v>1000000</v>
      </c>
      <c r="AN40" s="51">
        <f t="shared" ref="AN40" ca="1" si="56">IF(I40="","",AN39)</f>
        <v>9</v>
      </c>
      <c r="AO40" s="51">
        <f t="shared" ref="AO40" ca="1" si="57">IF(I40="","",I40/AO36)</f>
        <v>0.49619000000000002</v>
      </c>
      <c r="AP40" s="51">
        <f t="shared" ref="AP40" ca="1" si="58">IF(AO40="","",AO40*AC40*AP36)</f>
        <v>497.54926066976981</v>
      </c>
      <c r="AQ40" s="51">
        <f t="shared" ca="1" si="34"/>
        <v>0.99818118273772027</v>
      </c>
      <c r="AR40" s="26">
        <f t="shared" ca="1" si="35"/>
        <v>20.100000000000001</v>
      </c>
      <c r="AS40" s="51">
        <f t="shared" ref="AS40" ca="1" si="59">IF(BL40="","",AS39)</f>
        <v>15</v>
      </c>
      <c r="AT40" s="51">
        <f t="shared" ref="AT40" ca="1" si="60">IF(BL40="","",AT39)</f>
        <v>35</v>
      </c>
      <c r="AU40" s="51">
        <f t="shared" ref="AU40" ca="1" si="61">IF(BL40="","",AU39)</f>
        <v>0.1</v>
      </c>
      <c r="AV40" s="51">
        <f t="shared" ref="AV40" ca="1" si="62">IF(BL40="","",AV39)</f>
        <v>1</v>
      </c>
      <c r="AW40" s="51">
        <f t="shared" ref="AW40" ca="1" si="63">IF(BL40="","",AW39)</f>
        <v>0.10000000000000142</v>
      </c>
      <c r="AX40" s="51">
        <f t="shared" ref="AX40" ca="1" si="64">IF(BL40="","",AX39)</f>
        <v>3.5374328320040616E-2</v>
      </c>
      <c r="AY40" s="51">
        <f t="shared" ref="AY40" ca="1" si="65">IF(BL40="","",AY39)</f>
        <v>3</v>
      </c>
      <c r="AZ40" s="51">
        <f t="shared" ref="AZ40" ca="1" si="66">IF(BL40="","",AZ39)</f>
        <v>0</v>
      </c>
      <c r="BA40" s="51">
        <f t="shared" ref="BA40" ca="1" si="67">IF(BL40="","",BA39)</f>
        <v>0</v>
      </c>
      <c r="BB40" s="51">
        <f t="shared" ref="BB40" ca="1" si="68">IF(BL40="","",BB39)</f>
        <v>0</v>
      </c>
      <c r="BC40" s="51">
        <f t="shared" ref="BC40" ca="1" si="69">IF(BL40="","",BC39)</f>
        <v>0</v>
      </c>
      <c r="BD40" s="51">
        <f t="shared" ref="BD40" ca="1" si="70">IF(BL40="","",BD39)</f>
        <v>0</v>
      </c>
      <c r="BE40" s="51">
        <f t="shared" ref="BE40" ca="1" si="71">IF(BL40="","",BE39)</f>
        <v>6.5711077831950271E-5</v>
      </c>
      <c r="BF40" s="51">
        <f t="shared" ref="BF40" ca="1" si="72">IF(BL40="","",BF39)</f>
        <v>-4.6375269312513749E-3</v>
      </c>
      <c r="BG40" s="51">
        <f t="shared" ref="BG40" ca="1" si="73">IF(BL40="","",BG39)</f>
        <v>1.0970866723681396</v>
      </c>
      <c r="BH40" s="51">
        <f t="shared" ref="BH40" ca="1" si="74">IF(BL40="","",BH39)</f>
        <v>-0.53012839192736561</v>
      </c>
      <c r="BI40" s="51">
        <f t="shared" ref="BI40" ca="1" si="75">IF(BL40="","",BI39)</f>
        <v>0.1</v>
      </c>
      <c r="BJ40" s="51">
        <f t="shared" ref="BJ40" ca="1" si="76">IF(BL40="","",BJ39)</f>
        <v>2</v>
      </c>
      <c r="BK40" s="51">
        <f t="shared" ref="BK40" ca="1" si="77">IF(BL40="","",BK39)</f>
        <v>1000000</v>
      </c>
      <c r="BL40" s="51">
        <f t="shared" ref="BL40" ca="1" si="78">IF(K40="","",BL39)</f>
        <v>97</v>
      </c>
      <c r="BN40" s="1">
        <f t="shared" si="21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79">IF(OR(BZ39&lt;BR40,BZ39&gt;BS40),0,1)</f>
        <v>1</v>
      </c>
      <c r="BW40" s="1">
        <f t="shared" ref="BW40:BW42" si="80">BP40</f>
        <v>1</v>
      </c>
      <c r="BY40" s="1" t="s">
        <v>431</v>
      </c>
      <c r="BZ40" s="1">
        <f t="shared" ref="BZ40" ca="1" si="81">AP50</f>
        <v>497.56029080312072</v>
      </c>
      <c r="CA40" s="1" t="str">
        <f t="shared" ref="CA40" si="82">AP38</f>
        <v>µL</v>
      </c>
      <c r="CB40" s="1">
        <f>VLOOKUP(CA40,'Unidades de medida'!$A$2:$B$9,2,FALSE)</f>
        <v>1000</v>
      </c>
      <c r="CG40" s="28">
        <f t="shared" si="20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>
        <f ca="1">IFERROR(VLOOKUP(BM31,'Incerteza - R1'!$S$4:$W$163,5,FALSE),"")</f>
        <v>3</v>
      </c>
      <c r="C41" s="190">
        <f>IF(E34="",0,IF(E34&gt;=1,0,LEN(E34)-2))</f>
        <v>0</v>
      </c>
      <c r="D41" s="68" t="s">
        <v>614</v>
      </c>
      <c r="E41" s="400" t="str">
        <f ca="1">IF(E39="","",VLOOKUP(BM31,'Incerteza - R1'!$S$4:$W$163,3,FALSE))</f>
        <v>2,00</v>
      </c>
      <c r="F41" s="400"/>
      <c r="H41" s="51" t="str">
        <f t="shared" si="26"/>
        <v>3ª</v>
      </c>
      <c r="I41" s="402">
        <v>0.49617</v>
      </c>
      <c r="J41" s="402"/>
      <c r="K41" s="402">
        <v>20</v>
      </c>
      <c r="L41" s="402"/>
      <c r="M41" s="60" t="str">
        <f t="shared" si="27"/>
        <v>°C</v>
      </c>
      <c r="O41" s="417" t="s">
        <v>485</v>
      </c>
      <c r="P41" s="417"/>
      <c r="Q41" s="411" t="e">
        <f t="shared" ref="Q41" si="83">IF(Q40="-","-",IF(U41&lt;=Q40,"Aprovado",IF(U41&gt;Q40,"Reprovado","")))</f>
        <v>#N/A</v>
      </c>
      <c r="R41" s="411"/>
      <c r="S41" s="411" t="e">
        <f t="shared" ref="S41" si="84">IF(S40="-","-",IF(X41&lt;=S40,"Aprovado",IF(X41&gt;S40,"Reprovado","")))</f>
        <v>#N/A</v>
      </c>
      <c r="T41" s="411"/>
      <c r="U41" s="61">
        <f t="shared" ref="U41" ca="1" si="85">HLOOKUP(U40,V40:W41,2,FALSE)</f>
        <v>2.5</v>
      </c>
      <c r="V41" s="61">
        <f t="shared" ref="V41" ca="1" si="86">ABS(E39*1)</f>
        <v>2.44</v>
      </c>
      <c r="W41" s="61">
        <f t="shared" ref="W41" ca="1" si="87">ABS(E39*1)+(E40*1)</f>
        <v>2.5</v>
      </c>
      <c r="X41" s="61">
        <f t="shared" ref="X41" ca="1" si="88">MAX(AP39:AP48)-MIN(AP39:AP48)</f>
        <v>7.0191757687325662E-2</v>
      </c>
      <c r="Z41" s="51">
        <f t="shared" ca="1" si="28"/>
        <v>1.0029257535080716</v>
      </c>
      <c r="AA41" s="51">
        <f t="shared" ca="1" si="29"/>
        <v>0.99985917933542445</v>
      </c>
      <c r="AB41" s="51">
        <f t="shared" ca="1" si="30"/>
        <v>0.99995500000000004</v>
      </c>
      <c r="AC41" s="51">
        <f t="shared" ca="1" si="31"/>
        <v>1.0027393955335049</v>
      </c>
      <c r="AD41" s="51">
        <f t="shared" ref="AD41" ca="1" si="89">IF(AN41="","",AD39)</f>
        <v>1E-3</v>
      </c>
      <c r="AE41" s="51">
        <f t="shared" ref="AE41" ca="1" si="90">IF(AN41="","",AE39)</f>
        <v>220</v>
      </c>
      <c r="AF41" s="51">
        <f t="shared" ref="AF41" ca="1" si="91">IF(AN41="","",AF39)</f>
        <v>1.0000000000000001E-5</v>
      </c>
      <c r="AG41" s="51">
        <f t="shared" ref="AG41" ca="1" si="92">IF(AN41="","",AG39)</f>
        <v>9.9999999996214228E-6</v>
      </c>
      <c r="AH41" s="51" t="str">
        <f t="shared" ref="AH41" ca="1" si="93">IF(AN41="","",AH39)</f>
        <v>g</v>
      </c>
      <c r="AI41" s="69">
        <f t="shared" ref="AI41" ca="1" si="94">IF(AN41="","",AI39)</f>
        <v>5</v>
      </c>
      <c r="AJ41" s="51">
        <f t="shared" ref="AJ41" ca="1" si="95">IF(AN41="","",AJ39)</f>
        <v>9.9999999996214228E-6</v>
      </c>
      <c r="AK41" s="51">
        <f t="shared" ref="AK41" ca="1" si="96">IF(AN41="","",AK39)</f>
        <v>3.0000000000000001E-5</v>
      </c>
      <c r="AL41" s="51">
        <f t="shared" ref="AL41" ca="1" si="97">IF(AN41="","",AL39)</f>
        <v>2</v>
      </c>
      <c r="AM41" s="51">
        <f t="shared" ref="AM41" ca="1" si="98">IF(AN41="","",AM39)</f>
        <v>1000000</v>
      </c>
      <c r="AN41" s="51">
        <f t="shared" ref="AN41" ca="1" si="99">IF(I41="","",AN39)</f>
        <v>9</v>
      </c>
      <c r="AO41" s="51">
        <f t="shared" ref="AO41" ca="1" si="100">IF(I41="","",I41/AO36)</f>
        <v>0.49617</v>
      </c>
      <c r="AP41" s="51">
        <f t="shared" ref="AP41" ca="1" si="101">IF(AO41="","",AO41*AC41*AP36)</f>
        <v>497.52920588185913</v>
      </c>
      <c r="AQ41" s="51">
        <f t="shared" ca="1" si="34"/>
        <v>0.99818118273772027</v>
      </c>
      <c r="AR41" s="26">
        <f t="shared" ca="1" si="35"/>
        <v>20.100000000000001</v>
      </c>
      <c r="AS41" s="51">
        <f t="shared" ref="AS41" ca="1" si="102">IF(BL41="","",AS39)</f>
        <v>15</v>
      </c>
      <c r="AT41" s="51">
        <f t="shared" ref="AT41" ca="1" si="103">IF(BL41="","",AT39)</f>
        <v>35</v>
      </c>
      <c r="AU41" s="51">
        <f t="shared" ref="AU41" ca="1" si="104">IF(BL41="","",AU39)</f>
        <v>0.1</v>
      </c>
      <c r="AV41" s="51">
        <f t="shared" ref="AV41" ca="1" si="105">IF(BL41="","",AV39)</f>
        <v>1</v>
      </c>
      <c r="AW41" s="51">
        <f t="shared" ref="AW41" ca="1" si="106">IF(BL41="","",AW39)</f>
        <v>0.10000000000000142</v>
      </c>
      <c r="AX41" s="51">
        <f t="shared" ref="AX41" ca="1" si="107">IF(BL41="","",AX39)</f>
        <v>3.5374328320040616E-2</v>
      </c>
      <c r="AY41" s="51">
        <f t="shared" ref="AY41" ca="1" si="108">IF(BL41="","",AY39)</f>
        <v>3</v>
      </c>
      <c r="AZ41" s="51">
        <f t="shared" ref="AZ41" ca="1" si="109">IF(BL41="","",AZ39)</f>
        <v>0</v>
      </c>
      <c r="BA41" s="51">
        <f t="shared" ref="BA41" ca="1" si="110">IF(BL41="","",BA39)</f>
        <v>0</v>
      </c>
      <c r="BB41" s="51">
        <f t="shared" ref="BB41" ca="1" si="111">IF(BL41="","",BB39)</f>
        <v>0</v>
      </c>
      <c r="BC41" s="51">
        <f t="shared" ref="BC41" ca="1" si="112">IF(BL41="","",BC39)</f>
        <v>0</v>
      </c>
      <c r="BD41" s="51">
        <f t="shared" ref="BD41" ca="1" si="113">IF(BL41="","",BD39)</f>
        <v>0</v>
      </c>
      <c r="BE41" s="51">
        <f t="shared" ref="BE41" ca="1" si="114">IF(BL41="","",BE39)</f>
        <v>6.5711077831950271E-5</v>
      </c>
      <c r="BF41" s="51">
        <f t="shared" ref="BF41" ca="1" si="115">IF(BL41="","",BF39)</f>
        <v>-4.6375269312513749E-3</v>
      </c>
      <c r="BG41" s="51">
        <f t="shared" ref="BG41" ca="1" si="116">IF(BL41="","",BG39)</f>
        <v>1.0970866723681396</v>
      </c>
      <c r="BH41" s="51">
        <f t="shared" ref="BH41" ca="1" si="117">IF(BL41="","",BH39)</f>
        <v>-0.53012839192736561</v>
      </c>
      <c r="BI41" s="51">
        <f t="shared" ref="BI41" ca="1" si="118">IF(BL41="","",BI39)</f>
        <v>0.1</v>
      </c>
      <c r="BJ41" s="51">
        <f t="shared" ref="BJ41" ca="1" si="119">IF(BL41="","",BJ39)</f>
        <v>2</v>
      </c>
      <c r="BK41" s="51">
        <f t="shared" ref="BK41" ca="1" si="120">IF(BL41="","",BK39)</f>
        <v>1000000</v>
      </c>
      <c r="BL41" s="51">
        <f t="shared" ref="BL41" ca="1" si="121">IF(K41="","",BL39)</f>
        <v>97</v>
      </c>
      <c r="BN41" s="1">
        <f t="shared" si="21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122">IF(OR(BZ39&lt;BR41,BZ39&gt;BS41),0,1)</f>
        <v>0</v>
      </c>
      <c r="BW41" s="1">
        <f t="shared" si="80"/>
        <v>2</v>
      </c>
      <c r="CB41" s="1">
        <f t="shared" ref="CB41" si="123">CB39/CB40</f>
        <v>1E-3</v>
      </c>
      <c r="CG41" s="28">
        <f t="shared" si="20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124">IF(DB41="-","-",DB41/DC41)</f>
        <v>1.0000000000000001E-5</v>
      </c>
      <c r="DG41" s="1">
        <f t="shared" ref="DG41:DG49" si="125">CZ41</f>
        <v>2</v>
      </c>
      <c r="DH41" s="51">
        <f ca="1">HLOOKUP(CONCATENATE($CZ41,DH39),'Controle dos padrões'!$AB$96:$BY$116,CY39+1,FALSE)</f>
        <v>0</v>
      </c>
      <c r="DI41" s="1">
        <f t="shared" ref="DI41:DI49" ca="1" si="126">ABS(DH41)</f>
        <v>0</v>
      </c>
      <c r="DK41" s="51">
        <f ca="1">HLOOKUP(CONCATENATE($CZ41,DK39),'Controle dos padrões'!$AB$96:$CI$116,CY39+1,FALSE)</f>
        <v>0</v>
      </c>
      <c r="DL41" s="1">
        <f t="shared" ref="DL41:DL49" ca="1" si="127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R1'!$S$4:$W$163,4,FALSE))</f>
        <v>∞</v>
      </c>
      <c r="F42" s="400"/>
      <c r="H42" s="51" t="str">
        <f t="shared" si="26"/>
        <v>4ª</v>
      </c>
      <c r="I42" s="402">
        <v>0.49624000000000001</v>
      </c>
      <c r="J42" s="402"/>
      <c r="K42" s="402">
        <v>20</v>
      </c>
      <c r="L42" s="402"/>
      <c r="M42" s="60" t="str">
        <f t="shared" si="27"/>
        <v>°C</v>
      </c>
      <c r="Z42" s="51">
        <f t="shared" ca="1" si="28"/>
        <v>1.0029257535080716</v>
      </c>
      <c r="AA42" s="51">
        <f t="shared" ca="1" si="29"/>
        <v>0.99985917933542445</v>
      </c>
      <c r="AB42" s="51">
        <f t="shared" ca="1" si="30"/>
        <v>0.99995500000000004</v>
      </c>
      <c r="AC42" s="51">
        <f t="shared" ca="1" si="31"/>
        <v>1.0027393955335049</v>
      </c>
      <c r="AD42" s="51">
        <f t="shared" ref="AD42" ca="1" si="128">IF(AN42="","",AD39)</f>
        <v>1E-3</v>
      </c>
      <c r="AE42" s="51">
        <f t="shared" ref="AE42" ca="1" si="129">IF(AN42="","",AE39)</f>
        <v>220</v>
      </c>
      <c r="AF42" s="51">
        <f t="shared" ref="AF42" ca="1" si="130">IF(AN42="","",AF39)</f>
        <v>1.0000000000000001E-5</v>
      </c>
      <c r="AG42" s="51">
        <f t="shared" ref="AG42" ca="1" si="131">IF(AN42="","",AG39)</f>
        <v>9.9999999996214228E-6</v>
      </c>
      <c r="AH42" s="51" t="str">
        <f t="shared" ref="AH42" ca="1" si="132">IF(AN42="","",AH39)</f>
        <v>g</v>
      </c>
      <c r="AI42" s="69">
        <f t="shared" ref="AI42" ca="1" si="133">IF(AN42="","",AI39)</f>
        <v>5</v>
      </c>
      <c r="AJ42" s="51">
        <f t="shared" ref="AJ42" ca="1" si="134">IF(AN42="","",AJ39)</f>
        <v>9.9999999996214228E-6</v>
      </c>
      <c r="AK42" s="51">
        <f t="shared" ref="AK42" ca="1" si="135">IF(AN42="","",AK39)</f>
        <v>3.0000000000000001E-5</v>
      </c>
      <c r="AL42" s="51">
        <f t="shared" ref="AL42" ca="1" si="136">IF(AN42="","",AL39)</f>
        <v>2</v>
      </c>
      <c r="AM42" s="51">
        <f t="shared" ref="AM42" ca="1" si="137">IF(AN42="","",AM39)</f>
        <v>1000000</v>
      </c>
      <c r="AN42" s="51">
        <f t="shared" ref="AN42" ca="1" si="138">IF(I42="","",AN39)</f>
        <v>9</v>
      </c>
      <c r="AO42" s="51">
        <f t="shared" ref="AO42" ca="1" si="139">IF(I42="","",I42/AO36)</f>
        <v>0.49624000000000001</v>
      </c>
      <c r="AP42" s="51">
        <f t="shared" ref="AP42" ca="1" si="140">IF(AO42="","",AO42*AC42*AP36)</f>
        <v>497.59939763954645</v>
      </c>
      <c r="AQ42" s="51">
        <f t="shared" ca="1" si="34"/>
        <v>0.99818118273772027</v>
      </c>
      <c r="AR42" s="26">
        <f t="shared" ca="1" si="35"/>
        <v>20.100000000000001</v>
      </c>
      <c r="AS42" s="51">
        <f t="shared" ref="AS42" ca="1" si="141">IF(BL42="","",AS39)</f>
        <v>15</v>
      </c>
      <c r="AT42" s="51">
        <f t="shared" ref="AT42" ca="1" si="142">IF(BL42="","",AT39)</f>
        <v>35</v>
      </c>
      <c r="AU42" s="51">
        <f t="shared" ref="AU42" ca="1" si="143">IF(BL42="","",AU39)</f>
        <v>0.1</v>
      </c>
      <c r="AV42" s="51">
        <f t="shared" ref="AV42" ca="1" si="144">IF(BL42="","",AV39)</f>
        <v>1</v>
      </c>
      <c r="AW42" s="51">
        <f t="shared" ref="AW42" ca="1" si="145">IF(BL42="","",AW39)</f>
        <v>0.10000000000000142</v>
      </c>
      <c r="AX42" s="51">
        <f t="shared" ref="AX42" ca="1" si="146">IF(BL42="","",AX39)</f>
        <v>3.5374328320040616E-2</v>
      </c>
      <c r="AY42" s="51">
        <f t="shared" ref="AY42" ca="1" si="147">IF(BL42="","",AY39)</f>
        <v>3</v>
      </c>
      <c r="AZ42" s="51">
        <f t="shared" ref="AZ42" ca="1" si="148">IF(BL42="","",AZ39)</f>
        <v>0</v>
      </c>
      <c r="BA42" s="51">
        <f t="shared" ref="BA42" ca="1" si="149">IF(BL42="","",BA39)</f>
        <v>0</v>
      </c>
      <c r="BB42" s="51">
        <f t="shared" ref="BB42" ca="1" si="150">IF(BL42="","",BB39)</f>
        <v>0</v>
      </c>
      <c r="BC42" s="51">
        <f t="shared" ref="BC42" ca="1" si="151">IF(BL42="","",BC39)</f>
        <v>0</v>
      </c>
      <c r="BD42" s="51">
        <f t="shared" ref="BD42" ca="1" si="152">IF(BL42="","",BD39)</f>
        <v>0</v>
      </c>
      <c r="BE42" s="51">
        <f t="shared" ref="BE42" ca="1" si="153">IF(BL42="","",BE39)</f>
        <v>6.5711077831950271E-5</v>
      </c>
      <c r="BF42" s="51">
        <f t="shared" ref="BF42" ca="1" si="154">IF(BL42="","",BF39)</f>
        <v>-4.6375269312513749E-3</v>
      </c>
      <c r="BG42" s="51">
        <f t="shared" ref="BG42" ca="1" si="155">IF(BL42="","",BG39)</f>
        <v>1.0970866723681396</v>
      </c>
      <c r="BH42" s="51">
        <f t="shared" ref="BH42" ca="1" si="156">IF(BL42="","",BH39)</f>
        <v>-0.53012839192736561</v>
      </c>
      <c r="BI42" s="51">
        <f t="shared" ref="BI42" ca="1" si="157">IF(BL42="","",BI39)</f>
        <v>0.1</v>
      </c>
      <c r="BJ42" s="51">
        <f t="shared" ref="BJ42" ca="1" si="158">IF(BL42="","",BJ39)</f>
        <v>2</v>
      </c>
      <c r="BK42" s="51">
        <f t="shared" ref="BK42" ca="1" si="159">IF(BL42="","",BK39)</f>
        <v>1000000</v>
      </c>
      <c r="BL42" s="51">
        <f t="shared" ref="BL42" ca="1" si="160">IF(K42="","",BL39)</f>
        <v>97</v>
      </c>
      <c r="BN42" s="1">
        <f t="shared" si="21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161">IF(OR(BZ39&lt;BR42,BZ39&gt;BS42),0,1)</f>
        <v>0</v>
      </c>
      <c r="BW42" s="1">
        <f t="shared" si="80"/>
        <v>3</v>
      </c>
      <c r="BY42" s="51" t="s">
        <v>39</v>
      </c>
      <c r="BZ42" s="51">
        <f t="shared" ref="BZ42" ca="1" si="162">VLOOKUP(VLOOKUP(1,BV40:BW42,2,FALSE),BP40:BU42,5,FALSE)</f>
        <v>0.05</v>
      </c>
      <c r="CA42" s="51" t="str">
        <f t="shared" ref="CA42" ca="1" si="163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0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124"/>
        <v>1.5E-5</v>
      </c>
      <c r="DF42" s="1">
        <f ca="1">IF(CY42=1,MAX(DE40:DE42),"-")</f>
        <v>1.5E-5</v>
      </c>
      <c r="DG42" s="1">
        <f t="shared" si="125"/>
        <v>3</v>
      </c>
      <c r="DH42" s="51">
        <f ca="1">HLOOKUP(CONCATENATE($CZ42,DH39),'Controle dos padrões'!$AB$96:$BY$116,CY39+1,FALSE)</f>
        <v>9.9999999996214228E-6</v>
      </c>
      <c r="DI42" s="1">
        <f t="shared" ca="1" si="126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127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26"/>
        <v>5ª</v>
      </c>
      <c r="I43" s="402">
        <v>0.49620999999999998</v>
      </c>
      <c r="J43" s="402"/>
      <c r="K43" s="402">
        <v>20</v>
      </c>
      <c r="L43" s="402"/>
      <c r="M43" s="60" t="str">
        <f t="shared" si="27"/>
        <v>°C</v>
      </c>
      <c r="O43" s="1" t="str">
        <f t="shared" ref="O43" si="164">IF(Q38=BU46,"Critério cliente :","")</f>
        <v/>
      </c>
      <c r="R43" s="408"/>
      <c r="S43" s="410"/>
      <c r="T43" s="195"/>
      <c r="Z43" s="51">
        <f t="shared" ca="1" si="28"/>
        <v>1.0029257535080716</v>
      </c>
      <c r="AA43" s="51">
        <f t="shared" ca="1" si="29"/>
        <v>0.99985917933542445</v>
      </c>
      <c r="AB43" s="51">
        <f t="shared" ca="1" si="30"/>
        <v>0.99995500000000004</v>
      </c>
      <c r="AC43" s="51">
        <f t="shared" ca="1" si="31"/>
        <v>1.0027393955335049</v>
      </c>
      <c r="AD43" s="51">
        <f t="shared" ref="AD43" ca="1" si="165">IF(AN43="","",AD39)</f>
        <v>1E-3</v>
      </c>
      <c r="AE43" s="51">
        <f t="shared" ref="AE43" ca="1" si="166">IF(AN43="","",AE39)</f>
        <v>220</v>
      </c>
      <c r="AF43" s="51">
        <f t="shared" ref="AF43" ca="1" si="167">IF(AN43="","",AF39)</f>
        <v>1.0000000000000001E-5</v>
      </c>
      <c r="AG43" s="51">
        <f t="shared" ref="AG43" ca="1" si="168">IF(AN43="","",AG39)</f>
        <v>9.9999999996214228E-6</v>
      </c>
      <c r="AH43" s="51" t="str">
        <f t="shared" ref="AH43" ca="1" si="169">IF(AN43="","",AH39)</f>
        <v>g</v>
      </c>
      <c r="AI43" s="69">
        <f t="shared" ref="AI43" ca="1" si="170">IF(AN43="","",AI39)</f>
        <v>5</v>
      </c>
      <c r="AJ43" s="51">
        <f t="shared" ref="AJ43" ca="1" si="171">IF(AN43="","",AJ39)</f>
        <v>9.9999999996214228E-6</v>
      </c>
      <c r="AK43" s="51">
        <f t="shared" ref="AK43" ca="1" si="172">IF(AN43="","",AK39)</f>
        <v>3.0000000000000001E-5</v>
      </c>
      <c r="AL43" s="51">
        <f t="shared" ref="AL43" ca="1" si="173">IF(AN43="","",AL39)</f>
        <v>2</v>
      </c>
      <c r="AM43" s="51">
        <f t="shared" ref="AM43" ca="1" si="174">IF(AN43="","",AM39)</f>
        <v>1000000</v>
      </c>
      <c r="AN43" s="51">
        <f t="shared" ref="AN43" ca="1" si="175">IF(I43="","",AN39)</f>
        <v>9</v>
      </c>
      <c r="AO43" s="51">
        <f t="shared" ref="AO43" ca="1" si="176">IF(I43="","",I43/AO36)</f>
        <v>0.49620999999999998</v>
      </c>
      <c r="AP43" s="51">
        <f t="shared" ref="AP43" ca="1" si="177">IF(AO43="","",AO43*AC43*AP36)</f>
        <v>497.56931545768049</v>
      </c>
      <c r="AQ43" s="51">
        <f t="shared" ca="1" si="34"/>
        <v>0.99818118273772027</v>
      </c>
      <c r="AR43" s="26">
        <f t="shared" ca="1" si="35"/>
        <v>20.100000000000001</v>
      </c>
      <c r="AS43" s="51">
        <f t="shared" ref="AS43" ca="1" si="178">IF(BL43="","",AS39)</f>
        <v>15</v>
      </c>
      <c r="AT43" s="51">
        <f t="shared" ref="AT43" ca="1" si="179">IF(BL43="","",AT39)</f>
        <v>35</v>
      </c>
      <c r="AU43" s="51">
        <f t="shared" ref="AU43" ca="1" si="180">IF(BL43="","",AU39)</f>
        <v>0.1</v>
      </c>
      <c r="AV43" s="51">
        <f t="shared" ref="AV43" ca="1" si="181">IF(BL43="","",AV39)</f>
        <v>1</v>
      </c>
      <c r="AW43" s="51">
        <f t="shared" ref="AW43" ca="1" si="182">IF(BL43="","",AW39)</f>
        <v>0.10000000000000142</v>
      </c>
      <c r="AX43" s="51">
        <f t="shared" ref="AX43" ca="1" si="183">IF(BL43="","",AX39)</f>
        <v>3.5374328320040616E-2</v>
      </c>
      <c r="AY43" s="51">
        <f t="shared" ref="AY43" ca="1" si="184">IF(BL43="","",AY39)</f>
        <v>3</v>
      </c>
      <c r="AZ43" s="51">
        <f t="shared" ref="AZ43" ca="1" si="185">IF(BL43="","",AZ39)</f>
        <v>0</v>
      </c>
      <c r="BA43" s="51">
        <f t="shared" ref="BA43" ca="1" si="186">IF(BL43="","",BA39)</f>
        <v>0</v>
      </c>
      <c r="BB43" s="51">
        <f t="shared" ref="BB43" ca="1" si="187">IF(BL43="","",BB39)</f>
        <v>0</v>
      </c>
      <c r="BC43" s="51">
        <f t="shared" ref="BC43" ca="1" si="188">IF(BL43="","",BC39)</f>
        <v>0</v>
      </c>
      <c r="BD43" s="51">
        <f t="shared" ref="BD43" ca="1" si="189">IF(BL43="","",BD39)</f>
        <v>0</v>
      </c>
      <c r="BE43" s="51">
        <f t="shared" ref="BE43" ca="1" si="190">IF(BL43="","",BE39)</f>
        <v>6.5711077831950271E-5</v>
      </c>
      <c r="BF43" s="51">
        <f t="shared" ref="BF43" ca="1" si="191">IF(BL43="","",BF39)</f>
        <v>-4.6375269312513749E-3</v>
      </c>
      <c r="BG43" s="51">
        <f t="shared" ref="BG43" ca="1" si="192">IF(BL43="","",BG39)</f>
        <v>1.0970866723681396</v>
      </c>
      <c r="BH43" s="51">
        <f t="shared" ref="BH43" ca="1" si="193">IF(BL43="","",BH39)</f>
        <v>-0.53012839192736561</v>
      </c>
      <c r="BI43" s="51">
        <f t="shared" ref="BI43" ca="1" si="194">IF(BL43="","",BI39)</f>
        <v>0.1</v>
      </c>
      <c r="BJ43" s="51">
        <f t="shared" ref="BJ43" ca="1" si="195">IF(BL43="","",BJ39)</f>
        <v>2</v>
      </c>
      <c r="BK43" s="51">
        <f t="shared" ref="BK43" ca="1" si="196">IF(BL43="","",BK39)</f>
        <v>1000000</v>
      </c>
      <c r="BL43" s="51">
        <f t="shared" ref="BL43" ca="1" si="197">IF(K43="","",BL39)</f>
        <v>97</v>
      </c>
      <c r="BN43" s="1">
        <f t="shared" si="21"/>
        <v>13</v>
      </c>
      <c r="CB43" s="1">
        <f t="shared" ref="CB43" ca="1" si="198">CB40/CB42</f>
        <v>1</v>
      </c>
      <c r="CG43" s="28">
        <f t="shared" si="20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124"/>
        <v>7.4999999999999993E-5</v>
      </c>
      <c r="DF43" s="1" t="str">
        <f ca="1">IF(CY43=1,MAX(DE40:DE43),"-")</f>
        <v>-</v>
      </c>
      <c r="DG43" s="1">
        <f t="shared" si="125"/>
        <v>4</v>
      </c>
      <c r="DH43" s="51">
        <f ca="1">HLOOKUP(CONCATENATE($CZ43,DH39),'Controle dos padrões'!$AB$96:$BY$116,CY39+1,FALSE)</f>
        <v>1.0000000003174137E-5</v>
      </c>
      <c r="DI43" s="1">
        <f t="shared" ca="1" si="126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127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26"/>
        <v>6ª</v>
      </c>
      <c r="I44" s="402">
        <v>0.49618000000000001</v>
      </c>
      <c r="J44" s="402"/>
      <c r="K44" s="402">
        <v>20</v>
      </c>
      <c r="L44" s="402"/>
      <c r="M44" s="60" t="str">
        <f t="shared" si="27"/>
        <v>°C</v>
      </c>
      <c r="O44" s="1" t="str">
        <f t="shared" ref="O44" si="199">IF(OR(K34="",K39=""),"","Temp. média corrigida:")</f>
        <v>Temp. média corrigida:</v>
      </c>
      <c r="S44" s="400" t="str">
        <f ca="1">IF(OR(K34="",K39=""),"",IF(COUNT(K39:L48)&lt;1,"",CONCATENATE(FIXED(AR50,AV39)," ",M39)))</f>
        <v>20,1 °C</v>
      </c>
      <c r="T44" s="400"/>
      <c r="Z44" s="51">
        <f t="shared" ca="1" si="28"/>
        <v>1.0029257535080716</v>
      </c>
      <c r="AA44" s="51">
        <f t="shared" ca="1" si="29"/>
        <v>0.99985917933542445</v>
      </c>
      <c r="AB44" s="51">
        <f t="shared" ca="1" si="30"/>
        <v>0.99995500000000004</v>
      </c>
      <c r="AC44" s="51">
        <f t="shared" ca="1" si="31"/>
        <v>1.0027393955335049</v>
      </c>
      <c r="AD44" s="51">
        <f t="shared" ref="AD44" ca="1" si="200">IF(AN44="","",AD39)</f>
        <v>1E-3</v>
      </c>
      <c r="AE44" s="51">
        <f t="shared" ref="AE44" ca="1" si="201">IF(AN44="","",AE39)</f>
        <v>220</v>
      </c>
      <c r="AF44" s="51">
        <f t="shared" ref="AF44" ca="1" si="202">IF(AN44="","",AF39)</f>
        <v>1.0000000000000001E-5</v>
      </c>
      <c r="AG44" s="51">
        <f t="shared" ref="AG44" ca="1" si="203">IF(AN44="","",AG39)</f>
        <v>9.9999999996214228E-6</v>
      </c>
      <c r="AH44" s="51" t="str">
        <f t="shared" ref="AH44" ca="1" si="204">IF(AN44="","",AH39)</f>
        <v>g</v>
      </c>
      <c r="AI44" s="69">
        <f t="shared" ref="AI44" ca="1" si="205">IF(AN44="","",AI39)</f>
        <v>5</v>
      </c>
      <c r="AJ44" s="51">
        <f t="shared" ref="AJ44" ca="1" si="206">IF(AN44="","",AJ39)</f>
        <v>9.9999999996214228E-6</v>
      </c>
      <c r="AK44" s="51">
        <f t="shared" ref="AK44" ca="1" si="207">IF(AN44="","",AK39)</f>
        <v>3.0000000000000001E-5</v>
      </c>
      <c r="AL44" s="51">
        <f t="shared" ref="AL44" ca="1" si="208">IF(AN44="","",AL39)</f>
        <v>2</v>
      </c>
      <c r="AM44" s="51">
        <f t="shared" ref="AM44" ca="1" si="209">IF(AN44="","",AM39)</f>
        <v>1000000</v>
      </c>
      <c r="AN44" s="51">
        <f t="shared" ref="AN44" ca="1" si="210">IF(I44="","",AN39)</f>
        <v>9</v>
      </c>
      <c r="AO44" s="51">
        <f t="shared" ref="AO44" ca="1" si="211">IF(I44="","",I44/AO36)</f>
        <v>0.49618000000000001</v>
      </c>
      <c r="AP44" s="51">
        <f t="shared" ref="AP44" ca="1" si="212">IF(AO44="","",AO44*AC44*AP36)</f>
        <v>497.53923327581447</v>
      </c>
      <c r="AQ44" s="51">
        <f t="shared" ca="1" si="34"/>
        <v>0.99818118273772027</v>
      </c>
      <c r="AR44" s="26">
        <f t="shared" ca="1" si="35"/>
        <v>20.100000000000001</v>
      </c>
      <c r="AS44" s="51">
        <f t="shared" ref="AS44" ca="1" si="213">IF(BL44="","",AS39)</f>
        <v>15</v>
      </c>
      <c r="AT44" s="51">
        <f t="shared" ref="AT44" ca="1" si="214">IF(BL44="","",AT39)</f>
        <v>35</v>
      </c>
      <c r="AU44" s="51">
        <f t="shared" ref="AU44" ca="1" si="215">IF(BL44="","",AU39)</f>
        <v>0.1</v>
      </c>
      <c r="AV44" s="51">
        <f t="shared" ref="AV44" ca="1" si="216">IF(BL44="","",AV39)</f>
        <v>1</v>
      </c>
      <c r="AW44" s="51">
        <f t="shared" ref="AW44" ca="1" si="217">IF(BL44="","",AW39)</f>
        <v>0.10000000000000142</v>
      </c>
      <c r="AX44" s="51">
        <f t="shared" ref="AX44" ca="1" si="218">IF(BL44="","",AX39)</f>
        <v>3.5374328320040616E-2</v>
      </c>
      <c r="AY44" s="51">
        <f t="shared" ref="AY44" ca="1" si="219">IF(BL44="","",AY39)</f>
        <v>3</v>
      </c>
      <c r="AZ44" s="51">
        <f t="shared" ref="AZ44" ca="1" si="220">IF(BL44="","",AZ39)</f>
        <v>0</v>
      </c>
      <c r="BA44" s="51">
        <f t="shared" ref="BA44" ca="1" si="221">IF(BL44="","",BA39)</f>
        <v>0</v>
      </c>
      <c r="BB44" s="51">
        <f t="shared" ref="BB44" ca="1" si="222">IF(BL44="","",BB39)</f>
        <v>0</v>
      </c>
      <c r="BC44" s="51">
        <f t="shared" ref="BC44" ca="1" si="223">IF(BL44="","",BC39)</f>
        <v>0</v>
      </c>
      <c r="BD44" s="51">
        <f t="shared" ref="BD44" ca="1" si="224">IF(BL44="","",BD39)</f>
        <v>0</v>
      </c>
      <c r="BE44" s="51">
        <f t="shared" ref="BE44" ca="1" si="225">IF(BL44="","",BE39)</f>
        <v>6.5711077831950271E-5</v>
      </c>
      <c r="BF44" s="51">
        <f t="shared" ref="BF44" ca="1" si="226">IF(BL44="","",BF39)</f>
        <v>-4.6375269312513749E-3</v>
      </c>
      <c r="BG44" s="51">
        <f t="shared" ref="BG44" ca="1" si="227">IF(BL44="","",BG39)</f>
        <v>1.0970866723681396</v>
      </c>
      <c r="BH44" s="51">
        <f t="shared" ref="BH44" ca="1" si="228">IF(BL44="","",BH39)</f>
        <v>-0.53012839192736561</v>
      </c>
      <c r="BI44" s="51">
        <f t="shared" ref="BI44" ca="1" si="229">IF(BL44="","",BI39)</f>
        <v>0.1</v>
      </c>
      <c r="BJ44" s="51">
        <f t="shared" ref="BJ44" ca="1" si="230">IF(BL44="","",BJ39)</f>
        <v>2</v>
      </c>
      <c r="BK44" s="51">
        <f t="shared" ref="BK44" ca="1" si="231">IF(BL44="","",BK39)</f>
        <v>1000000</v>
      </c>
      <c r="BL44" s="51">
        <f t="shared" ref="BL44" ca="1" si="232">IF(K44="","",BL39)</f>
        <v>97</v>
      </c>
      <c r="BN44" s="1">
        <f t="shared" si="21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233">CA40</f>
        <v>µL</v>
      </c>
      <c r="CG44" s="28">
        <f t="shared" si="20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124"/>
        <v>2.0000000000000001E-4</v>
      </c>
      <c r="DF44" s="1" t="str">
        <f ca="1">IF(CY44=1,MAX(DE40:DE44),"-")</f>
        <v>-</v>
      </c>
      <c r="DG44" s="1">
        <f t="shared" si="125"/>
        <v>5</v>
      </c>
      <c r="DH44" s="51">
        <f ca="1">HLOOKUP(CONCATENATE($CZ44,DH39),'Controle dos padrões'!$AB$96:$BY$116,CY39+1,FALSE)</f>
        <v>-1.0000000000331966E-4</v>
      </c>
      <c r="DI44" s="1">
        <f t="shared" ca="1" si="126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127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26"/>
        <v>7ª</v>
      </c>
      <c r="I45" s="402">
        <v>0.49623</v>
      </c>
      <c r="J45" s="402"/>
      <c r="K45" s="402">
        <v>20</v>
      </c>
      <c r="L45" s="402"/>
      <c r="M45" s="60" t="str">
        <f t="shared" si="27"/>
        <v>°C</v>
      </c>
      <c r="O45" s="1" t="str">
        <f t="shared" ref="O45" si="234"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28"/>
        <v>1.0029257535080716</v>
      </c>
      <c r="AA45" s="51">
        <f t="shared" ca="1" si="29"/>
        <v>0.99985917933542445</v>
      </c>
      <c r="AB45" s="51">
        <f t="shared" ca="1" si="30"/>
        <v>0.99995500000000004</v>
      </c>
      <c r="AC45" s="51">
        <f t="shared" ca="1" si="31"/>
        <v>1.0027393955335049</v>
      </c>
      <c r="AD45" s="51">
        <f t="shared" ref="AD45" ca="1" si="235">IF(AN45="","",AD39)</f>
        <v>1E-3</v>
      </c>
      <c r="AE45" s="51">
        <f t="shared" ref="AE45" ca="1" si="236">IF(AN45="","",AE39)</f>
        <v>220</v>
      </c>
      <c r="AF45" s="51">
        <f t="shared" ref="AF45" ca="1" si="237">IF(AN45="","",AF39)</f>
        <v>1.0000000000000001E-5</v>
      </c>
      <c r="AG45" s="51">
        <f t="shared" ref="AG45" ca="1" si="238">IF(AN45="","",AG39)</f>
        <v>9.9999999996214228E-6</v>
      </c>
      <c r="AH45" s="51" t="str">
        <f t="shared" ref="AH45" ca="1" si="239">IF(AN45="","",AH39)</f>
        <v>g</v>
      </c>
      <c r="AI45" s="69">
        <f t="shared" ref="AI45" ca="1" si="240">IF(AN45="","",AI39)</f>
        <v>5</v>
      </c>
      <c r="AJ45" s="51">
        <f t="shared" ref="AJ45" ca="1" si="241">IF(AN45="","",AJ39)</f>
        <v>9.9999999996214228E-6</v>
      </c>
      <c r="AK45" s="51">
        <f t="shared" ref="AK45" ca="1" si="242">IF(AN45="","",AK39)</f>
        <v>3.0000000000000001E-5</v>
      </c>
      <c r="AL45" s="51">
        <f t="shared" ref="AL45" ca="1" si="243">IF(AN45="","",AL39)</f>
        <v>2</v>
      </c>
      <c r="AM45" s="51">
        <f t="shared" ref="AM45" ca="1" si="244">IF(AN45="","",AM39)</f>
        <v>1000000</v>
      </c>
      <c r="AN45" s="51">
        <f t="shared" ref="AN45" ca="1" si="245">IF(I45="","",AN39)</f>
        <v>9</v>
      </c>
      <c r="AO45" s="51">
        <f t="shared" ref="AO45" ca="1" si="246">IF(I45="","",I45/AO36)</f>
        <v>0.49623</v>
      </c>
      <c r="AP45" s="51">
        <f t="shared" ref="AP45" ca="1" si="247">IF(AO45="","",AO45*AC45*AP36)</f>
        <v>497.58937024559111</v>
      </c>
      <c r="AQ45" s="51">
        <f t="shared" ca="1" si="34"/>
        <v>0.99818118273772027</v>
      </c>
      <c r="AR45" s="26">
        <f t="shared" ca="1" si="35"/>
        <v>20.100000000000001</v>
      </c>
      <c r="AS45" s="51">
        <f t="shared" ref="AS45" ca="1" si="248">IF(BL45="","",AS39)</f>
        <v>15</v>
      </c>
      <c r="AT45" s="51">
        <f t="shared" ref="AT45" ca="1" si="249">IF(BL45="","",AT39)</f>
        <v>35</v>
      </c>
      <c r="AU45" s="51">
        <f t="shared" ref="AU45" ca="1" si="250">IF(BL45="","",AU39)</f>
        <v>0.1</v>
      </c>
      <c r="AV45" s="51">
        <f t="shared" ref="AV45" ca="1" si="251">IF(BL45="","",AV39)</f>
        <v>1</v>
      </c>
      <c r="AW45" s="51">
        <f t="shared" ref="AW45" ca="1" si="252">IF(BL45="","",AW39)</f>
        <v>0.10000000000000142</v>
      </c>
      <c r="AX45" s="51">
        <f t="shared" ref="AX45" ca="1" si="253">IF(BL45="","",AX39)</f>
        <v>3.5374328320040616E-2</v>
      </c>
      <c r="AY45" s="51">
        <f t="shared" ref="AY45" ca="1" si="254">IF(BL45="","",AY39)</f>
        <v>3</v>
      </c>
      <c r="AZ45" s="51">
        <f t="shared" ref="AZ45" ca="1" si="255">IF(BL45="","",AZ39)</f>
        <v>0</v>
      </c>
      <c r="BA45" s="51">
        <f t="shared" ref="BA45" ca="1" si="256">IF(BL45="","",BA39)</f>
        <v>0</v>
      </c>
      <c r="BB45" s="51">
        <f t="shared" ref="BB45" ca="1" si="257">IF(BL45="","",BB39)</f>
        <v>0</v>
      </c>
      <c r="BC45" s="51">
        <f t="shared" ref="BC45" ca="1" si="258">IF(BL45="","",BC39)</f>
        <v>0</v>
      </c>
      <c r="BD45" s="51">
        <f t="shared" ref="BD45" ca="1" si="259">IF(BL45="","",BD39)</f>
        <v>0</v>
      </c>
      <c r="BE45" s="51">
        <f t="shared" ref="BE45" ca="1" si="260">IF(BL45="","",BE39)</f>
        <v>6.5711077831950271E-5</v>
      </c>
      <c r="BF45" s="51">
        <f t="shared" ref="BF45" ca="1" si="261">IF(BL45="","",BF39)</f>
        <v>-4.6375269312513749E-3</v>
      </c>
      <c r="BG45" s="51">
        <f t="shared" ref="BG45" ca="1" si="262">IF(BL45="","",BG39)</f>
        <v>1.0970866723681396</v>
      </c>
      <c r="BH45" s="51">
        <f t="shared" ref="BH45" ca="1" si="263">IF(BL45="","",BH39)</f>
        <v>-0.53012839192736561</v>
      </c>
      <c r="BI45" s="51">
        <f t="shared" ref="BI45" ca="1" si="264">IF(BL45="","",BI39)</f>
        <v>0.1</v>
      </c>
      <c r="BJ45" s="51">
        <f t="shared" ref="BJ45" ca="1" si="265">IF(BL45="","",BJ39)</f>
        <v>2</v>
      </c>
      <c r="BK45" s="51">
        <f t="shared" ref="BK45" ca="1" si="266">IF(BL45="","",BK39)</f>
        <v>1000000</v>
      </c>
      <c r="BL45" s="51">
        <f t="shared" ref="BL45" ca="1" si="267">IF(K45="","",BL39)</f>
        <v>97</v>
      </c>
      <c r="BN45" s="1">
        <f t="shared" si="21"/>
        <v>15</v>
      </c>
      <c r="CG45" s="28">
        <f t="shared" si="20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124"/>
        <v>2.5000000000000001E-4</v>
      </c>
      <c r="DF45" s="1" t="str">
        <f ca="1">IF(CY45=1,MAX(DE40:DE45),"-")</f>
        <v>-</v>
      </c>
      <c r="DG45" s="1">
        <f t="shared" si="125"/>
        <v>6</v>
      </c>
      <c r="DH45" s="51">
        <f ca="1">HLOOKUP(CONCATENATE($CZ45,DH39),'Controle dos padrões'!$AB$96:$BY$116,CY39+1,FALSE)</f>
        <v>-1.0000000000331966E-4</v>
      </c>
      <c r="DI45" s="1">
        <f t="shared" ca="1" si="126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127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26"/>
        <v>8ª</v>
      </c>
      <c r="I46" s="402">
        <v>0.49620999999999998</v>
      </c>
      <c r="J46" s="402"/>
      <c r="K46" s="402">
        <v>20</v>
      </c>
      <c r="L46" s="402"/>
      <c r="M46" s="60" t="str">
        <f t="shared" si="27"/>
        <v>°C</v>
      </c>
      <c r="Z46" s="51">
        <f t="shared" ca="1" si="28"/>
        <v>1.0029257535080716</v>
      </c>
      <c r="AA46" s="51">
        <f t="shared" ca="1" si="29"/>
        <v>0.99985917933542445</v>
      </c>
      <c r="AB46" s="51">
        <f t="shared" ca="1" si="30"/>
        <v>0.99995500000000004</v>
      </c>
      <c r="AC46" s="51">
        <f t="shared" ca="1" si="31"/>
        <v>1.0027393955335049</v>
      </c>
      <c r="AD46" s="51">
        <f t="shared" ref="AD46" ca="1" si="268">IF(AN46="","",AD39)</f>
        <v>1E-3</v>
      </c>
      <c r="AE46" s="51">
        <f t="shared" ref="AE46" ca="1" si="269">IF(AN46="","",AE39)</f>
        <v>220</v>
      </c>
      <c r="AF46" s="51">
        <f t="shared" ref="AF46" ca="1" si="270">IF(AN46="","",AF39)</f>
        <v>1.0000000000000001E-5</v>
      </c>
      <c r="AG46" s="51">
        <f t="shared" ref="AG46" ca="1" si="271">IF(AN46="","",AG39)</f>
        <v>9.9999999996214228E-6</v>
      </c>
      <c r="AH46" s="51" t="str">
        <f t="shared" ref="AH46" ca="1" si="272">IF(AN46="","",AH39)</f>
        <v>g</v>
      </c>
      <c r="AI46" s="69">
        <f t="shared" ref="AI46" ca="1" si="273">IF(AN46="","",AI39)</f>
        <v>5</v>
      </c>
      <c r="AJ46" s="51">
        <f t="shared" ref="AJ46" ca="1" si="274">IF(AN46="","",AJ39)</f>
        <v>9.9999999996214228E-6</v>
      </c>
      <c r="AK46" s="51">
        <f t="shared" ref="AK46" ca="1" si="275">IF(AN46="","",AK39)</f>
        <v>3.0000000000000001E-5</v>
      </c>
      <c r="AL46" s="51">
        <f t="shared" ref="AL46" ca="1" si="276">IF(AN46="","",AL39)</f>
        <v>2</v>
      </c>
      <c r="AM46" s="51">
        <f t="shared" ref="AM46" ca="1" si="277">IF(AN46="","",AM39)</f>
        <v>1000000</v>
      </c>
      <c r="AN46" s="51">
        <f t="shared" ref="AN46" ca="1" si="278">IF(I46="","",AN39)</f>
        <v>9</v>
      </c>
      <c r="AO46" s="51">
        <f t="shared" ref="AO46" ca="1" si="279">IF(I46="","",I46/AO36)</f>
        <v>0.49620999999999998</v>
      </c>
      <c r="AP46" s="51">
        <f t="shared" ref="AP46" ca="1" si="280">IF(AO46="","",AO46*AC46*AP36)</f>
        <v>497.56931545768049</v>
      </c>
      <c r="AQ46" s="51">
        <f t="shared" ca="1" si="34"/>
        <v>0.99818118273772027</v>
      </c>
      <c r="AR46" s="26">
        <f t="shared" ca="1" si="35"/>
        <v>20.100000000000001</v>
      </c>
      <c r="AS46" s="51">
        <f t="shared" ref="AS46" ca="1" si="281">IF(BL46="","",AS39)</f>
        <v>15</v>
      </c>
      <c r="AT46" s="51">
        <f t="shared" ref="AT46" ca="1" si="282">IF(BL46="","",AT39)</f>
        <v>35</v>
      </c>
      <c r="AU46" s="51">
        <f t="shared" ref="AU46" ca="1" si="283">IF(BL46="","",AU39)</f>
        <v>0.1</v>
      </c>
      <c r="AV46" s="51">
        <f t="shared" ref="AV46" ca="1" si="284">IF(BL46="","",AV39)</f>
        <v>1</v>
      </c>
      <c r="AW46" s="51">
        <f t="shared" ref="AW46" ca="1" si="285">IF(BL46="","",AW39)</f>
        <v>0.10000000000000142</v>
      </c>
      <c r="AX46" s="51">
        <f t="shared" ref="AX46" ca="1" si="286">IF(BL46="","",AX39)</f>
        <v>3.5374328320040616E-2</v>
      </c>
      <c r="AY46" s="51">
        <f t="shared" ref="AY46" ca="1" si="287">IF(BL46="","",AY39)</f>
        <v>3</v>
      </c>
      <c r="AZ46" s="51">
        <f t="shared" ref="AZ46" ca="1" si="288">IF(BL46="","",AZ39)</f>
        <v>0</v>
      </c>
      <c r="BA46" s="51">
        <f t="shared" ref="BA46" ca="1" si="289">IF(BL46="","",BA39)</f>
        <v>0</v>
      </c>
      <c r="BB46" s="51">
        <f t="shared" ref="BB46" ca="1" si="290">IF(BL46="","",BB39)</f>
        <v>0</v>
      </c>
      <c r="BC46" s="51">
        <f t="shared" ref="BC46" ca="1" si="291">IF(BL46="","",BC39)</f>
        <v>0</v>
      </c>
      <c r="BD46" s="51">
        <f t="shared" ref="BD46" ca="1" si="292">IF(BL46="","",BD39)</f>
        <v>0</v>
      </c>
      <c r="BE46" s="51">
        <f t="shared" ref="BE46" ca="1" si="293">IF(BL46="","",BE39)</f>
        <v>6.5711077831950271E-5</v>
      </c>
      <c r="BF46" s="51">
        <f t="shared" ref="BF46" ca="1" si="294">IF(BL46="","",BF39)</f>
        <v>-4.6375269312513749E-3</v>
      </c>
      <c r="BG46" s="51">
        <f t="shared" ref="BG46" ca="1" si="295">IF(BL46="","",BG39)</f>
        <v>1.0970866723681396</v>
      </c>
      <c r="BH46" s="51">
        <f t="shared" ref="BH46" ca="1" si="296">IF(BL46="","",BH39)</f>
        <v>-0.53012839192736561</v>
      </c>
      <c r="BI46" s="51">
        <f t="shared" ref="BI46" ca="1" si="297">IF(BL46="","",BI39)</f>
        <v>0.1</v>
      </c>
      <c r="BJ46" s="51">
        <f t="shared" ref="BJ46" ca="1" si="298">IF(BL46="","",BJ39)</f>
        <v>2</v>
      </c>
      <c r="BK46" s="51">
        <f t="shared" ref="BK46" ca="1" si="299">IF(BL46="","",BK39)</f>
        <v>1000000</v>
      </c>
      <c r="BL46" s="51">
        <f t="shared" ref="BL46" ca="1" si="300">IF(K46="","",BL39)</f>
        <v>97</v>
      </c>
      <c r="BN46" s="1">
        <f t="shared" si="21"/>
        <v>16</v>
      </c>
      <c r="BP46" s="1" t="s">
        <v>483</v>
      </c>
      <c r="BQ46" s="1" t="str">
        <f>IF($J$4&lt;&gt;"","-","8665-2 - Micropipeta Mono")</f>
        <v>8665-2 - Micropipeta Mono</v>
      </c>
      <c r="BR46" s="1" t="str">
        <f>IF($J$4&lt;&gt;"","-","8665-2 - Micropipeta Multi")</f>
        <v>8665-2 - Micropipeta Multi</v>
      </c>
      <c r="BS46" s="1" t="str">
        <f>IF($J$4&lt;&gt;"","-","8665-3 - Bureta Auto")</f>
        <v>8665-3 - Bureta Auto</v>
      </c>
      <c r="BT46" s="1" t="str">
        <f>IF($J$4&lt;&gt;"","-","8665-3 - Bureta Manual")</f>
        <v>8665-3 - Bureta Manual</v>
      </c>
      <c r="BU46" s="1" t="s">
        <v>484</v>
      </c>
      <c r="BV46" s="1">
        <f t="shared" ref="BV46" si="301">IF(BU46=Q38,1,0)</f>
        <v>0</v>
      </c>
      <c r="CG46" s="28">
        <f t="shared" si="20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124"/>
        <v>4.0000000000000002E-4</v>
      </c>
      <c r="DF46" s="1" t="str">
        <f ca="1">IF(CY46=1,MAX(DE40:DE46),"-")</f>
        <v>-</v>
      </c>
      <c r="DG46" s="1">
        <f t="shared" si="125"/>
        <v>7</v>
      </c>
      <c r="DH46" s="51">
        <f ca="1">HLOOKUP(CONCATENATE($CZ46,DH39),'Controle dos padrões'!$AB$96:$BY$116,CY39+1,FALSE)</f>
        <v>2.0000000000663931E-4</v>
      </c>
      <c r="DI46" s="1">
        <f t="shared" ca="1" si="126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127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26"/>
        <v>9ª</v>
      </c>
      <c r="I47" s="402">
        <v>0.49617</v>
      </c>
      <c r="J47" s="402"/>
      <c r="K47" s="402">
        <v>20</v>
      </c>
      <c r="L47" s="402"/>
      <c r="M47" s="60" t="str">
        <f t="shared" si="27"/>
        <v>°C</v>
      </c>
      <c r="Z47" s="51">
        <f t="shared" ca="1" si="28"/>
        <v>1.0029257535080716</v>
      </c>
      <c r="AA47" s="51">
        <f t="shared" ca="1" si="29"/>
        <v>0.99985917933542445</v>
      </c>
      <c r="AB47" s="51">
        <f t="shared" ca="1" si="30"/>
        <v>0.99995500000000004</v>
      </c>
      <c r="AC47" s="51">
        <f t="shared" ca="1" si="31"/>
        <v>1.0027393955335049</v>
      </c>
      <c r="AD47" s="51">
        <f t="shared" ref="AD47" ca="1" si="302">IF(AN47="","",AD39)</f>
        <v>1E-3</v>
      </c>
      <c r="AE47" s="51">
        <f t="shared" ref="AE47" ca="1" si="303">IF(AN47="","",AE39)</f>
        <v>220</v>
      </c>
      <c r="AF47" s="51">
        <f t="shared" ref="AF47" ca="1" si="304">IF(AN47="","",AF39)</f>
        <v>1.0000000000000001E-5</v>
      </c>
      <c r="AG47" s="51">
        <f t="shared" ref="AG47" ca="1" si="305">IF(AN47="","",AG39)</f>
        <v>9.9999999996214228E-6</v>
      </c>
      <c r="AH47" s="51" t="str">
        <f t="shared" ref="AH47" ca="1" si="306">IF(AN47="","",AH39)</f>
        <v>g</v>
      </c>
      <c r="AI47" s="69">
        <f t="shared" ref="AI47" ca="1" si="307">IF(AN47="","",AI39)</f>
        <v>5</v>
      </c>
      <c r="AJ47" s="51">
        <f t="shared" ref="AJ47" ca="1" si="308">IF(AN47="","",AJ39)</f>
        <v>9.9999999996214228E-6</v>
      </c>
      <c r="AK47" s="51">
        <f t="shared" ref="AK47" ca="1" si="309">IF(AN47="","",AK39)</f>
        <v>3.0000000000000001E-5</v>
      </c>
      <c r="AL47" s="51">
        <f t="shared" ref="AL47" ca="1" si="310">IF(AN47="","",AL39)</f>
        <v>2</v>
      </c>
      <c r="AM47" s="51">
        <f t="shared" ref="AM47" ca="1" si="311">IF(AN47="","",AM39)</f>
        <v>1000000</v>
      </c>
      <c r="AN47" s="51">
        <f t="shared" ref="AN47" ca="1" si="312">IF(I47="","",AN39)</f>
        <v>9</v>
      </c>
      <c r="AO47" s="51">
        <f t="shared" ref="AO47" ca="1" si="313">IF(I47="","",I47/AO36)</f>
        <v>0.49617</v>
      </c>
      <c r="AP47" s="51">
        <f t="shared" ref="AP47" ca="1" si="314">IF(AO47="","",AO47*AC47*AP36)</f>
        <v>497.52920588185913</v>
      </c>
      <c r="AQ47" s="51">
        <f t="shared" ca="1" si="34"/>
        <v>0.99818118273772027</v>
      </c>
      <c r="AR47" s="26">
        <f t="shared" ca="1" si="35"/>
        <v>20.100000000000001</v>
      </c>
      <c r="AS47" s="51">
        <f t="shared" ref="AS47" ca="1" si="315">IF(BL47="","",AS39)</f>
        <v>15</v>
      </c>
      <c r="AT47" s="51">
        <f t="shared" ref="AT47" ca="1" si="316">IF(BL47="","",AT39)</f>
        <v>35</v>
      </c>
      <c r="AU47" s="51">
        <f t="shared" ref="AU47" ca="1" si="317">IF(BL47="","",AU39)</f>
        <v>0.1</v>
      </c>
      <c r="AV47" s="51">
        <f t="shared" ref="AV47" ca="1" si="318">IF(BL47="","",AV39)</f>
        <v>1</v>
      </c>
      <c r="AW47" s="51">
        <f t="shared" ref="AW47" ca="1" si="319">IF(BL47="","",AW39)</f>
        <v>0.10000000000000142</v>
      </c>
      <c r="AX47" s="51">
        <f t="shared" ref="AX47" ca="1" si="320">IF(BL47="","",AX39)</f>
        <v>3.5374328320040616E-2</v>
      </c>
      <c r="AY47" s="51">
        <f t="shared" ref="AY47" ca="1" si="321">IF(BL47="","",AY39)</f>
        <v>3</v>
      </c>
      <c r="AZ47" s="51">
        <f t="shared" ref="AZ47" ca="1" si="322">IF(BL47="","",AZ39)</f>
        <v>0</v>
      </c>
      <c r="BA47" s="51">
        <f t="shared" ref="BA47" ca="1" si="323">IF(BL47="","",BA39)</f>
        <v>0</v>
      </c>
      <c r="BB47" s="51">
        <f t="shared" ref="BB47" ca="1" si="324">IF(BL47="","",BB39)</f>
        <v>0</v>
      </c>
      <c r="BC47" s="51">
        <f t="shared" ref="BC47" ca="1" si="325">IF(BL47="","",BC39)</f>
        <v>0</v>
      </c>
      <c r="BD47" s="51">
        <f t="shared" ref="BD47" ca="1" si="326">IF(BL47="","",BD39)</f>
        <v>0</v>
      </c>
      <c r="BE47" s="51">
        <f t="shared" ref="BE47" ca="1" si="327">IF(BL47="","",BE39)</f>
        <v>6.5711077831950271E-5</v>
      </c>
      <c r="BF47" s="51">
        <f t="shared" ref="BF47" ca="1" si="328">IF(BL47="","",BF39)</f>
        <v>-4.6375269312513749E-3</v>
      </c>
      <c r="BG47" s="51">
        <f t="shared" ref="BG47" ca="1" si="329">IF(BL47="","",BG39)</f>
        <v>1.0970866723681396</v>
      </c>
      <c r="BH47" s="51">
        <f t="shared" ref="BH47" ca="1" si="330">IF(BL47="","",BH39)</f>
        <v>-0.53012839192736561</v>
      </c>
      <c r="BI47" s="51">
        <f t="shared" ref="BI47" ca="1" si="331">IF(BL47="","",BI39)</f>
        <v>0.1</v>
      </c>
      <c r="BJ47" s="51">
        <f t="shared" ref="BJ47" ca="1" si="332">IF(BL47="","",BJ39)</f>
        <v>2</v>
      </c>
      <c r="BK47" s="51">
        <f t="shared" ref="BK47" ca="1" si="333">IF(BL47="","",BK39)</f>
        <v>1000000</v>
      </c>
      <c r="BL47" s="51">
        <f t="shared" ref="BL47" ca="1" si="334">IF(K47="","",BL39)</f>
        <v>97</v>
      </c>
      <c r="BN47" s="1">
        <f t="shared" si="21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335">IF(T43="","-",IF(T43="%",E33*R43/100,R43))</f>
        <v>-</v>
      </c>
      <c r="CG47" s="28">
        <f t="shared" si="20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124"/>
        <v>-</v>
      </c>
      <c r="DF47" s="1" t="str">
        <f ca="1">IF(CY47=1,MAX(DE40:DE47),"-")</f>
        <v>-</v>
      </c>
      <c r="DG47" s="1">
        <f t="shared" si="125"/>
        <v>8</v>
      </c>
      <c r="DH47" s="51">
        <f ca="1">HLOOKUP(CONCATENATE($CZ47,DH39),'Controle dos padrões'!$AB$96:$BY$116,CY39+1,FALSE)</f>
        <v>0</v>
      </c>
      <c r="DI47" s="1">
        <f t="shared" ca="1" si="126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127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26"/>
        <v>10ª</v>
      </c>
      <c r="I48" s="402">
        <v>0.49619000000000002</v>
      </c>
      <c r="J48" s="402"/>
      <c r="K48" s="402">
        <v>20</v>
      </c>
      <c r="L48" s="402"/>
      <c r="M48" s="60" t="str">
        <f t="shared" si="27"/>
        <v>°C</v>
      </c>
      <c r="Z48" s="51">
        <f t="shared" ca="1" si="28"/>
        <v>1.0029257535080716</v>
      </c>
      <c r="AA48" s="51">
        <f t="shared" ca="1" si="29"/>
        <v>0.99985917933542445</v>
      </c>
      <c r="AB48" s="51">
        <f t="shared" ca="1" si="30"/>
        <v>0.99995500000000004</v>
      </c>
      <c r="AC48" s="51">
        <f t="shared" ca="1" si="31"/>
        <v>1.0027393955335049</v>
      </c>
      <c r="AD48" s="51">
        <f t="shared" ref="AD48" ca="1" si="336">IF(AN48="","",AD39)</f>
        <v>1E-3</v>
      </c>
      <c r="AE48" s="51">
        <f t="shared" ref="AE48" ca="1" si="337">IF(AN48="","",AE39)</f>
        <v>220</v>
      </c>
      <c r="AF48" s="51">
        <f t="shared" ref="AF48" ca="1" si="338">IF(AN48="","",AF39)</f>
        <v>1.0000000000000001E-5</v>
      </c>
      <c r="AG48" s="51">
        <f t="shared" ref="AG48" ca="1" si="339">IF(AN48="","",AG39)</f>
        <v>9.9999999996214228E-6</v>
      </c>
      <c r="AH48" s="51" t="str">
        <f t="shared" ref="AH48" ca="1" si="340">IF(AN48="","",AH39)</f>
        <v>g</v>
      </c>
      <c r="AI48" s="69">
        <f t="shared" ref="AI48" ca="1" si="341">IF(AN48="","",AI39)</f>
        <v>5</v>
      </c>
      <c r="AJ48" s="51">
        <f t="shared" ref="AJ48" ca="1" si="342">IF(AN48="","",AJ39)</f>
        <v>9.9999999996214228E-6</v>
      </c>
      <c r="AK48" s="51">
        <f t="shared" ref="AK48" ca="1" si="343">IF(AN48="","",AK39)</f>
        <v>3.0000000000000001E-5</v>
      </c>
      <c r="AL48" s="51">
        <f t="shared" ref="AL48" ca="1" si="344">IF(AN48="","",AL39)</f>
        <v>2</v>
      </c>
      <c r="AM48" s="51">
        <f t="shared" ref="AM48" ca="1" si="345">IF(AN48="","",AM39)</f>
        <v>1000000</v>
      </c>
      <c r="AN48" s="51">
        <f t="shared" ref="AN48" ca="1" si="346">IF(I48="","",AN39)</f>
        <v>9</v>
      </c>
      <c r="AO48" s="51">
        <f t="shared" ref="AO48" ca="1" si="347">IF(I48="","",I48/AO36)</f>
        <v>0.49619000000000002</v>
      </c>
      <c r="AP48" s="51">
        <f t="shared" ref="AP48" ca="1" si="348">IF(AO48="","",AO48*AC48*AP36)</f>
        <v>497.54926066976981</v>
      </c>
      <c r="AQ48" s="51">
        <f t="shared" ca="1" si="34"/>
        <v>0.99818118273772027</v>
      </c>
      <c r="AR48" s="26">
        <f t="shared" ca="1" si="35"/>
        <v>20.100000000000001</v>
      </c>
      <c r="AS48" s="51">
        <f t="shared" ref="AS48" ca="1" si="349">IF(BL48="","",AS39)</f>
        <v>15</v>
      </c>
      <c r="AT48" s="51">
        <f t="shared" ref="AT48" ca="1" si="350">IF(BL48="","",AT39)</f>
        <v>35</v>
      </c>
      <c r="AU48" s="51">
        <f t="shared" ref="AU48" ca="1" si="351">IF(BL48="","",AU39)</f>
        <v>0.1</v>
      </c>
      <c r="AV48" s="51">
        <f t="shared" ref="AV48" ca="1" si="352">IF(BL48="","",AV39)</f>
        <v>1</v>
      </c>
      <c r="AW48" s="51">
        <f t="shared" ref="AW48" ca="1" si="353">IF(BL48="","",AW39)</f>
        <v>0.10000000000000142</v>
      </c>
      <c r="AX48" s="51">
        <f t="shared" ref="AX48" ca="1" si="354">IF(BL48="","",AX39)</f>
        <v>3.5374328320040616E-2</v>
      </c>
      <c r="AY48" s="51">
        <f t="shared" ref="AY48" ca="1" si="355">IF(BL48="","",AY39)</f>
        <v>3</v>
      </c>
      <c r="AZ48" s="51">
        <f t="shared" ref="AZ48" ca="1" si="356">IF(BL48="","",AZ39)</f>
        <v>0</v>
      </c>
      <c r="BA48" s="51">
        <f t="shared" ref="BA48" ca="1" si="357">IF(BL48="","",BA39)</f>
        <v>0</v>
      </c>
      <c r="BB48" s="51">
        <f t="shared" ref="BB48" ca="1" si="358">IF(BL48="","",BB39)</f>
        <v>0</v>
      </c>
      <c r="BC48" s="51">
        <f t="shared" ref="BC48" ca="1" si="359">IF(BL48="","",BC39)</f>
        <v>0</v>
      </c>
      <c r="BD48" s="51">
        <f t="shared" ref="BD48" ca="1" si="360">IF(BL48="","",BD39)</f>
        <v>0</v>
      </c>
      <c r="BE48" s="51">
        <f t="shared" ref="BE48" ca="1" si="361">IF(BL48="","",BE39)</f>
        <v>6.5711077831950271E-5</v>
      </c>
      <c r="BF48" s="51">
        <f t="shared" ref="BF48" ca="1" si="362">IF(BL48="","",BF39)</f>
        <v>-4.6375269312513749E-3</v>
      </c>
      <c r="BG48" s="51">
        <f t="shared" ref="BG48" ca="1" si="363">IF(BL48="","",BG39)</f>
        <v>1.0970866723681396</v>
      </c>
      <c r="BH48" s="51">
        <f t="shared" ref="BH48" ca="1" si="364">IF(BL48="","",BH39)</f>
        <v>-0.53012839192736561</v>
      </c>
      <c r="BI48" s="51">
        <f t="shared" ref="BI48" ca="1" si="365">IF(BL48="","",BI39)</f>
        <v>0.1</v>
      </c>
      <c r="BJ48" s="51">
        <f t="shared" ref="BJ48" ca="1" si="366">IF(BL48="","",BJ39)</f>
        <v>2</v>
      </c>
      <c r="BK48" s="51">
        <f t="shared" ref="BK48" ca="1" si="367">IF(BL48="","",BK39)</f>
        <v>1000000</v>
      </c>
      <c r="BL48" s="51">
        <f t="shared" ref="BL48" ca="1" si="368">IF(K48="","",BL39)</f>
        <v>97</v>
      </c>
      <c r="BN48" s="1">
        <f t="shared" si="21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0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124"/>
        <v>-</v>
      </c>
      <c r="DF48" s="1" t="str">
        <f ca="1">IF(CY48=1,MAX(DE40:DE48),"-")</f>
        <v>-</v>
      </c>
      <c r="DG48" s="1">
        <f t="shared" si="125"/>
        <v>9</v>
      </c>
      <c r="DH48" s="51">
        <f ca="1">HLOOKUP(CONCATENATE($CZ48,DH39),'Controle dos padrões'!$AB$96:$BY$116,CY39+1,FALSE)</f>
        <v>0</v>
      </c>
      <c r="DI48" s="1">
        <f t="shared" ca="1" si="126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127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369">IF(AR50="","",ROUND(MAX(AR39:AR48)-MIN(AR39:AR48),AV39))</f>
        <v>0</v>
      </c>
      <c r="AS49" s="28">
        <f t="shared" ref="AS49" ca="1" si="370">IF(AR49="","",IF(AR49&gt;0.3,1,0))</f>
        <v>0</v>
      </c>
      <c r="BN49" s="1">
        <f t="shared" si="21"/>
        <v>19</v>
      </c>
      <c r="CG49" s="28">
        <f t="shared" si="20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124"/>
        <v>-</v>
      </c>
      <c r="DF49" s="1" t="str">
        <f ca="1">IF(CY49=1,MAX(DE40:DE49),"-")</f>
        <v>-</v>
      </c>
      <c r="DG49" s="1">
        <f t="shared" si="125"/>
        <v>10</v>
      </c>
      <c r="DH49" s="51">
        <f ca="1">HLOOKUP(CONCATENATE($CZ49,DH39),'Controle dos padrões'!$AB$96:$BY$116,CY39+1,FALSE)</f>
        <v>0</v>
      </c>
      <c r="DI49" s="1">
        <f t="shared" ca="1" si="126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127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C50" ca="1" si="371">IF(Z39="","",AVERAGE(Z39:Z48))</f>
        <v>1.0029257535080716</v>
      </c>
      <c r="AA50" s="51">
        <f t="shared" ca="1" si="371"/>
        <v>0.99985917933542434</v>
      </c>
      <c r="AB50" s="51">
        <f t="shared" ca="1" si="371"/>
        <v>0.99995500000000015</v>
      </c>
      <c r="AC50" s="51">
        <f t="shared" ca="1" si="371"/>
        <v>1.0027393955335049</v>
      </c>
      <c r="AO50" s="51">
        <f t="shared" ref="AO50" ca="1" si="372">IF(AO39="","",AVERAGE(AO39:AO48))</f>
        <v>0.496201</v>
      </c>
      <c r="AP50" s="51">
        <f t="shared" ref="AP50" ca="1" si="373">IFERROR(IF(AP39="","",AVERAGE(AP39:AP48)),"")</f>
        <v>497.56029080312072</v>
      </c>
      <c r="AQ50" s="51">
        <f t="shared" ref="AQ50:AR50" ca="1" si="374">IF(AQ39="","",AVERAGE(AQ39:AQ48))</f>
        <v>0.9981811827377205</v>
      </c>
      <c r="AR50" s="51">
        <f t="shared" ca="1" si="374"/>
        <v>20.099999999999998</v>
      </c>
      <c r="BN50" s="1">
        <f t="shared" si="21"/>
        <v>20</v>
      </c>
      <c r="CG50" s="28">
        <f t="shared" si="20"/>
        <v>1</v>
      </c>
      <c r="DA50" s="1">
        <f ca="1">MAX(DA40:DA49)</f>
        <v>220</v>
      </c>
    </row>
    <row r="51" spans="1:117" s="192" customFormat="1" x14ac:dyDescent="0.3">
      <c r="CG51" s="194">
        <f t="shared" si="20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>BM31+1</f>
        <v>3</v>
      </c>
      <c r="BN52" s="1">
        <v>1</v>
      </c>
      <c r="CG52" s="28">
        <f t="shared" ref="CG52" si="375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0.99446999999999997</v>
      </c>
      <c r="BN53" s="1">
        <f>BN52+1</f>
        <v>2</v>
      </c>
      <c r="CG53" s="28">
        <f t="shared" si="20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0.99455000000000005</v>
      </c>
      <c r="AP54" s="51" t="s">
        <v>422</v>
      </c>
      <c r="BN54" s="1">
        <f t="shared" ref="BN54:BN71" si="376">BN53+1</f>
        <v>3</v>
      </c>
      <c r="CG54" s="28">
        <f t="shared" si="20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ca="1" si="377">IF(AP56&lt;=1,0,STDEV(AP60:AP69)/SQRT(AP56))</f>
        <v>9.1231530248892193E-3</v>
      </c>
      <c r="AQ55" s="51" t="s">
        <v>621</v>
      </c>
      <c r="BN55" s="1">
        <f t="shared" si="376"/>
        <v>4</v>
      </c>
      <c r="CG55" s="28">
        <f t="shared" si="20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378">BZ65</f>
        <v>9.9722934255504811E-2</v>
      </c>
      <c r="AP56" s="51">
        <f t="shared" ref="AP56" ca="1" si="379">COUNT(AP60:AP69)</f>
        <v>10</v>
      </c>
      <c r="AQ56" s="51">
        <f ca="1">VLOOKUP(CONCATENATE($A$2,".",BM52),'Evaporação do fluido'!$H$1:$L$84,5,FALSE)</f>
        <v>2.7000000000000001E-3</v>
      </c>
      <c r="BN56" s="1">
        <f t="shared" si="376"/>
        <v>5</v>
      </c>
      <c r="CG56" s="28">
        <f t="shared" si="20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376"/>
        <v>6</v>
      </c>
      <c r="CG57" s="28">
        <f t="shared" si="20"/>
        <v>1</v>
      </c>
      <c r="CZ57" s="1">
        <f ca="1">IF(DC59=0,0,IF(DC57&gt;DA71,1,0))</f>
        <v>0</v>
      </c>
      <c r="DA57" s="1" t="s">
        <v>665</v>
      </c>
      <c r="DC57" s="1">
        <f t="shared" ref="DC57" ca="1" si="380">DC58+DC59</f>
        <v>3.6680799999999998</v>
      </c>
      <c r="DD57" s="1">
        <f ca="1">VLOOKUP(AH60,'Unidades de medida'!$I$2:$J$5,2,FALSE)</f>
        <v>1</v>
      </c>
      <c r="DE57" s="1">
        <f t="shared" ref="DE57" ca="1" si="381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411" t="s">
        <v>295</v>
      </c>
      <c r="AE58" s="411"/>
      <c r="AF58" s="411"/>
      <c r="AG58" s="411"/>
      <c r="AH58" s="411"/>
      <c r="AI58" s="411"/>
      <c r="AJ58" s="411"/>
      <c r="AK58" s="411"/>
      <c r="AL58" s="411"/>
      <c r="AM58" s="411"/>
      <c r="AN58" s="411"/>
      <c r="AO58" s="62" t="s">
        <v>274</v>
      </c>
      <c r="AP58" s="62" t="s">
        <v>279</v>
      </c>
      <c r="AQ58" s="62" t="s">
        <v>280</v>
      </c>
      <c r="AR58" s="412" t="s">
        <v>289</v>
      </c>
      <c r="AS58" s="413" t="s">
        <v>290</v>
      </c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N58" s="1">
        <f t="shared" si="376"/>
        <v>7</v>
      </c>
      <c r="CG58" s="28">
        <f t="shared" si="20"/>
        <v>1</v>
      </c>
      <c r="DA58" s="1" t="s">
        <v>664</v>
      </c>
      <c r="DC58" s="1">
        <f t="shared" ref="DC58" ca="1" si="382">$Q$7*DE57</f>
        <v>2.67353</v>
      </c>
      <c r="DD58" s="1">
        <f>VLOOKUP($S$7,'Unidades de medida'!$I$2:$J$5,2,FALSE)</f>
        <v>1</v>
      </c>
      <c r="DE58" s="1">
        <f t="shared" ref="DE58" ca="1" si="383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997,23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18">
        <f>Q38</f>
        <v>0</v>
      </c>
      <c r="R59" s="418"/>
      <c r="S59" s="418"/>
      <c r="T59" s="418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384">G54</f>
        <v>µL</v>
      </c>
      <c r="AQ59" s="63" t="s">
        <v>281</v>
      </c>
      <c r="AR59" s="412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376"/>
        <v>8</v>
      </c>
      <c r="CG59" s="28">
        <f t="shared" si="20"/>
        <v>1</v>
      </c>
      <c r="CZ59" s="1" t="s">
        <v>666</v>
      </c>
      <c r="DA59" s="1" t="s">
        <v>667</v>
      </c>
      <c r="DC59" s="1">
        <f t="shared" ref="DC59" ca="1" si="385">MAX(AO60:AO69)</f>
        <v>0.99455000000000005</v>
      </c>
      <c r="DE59" s="320" t="s">
        <v>668</v>
      </c>
      <c r="DF59" s="320"/>
      <c r="DG59" s="320">
        <f t="shared" ref="DG59" ca="1" si="386">VLOOKUP(DE58,CZ61:DD70,3,FALSE)</f>
        <v>3.0000000000000001E-5</v>
      </c>
      <c r="DH59" s="320">
        <f t="shared" ref="DH59" ca="1" si="387">VLOOKUP(DE58,CZ61:DD70,4,FALSE)</f>
        <v>2</v>
      </c>
      <c r="DI59" s="320">
        <f t="shared" ref="DI59" ca="1" si="388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ca="1">IF(E59="","",FIXED(ROUND(E54-E59,B62),B62,TRUE))</f>
        <v>2,77</v>
      </c>
      <c r="F60" s="400"/>
      <c r="G60" s="1" t="str">
        <f ca="1">G59</f>
        <v>µL</v>
      </c>
      <c r="H60" s="51" t="str">
        <f t="shared" ref="H60:H69" si="389">IF(I60="","",CONCATENATE(BN56-4,"ª"))</f>
        <v>1ª</v>
      </c>
      <c r="I60" s="402">
        <v>0.99448999999999999</v>
      </c>
      <c r="J60" s="402"/>
      <c r="K60" s="402">
        <v>20</v>
      </c>
      <c r="L60" s="402"/>
      <c r="M60" s="60" t="str">
        <f t="shared" ref="M60:M69" si="390">IF(I60="","","°C")</f>
        <v>°C</v>
      </c>
      <c r="Q60" s="411" t="s">
        <v>481</v>
      </c>
      <c r="R60" s="411"/>
      <c r="S60" s="411" t="s">
        <v>482</v>
      </c>
      <c r="T60" s="411"/>
      <c r="Z60" s="51">
        <f t="shared" ref="Z60:Z69" ca="1" si="391">IF(AQ60="","",(1/(AQ60-$AU$5)))</f>
        <v>1.0029257535080716</v>
      </c>
      <c r="AA60" s="51">
        <f t="shared" ref="AA60:AA69" ca="1" si="392">IF(AQ60="","",1-($AU$5/$AU$6))</f>
        <v>0.99985917933542445</v>
      </c>
      <c r="AB60" s="51">
        <f t="shared" ref="AB60:AB69" ca="1" si="393">IF(AO60="","",(1-($AU$7*(AR60-20))))</f>
        <v>0.99995500000000004</v>
      </c>
      <c r="AC60" s="51">
        <f t="shared" ref="AC60:AC69" ca="1" si="394">IF(AO60="","",AB60*AA60*Z60)</f>
        <v>1.0027393955335049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395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396">IF(AF60="","",IF(AF60&gt;=1,0,LEN(AF60)-2))</f>
        <v>5</v>
      </c>
      <c r="AJ60" s="51">
        <f t="shared" ref="AJ60" ca="1" si="397">IF($AN60="","",DM60)</f>
        <v>9.9999999996214228E-6</v>
      </c>
      <c r="AK60" s="51">
        <f ca="1">IF($AN60="","",DG59)</f>
        <v>3.0000000000000001E-5</v>
      </c>
      <c r="AL60" s="51">
        <f t="shared" ref="AL60:AM60" ca="1" si="398">IF(AK60="","",DH59)</f>
        <v>2</v>
      </c>
      <c r="AM60" s="51">
        <f t="shared" ca="1" si="398"/>
        <v>1000000</v>
      </c>
      <c r="AN60" s="51">
        <f ca="1">IF(K54="","",IF(K54="","",VLOOKUP(K54,'Controle dos padrões'!$CV$97:$CW$116,2,FALSE)))</f>
        <v>9</v>
      </c>
      <c r="AO60" s="51">
        <f t="shared" ref="AO60" ca="1" si="399">IF(I60="","",I60/AO57)</f>
        <v>0.99448999999999999</v>
      </c>
      <c r="AP60" s="51">
        <f t="shared" ref="AP60" ca="1" si="400">IF(AO60="","",AO60*AC60*AP57)</f>
        <v>997.21430146411524</v>
      </c>
      <c r="AQ60" s="51">
        <f t="shared" ref="AQ60:AQ69" ca="1" si="401">IF(AR60="","",(($AQ$7*AR60^5)+($AQ$6*AR60^4)+($AQ$5*AR60^3)+($AQ$4*AR60^2)+($AQ$3*AR60)+$AQ$2)/1000)</f>
        <v>0.99818118273772027</v>
      </c>
      <c r="AR60" s="26">
        <f t="shared" ref="AR60:AR69" ca="1" si="402">IF(AS60="","",ROUND((AZ60*K60^8)+(BA60*K60^7)+(BB60*K60^6)+(BC60*K60^5)+(BD60*K60^4)+(BE60*K60^3)+(BF60*K60^2)+(BG60*K60)+BH60,AV60))</f>
        <v>20.100000000000001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403">IF(AU60="","",IF(AU60&gt;=1,0,LEN(AU60)-2))</f>
        <v>1</v>
      </c>
      <c r="AW60" s="51">
        <f ca="1">IF($BL60="","",VLOOKUP($BL60,'Controle dos padrões'!$A$74:$BP$93,AW$15,FALSE))</f>
        <v>0.10000000000000142</v>
      </c>
      <c r="AX60" s="51">
        <f ca="1">IF($BL60="","",VLOOKUP($BL60,'Controle dos padrões'!$A$74:$BP$93,AX$15,FALSE))</f>
        <v>3.5374328320040616E-2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6.5711077831950271E-5</v>
      </c>
      <c r="BF60" s="51">
        <f ca="1">IF($BL60="","",VLOOKUP($BL60,'Controle dos padrões'!$A$74:$BP$93,BF$15,FALSE))</f>
        <v>-4.6375269312513749E-3</v>
      </c>
      <c r="BG60" s="51">
        <f ca="1">IF($BL60="","",VLOOKUP($BL60,'Controle dos padrões'!$A$74:$BP$93,BG$15,FALSE))</f>
        <v>1.0970866723681396</v>
      </c>
      <c r="BH60" s="51">
        <f ca="1">IF($BL60="","",VLOOKUP($BL60,'Controle dos padrões'!$A$74:$BP$93,BH$15,FALSE))</f>
        <v>-0.53012839192736561</v>
      </c>
      <c r="BI60" s="51">
        <f ca="1">IF($BL60="","",VLOOKUP($BL60,'Controle dos padrões'!$A$74:$BP$93,BI$15,FALSE))</f>
        <v>0.1</v>
      </c>
      <c r="BJ60" s="51">
        <f t="shared" ref="BJ60" ca="1" si="404">IF(BI60="","",2)</f>
        <v>2</v>
      </c>
      <c r="BK60" s="51">
        <f t="shared" ref="BK60" ca="1" si="405">IF(BJ60="","",1000000)</f>
        <v>1000000</v>
      </c>
      <c r="BL60" s="51">
        <f ca="1">IF(K60="","",IF(K55="","",VLOOKUP(K55,'Controle dos padrões'!$CV$74:$CW$93,2,FALSE)))</f>
        <v>97</v>
      </c>
      <c r="BN60" s="1">
        <f t="shared" si="376"/>
        <v>9</v>
      </c>
      <c r="BP60" s="1">
        <f t="shared" ref="BP60" si="406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407">BZ61*CB62</f>
        <v>0.99722934255504814</v>
      </c>
      <c r="CA60" s="1" t="s">
        <v>88</v>
      </c>
      <c r="CB60" s="1">
        <f>VLOOKUP(CA60,'Unidades de medida'!$A$2:$B$9,2,FALSE)</f>
        <v>1</v>
      </c>
      <c r="CG60" s="28">
        <f t="shared" si="20"/>
        <v>1</v>
      </c>
      <c r="CY60" s="1">
        <f ca="1">VLOOKUP(CZ60,'Controle dos padrões'!$CW$97:$CX$116,2,FALSE)</f>
        <v>5</v>
      </c>
      <c r="CZ60" s="1">
        <f t="shared" ref="CZ60" ca="1" si="408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409">MAX(DF61:DF70)</f>
        <v>1.5E-5</v>
      </c>
      <c r="DH60" s="322" t="s">
        <v>674</v>
      </c>
      <c r="DI60" s="323" t="s">
        <v>675</v>
      </c>
      <c r="DJ60" s="320">
        <f t="shared" ref="DJ60" ca="1" si="410">MAX(DJ61:DJ70)</f>
        <v>9.9999999996214228E-6</v>
      </c>
      <c r="DK60" s="322" t="s">
        <v>676</v>
      </c>
      <c r="DL60" s="320" t="s">
        <v>677</v>
      </c>
      <c r="DM60" s="320">
        <f t="shared" ref="DM60" ca="1" si="411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R1'!$S$4:$W$163,2,FALSE))</f>
        <v>0,10</v>
      </c>
      <c r="F61" s="400"/>
      <c r="G61" s="1" t="str">
        <f ca="1">G60</f>
        <v>µL</v>
      </c>
      <c r="H61" s="51" t="str">
        <f t="shared" si="389"/>
        <v>2ª</v>
      </c>
      <c r="I61" s="402">
        <v>0.99455000000000005</v>
      </c>
      <c r="J61" s="402"/>
      <c r="K61" s="402">
        <v>20</v>
      </c>
      <c r="L61" s="402"/>
      <c r="M61" s="60" t="str">
        <f t="shared" si="390"/>
        <v>°C</v>
      </c>
      <c r="O61" s="1" t="s">
        <v>477</v>
      </c>
      <c r="Q61" s="29" t="e">
        <f t="shared" ref="Q61" si="412">HLOOKUP(Q59,BP67:BU69,2,FALSE)</f>
        <v>#N/A</v>
      </c>
      <c r="R61" s="30" t="str">
        <f t="shared" ref="R61" si="413">G54</f>
        <v>µL</v>
      </c>
      <c r="S61" s="29" t="e">
        <f t="shared" ref="S61" si="414">HLOOKUP(Q59,BP67:BU69,3,FALSE)</f>
        <v>#N/A</v>
      </c>
      <c r="T61" s="30" t="str">
        <f t="shared" ref="T61" si="415">G54</f>
        <v>µL</v>
      </c>
      <c r="U61" s="61">
        <f t="shared" ref="U61" si="416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391"/>
        <v>1.0029257535080716</v>
      </c>
      <c r="AA61" s="51">
        <f t="shared" ca="1" si="392"/>
        <v>0.99985917933542445</v>
      </c>
      <c r="AB61" s="51">
        <f t="shared" ca="1" si="393"/>
        <v>0.99995500000000004</v>
      </c>
      <c r="AC61" s="51">
        <f t="shared" ca="1" si="394"/>
        <v>1.0027393955335049</v>
      </c>
      <c r="AD61" s="51">
        <f t="shared" ref="AD61" ca="1" si="417">IF(AN61="","",AD60)</f>
        <v>1E-3</v>
      </c>
      <c r="AE61" s="51">
        <f t="shared" ref="AE61" ca="1" si="418">IF(AN61="","",AE60)</f>
        <v>220</v>
      </c>
      <c r="AF61" s="51">
        <f t="shared" ref="AF61" ca="1" si="419">IF(AN61="","",AF60)</f>
        <v>1.0000000000000001E-5</v>
      </c>
      <c r="AG61" s="51">
        <f t="shared" ref="AG61" ca="1" si="420">IF(AN61="","",AG60)</f>
        <v>9.9999999996214228E-6</v>
      </c>
      <c r="AH61" s="51" t="str">
        <f t="shared" ref="AH61" ca="1" si="421">IF(AN61="","",AH60)</f>
        <v>g</v>
      </c>
      <c r="AI61" s="69">
        <f t="shared" ref="AI61" ca="1" si="422">IF(AN61="","",AI60)</f>
        <v>5</v>
      </c>
      <c r="AJ61" s="51">
        <f t="shared" ref="AJ61" ca="1" si="423">IF(AN61="","",AJ60)</f>
        <v>9.9999999996214228E-6</v>
      </c>
      <c r="AK61" s="51">
        <f t="shared" ref="AK61" ca="1" si="424">IF(AN61="","",AK60)</f>
        <v>3.0000000000000001E-5</v>
      </c>
      <c r="AL61" s="51">
        <f t="shared" ref="AL61" ca="1" si="425">IF(AN61="","",AL60)</f>
        <v>2</v>
      </c>
      <c r="AM61" s="51">
        <f t="shared" ref="AM61" ca="1" si="426">IF(AN61="","",AM60)</f>
        <v>1000000</v>
      </c>
      <c r="AN61" s="51">
        <f t="shared" ref="AN61" ca="1" si="427">IF(I61="","",AN60)</f>
        <v>9</v>
      </c>
      <c r="AO61" s="51">
        <f t="shared" ref="AO61" ca="1" si="428">IF(I61="","",I61/AO57)</f>
        <v>0.99455000000000005</v>
      </c>
      <c r="AP61" s="51">
        <f t="shared" ref="AP61" ca="1" si="429">IF(AO61="","",AO61*AC61*AP57)</f>
        <v>997.27446582784728</v>
      </c>
      <c r="AQ61" s="51">
        <f t="shared" ca="1" si="401"/>
        <v>0.99818118273772027</v>
      </c>
      <c r="AR61" s="26">
        <f t="shared" ca="1" si="402"/>
        <v>20.100000000000001</v>
      </c>
      <c r="AS61" s="51">
        <f t="shared" ref="AS61" ca="1" si="430">IF(BL61="","",AS60)</f>
        <v>15</v>
      </c>
      <c r="AT61" s="51">
        <f t="shared" ref="AT61" ca="1" si="431">IF(BL61="","",AT60)</f>
        <v>35</v>
      </c>
      <c r="AU61" s="51">
        <f t="shared" ref="AU61" ca="1" si="432">IF(BL61="","",AU60)</f>
        <v>0.1</v>
      </c>
      <c r="AV61" s="51">
        <f t="shared" ref="AV61" ca="1" si="433">IF(BL61="","",AV60)</f>
        <v>1</v>
      </c>
      <c r="AW61" s="51">
        <f t="shared" ref="AW61" ca="1" si="434">IF(BL61="","",AW60)</f>
        <v>0.10000000000000142</v>
      </c>
      <c r="AX61" s="51">
        <f t="shared" ref="AX61" ca="1" si="435">IF(BL61="","",AX60)</f>
        <v>3.5374328320040616E-2</v>
      </c>
      <c r="AY61" s="51">
        <f t="shared" ref="AY61" ca="1" si="436">IF(BL61="","",AY60)</f>
        <v>3</v>
      </c>
      <c r="AZ61" s="51">
        <f t="shared" ref="AZ61" ca="1" si="437">IF(BL61="","",AZ60)</f>
        <v>0</v>
      </c>
      <c r="BA61" s="51">
        <f t="shared" ref="BA61" ca="1" si="438">IF(BL61="","",BA60)</f>
        <v>0</v>
      </c>
      <c r="BB61" s="51">
        <f t="shared" ref="BB61" ca="1" si="439">IF(BL61="","",BB60)</f>
        <v>0</v>
      </c>
      <c r="BC61" s="51">
        <f t="shared" ref="BC61" ca="1" si="440">IF(BL61="","",BC60)</f>
        <v>0</v>
      </c>
      <c r="BD61" s="51">
        <f t="shared" ref="BD61" ca="1" si="441">IF(BL61="","",BD60)</f>
        <v>0</v>
      </c>
      <c r="BE61" s="51">
        <f t="shared" ref="BE61" ca="1" si="442">IF(BL61="","",BE60)</f>
        <v>6.5711077831950271E-5</v>
      </c>
      <c r="BF61" s="51">
        <f t="shared" ref="BF61" ca="1" si="443">IF(BL61="","",BF60)</f>
        <v>-4.6375269312513749E-3</v>
      </c>
      <c r="BG61" s="51">
        <f t="shared" ref="BG61" ca="1" si="444">IF(BL61="","",BG60)</f>
        <v>1.0970866723681396</v>
      </c>
      <c r="BH61" s="51">
        <f t="shared" ref="BH61" ca="1" si="445">IF(BL61="","",BH60)</f>
        <v>-0.53012839192736561</v>
      </c>
      <c r="BI61" s="51">
        <f t="shared" ref="BI61" ca="1" si="446">IF(BL61="","",BI60)</f>
        <v>0.1</v>
      </c>
      <c r="BJ61" s="51">
        <f t="shared" ref="BJ61" ca="1" si="447">IF(BL61="","",BJ60)</f>
        <v>2</v>
      </c>
      <c r="BK61" s="51">
        <f t="shared" ref="BK61" ca="1" si="448">IF(BL61="","",BK60)</f>
        <v>1000000</v>
      </c>
      <c r="BL61" s="51">
        <f t="shared" ref="BL61" ca="1" si="449">IF(K61="","",BL60)</f>
        <v>97</v>
      </c>
      <c r="BN61" s="1">
        <f t="shared" si="376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450">IF(OR(BZ60&lt;BR61,BZ60&gt;BS61),0,1)</f>
        <v>0</v>
      </c>
      <c r="BW61" s="1">
        <f t="shared" ref="BW61:BW63" si="451">BP61</f>
        <v>1</v>
      </c>
      <c r="BY61" s="1" t="s">
        <v>431</v>
      </c>
      <c r="BZ61" s="1">
        <f t="shared" ref="BZ61" ca="1" si="452">AP71</f>
        <v>997.22934255504811</v>
      </c>
      <c r="CA61" s="1" t="str">
        <f t="shared" ref="CA61" si="453">AP59</f>
        <v>µL</v>
      </c>
      <c r="CB61" s="1">
        <f>VLOOKUP(CA61,'Unidades de medida'!$A$2:$B$9,2,FALSE)</f>
        <v>1000</v>
      </c>
      <c r="CG61" s="28">
        <f t="shared" si="20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454">IF(DB61="-","-",DB61/DC61)</f>
        <v>9.9009900990099013E-6</v>
      </c>
      <c r="DG61" s="1">
        <f t="shared" ref="DG61:DG70" si="455">CZ61</f>
        <v>1</v>
      </c>
      <c r="DH61" s="51">
        <f ca="1">HLOOKUP(CONCATENATE($CZ61,DH60),'Controle dos padrões'!$AB$96:$BY$116,CY60+1,FALSE)</f>
        <v>0</v>
      </c>
      <c r="DI61" s="1">
        <f t="shared" ref="DI61:DI112" ca="1" si="456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457">ABS(DK61)</f>
        <v>0</v>
      </c>
    </row>
    <row r="62" spans="1:117" x14ac:dyDescent="0.3">
      <c r="A62" s="61" t="str">
        <f>CONCATENATE(BM52,".",BN62)</f>
        <v>3.11</v>
      </c>
      <c r="B62" s="190">
        <f ca="1">IFERROR(VLOOKUP(BM52,'Incerteza - R1'!$S$4:$W$163,5,FALSE),"")</f>
        <v>2</v>
      </c>
      <c r="C62" s="190">
        <f>IF(E55="",0,IF(E55&gt;=1,0,LEN(E55)-2))</f>
        <v>0</v>
      </c>
      <c r="D62" s="68" t="s">
        <v>614</v>
      </c>
      <c r="E62" s="400" t="str">
        <f ca="1">IF(E60="","",VLOOKUP(BM52,'Incerteza - R1'!$S$4:$W$163,3,FALSE))</f>
        <v>2,00</v>
      </c>
      <c r="F62" s="400"/>
      <c r="H62" s="51" t="str">
        <f t="shared" si="389"/>
        <v>3ª</v>
      </c>
      <c r="I62" s="402">
        <v>0.99453000000000003</v>
      </c>
      <c r="J62" s="402"/>
      <c r="K62" s="402">
        <v>20</v>
      </c>
      <c r="L62" s="402"/>
      <c r="M62" s="60" t="str">
        <f t="shared" si="390"/>
        <v>°C</v>
      </c>
      <c r="O62" s="417" t="s">
        <v>485</v>
      </c>
      <c r="P62" s="417"/>
      <c r="Q62" s="411" t="e">
        <f t="shared" ref="Q62" si="458">IF(Q61="-","-",IF(U62&lt;=Q61,"Aprovado",IF(U62&gt;Q61,"Reprovado","")))</f>
        <v>#N/A</v>
      </c>
      <c r="R62" s="411"/>
      <c r="S62" s="411" t="e">
        <f t="shared" ref="S62" si="459">IF(S61="-","-",IF(X62&lt;=S61,"Aprovado",IF(X62&gt;S61,"Reprovado","")))</f>
        <v>#N/A</v>
      </c>
      <c r="T62" s="411"/>
      <c r="U62" s="61">
        <f t="shared" ref="U62" ca="1" si="460">HLOOKUP(U61,V61:W62,2,FALSE)</f>
        <v>2.87</v>
      </c>
      <c r="V62" s="61">
        <f t="shared" ref="V62" ca="1" si="461">ABS(E60*1)</f>
        <v>2.77</v>
      </c>
      <c r="W62" s="61">
        <f t="shared" ref="W62" ca="1" si="462">ABS(E60*1)+(E61*1)</f>
        <v>2.87</v>
      </c>
      <c r="X62" s="61">
        <f t="shared" ref="X62" ca="1" si="463">MAX(AP60:AP69)-MIN(AP60:AP69)</f>
        <v>8.0219151642722863E-2</v>
      </c>
      <c r="Z62" s="51">
        <f t="shared" ca="1" si="391"/>
        <v>1.0029257535080716</v>
      </c>
      <c r="AA62" s="51">
        <f t="shared" ca="1" si="392"/>
        <v>0.99985917933542445</v>
      </c>
      <c r="AB62" s="51">
        <f t="shared" ca="1" si="393"/>
        <v>0.99995500000000004</v>
      </c>
      <c r="AC62" s="51">
        <f t="shared" ca="1" si="394"/>
        <v>1.0027393955335049</v>
      </c>
      <c r="AD62" s="51">
        <f t="shared" ref="AD62" ca="1" si="464">IF(AN62="","",AD60)</f>
        <v>1E-3</v>
      </c>
      <c r="AE62" s="51">
        <f t="shared" ref="AE62" ca="1" si="465">IF(AN62="","",AE60)</f>
        <v>220</v>
      </c>
      <c r="AF62" s="51">
        <f t="shared" ref="AF62" ca="1" si="466">IF(AN62="","",AF60)</f>
        <v>1.0000000000000001E-5</v>
      </c>
      <c r="AG62" s="51">
        <f t="shared" ref="AG62" ca="1" si="467">IF(AN62="","",AG60)</f>
        <v>9.9999999996214228E-6</v>
      </c>
      <c r="AH62" s="51" t="str">
        <f t="shared" ref="AH62" ca="1" si="468">IF(AN62="","",AH60)</f>
        <v>g</v>
      </c>
      <c r="AI62" s="69">
        <f t="shared" ref="AI62" ca="1" si="469">IF(AN62="","",AI60)</f>
        <v>5</v>
      </c>
      <c r="AJ62" s="51">
        <f t="shared" ref="AJ62" ca="1" si="470">IF(AN62="","",AJ60)</f>
        <v>9.9999999996214228E-6</v>
      </c>
      <c r="AK62" s="51">
        <f t="shared" ref="AK62" ca="1" si="471">IF(AN62="","",AK60)</f>
        <v>3.0000000000000001E-5</v>
      </c>
      <c r="AL62" s="51">
        <f t="shared" ref="AL62" ca="1" si="472">IF(AN62="","",AL60)</f>
        <v>2</v>
      </c>
      <c r="AM62" s="51">
        <f t="shared" ref="AM62" ca="1" si="473">IF(AN62="","",AM60)</f>
        <v>1000000</v>
      </c>
      <c r="AN62" s="51">
        <f t="shared" ref="AN62" ca="1" si="474">IF(I62="","",AN60)</f>
        <v>9</v>
      </c>
      <c r="AO62" s="51">
        <f t="shared" ref="AO62" ca="1" si="475">IF(I62="","",I62/AO57)</f>
        <v>0.99453000000000003</v>
      </c>
      <c r="AP62" s="51">
        <f t="shared" ref="AP62" ca="1" si="476">IF(AO62="","",AO62*AC62*AP57)</f>
        <v>997.2544110399366</v>
      </c>
      <c r="AQ62" s="51">
        <f t="shared" ca="1" si="401"/>
        <v>0.99818118273772027</v>
      </c>
      <c r="AR62" s="26">
        <f t="shared" ca="1" si="402"/>
        <v>20.100000000000001</v>
      </c>
      <c r="AS62" s="51">
        <f t="shared" ref="AS62" ca="1" si="477">IF(BL62="","",AS60)</f>
        <v>15</v>
      </c>
      <c r="AT62" s="51">
        <f t="shared" ref="AT62" ca="1" si="478">IF(BL62="","",AT60)</f>
        <v>35</v>
      </c>
      <c r="AU62" s="51">
        <f t="shared" ref="AU62" ca="1" si="479">IF(BL62="","",AU60)</f>
        <v>0.1</v>
      </c>
      <c r="AV62" s="51">
        <f t="shared" ref="AV62" ca="1" si="480">IF(BL62="","",AV60)</f>
        <v>1</v>
      </c>
      <c r="AW62" s="51">
        <f t="shared" ref="AW62" ca="1" si="481">IF(BL62="","",AW60)</f>
        <v>0.10000000000000142</v>
      </c>
      <c r="AX62" s="51">
        <f t="shared" ref="AX62" ca="1" si="482">IF(BL62="","",AX60)</f>
        <v>3.5374328320040616E-2</v>
      </c>
      <c r="AY62" s="51">
        <f t="shared" ref="AY62" ca="1" si="483">IF(BL62="","",AY60)</f>
        <v>3</v>
      </c>
      <c r="AZ62" s="51">
        <f t="shared" ref="AZ62" ca="1" si="484">IF(BL62="","",AZ60)</f>
        <v>0</v>
      </c>
      <c r="BA62" s="51">
        <f t="shared" ref="BA62" ca="1" si="485">IF(BL62="","",BA60)</f>
        <v>0</v>
      </c>
      <c r="BB62" s="51">
        <f t="shared" ref="BB62" ca="1" si="486">IF(BL62="","",BB60)</f>
        <v>0</v>
      </c>
      <c r="BC62" s="51">
        <f t="shared" ref="BC62" ca="1" si="487">IF(BL62="","",BC60)</f>
        <v>0</v>
      </c>
      <c r="BD62" s="51">
        <f t="shared" ref="BD62" ca="1" si="488">IF(BL62="","",BD60)</f>
        <v>0</v>
      </c>
      <c r="BE62" s="51">
        <f t="shared" ref="BE62" ca="1" si="489">IF(BL62="","",BE60)</f>
        <v>6.5711077831950271E-5</v>
      </c>
      <c r="BF62" s="51">
        <f t="shared" ref="BF62" ca="1" si="490">IF(BL62="","",BF60)</f>
        <v>-4.6375269312513749E-3</v>
      </c>
      <c r="BG62" s="51">
        <f t="shared" ref="BG62" ca="1" si="491">IF(BL62="","",BG60)</f>
        <v>1.0970866723681396</v>
      </c>
      <c r="BH62" s="51">
        <f t="shared" ref="BH62" ca="1" si="492">IF(BL62="","",BH60)</f>
        <v>-0.53012839192736561</v>
      </c>
      <c r="BI62" s="51">
        <f t="shared" ref="BI62" ca="1" si="493">IF(BL62="","",BI60)</f>
        <v>0.1</v>
      </c>
      <c r="BJ62" s="51">
        <f t="shared" ref="BJ62" ca="1" si="494">IF(BL62="","",BJ60)</f>
        <v>2</v>
      </c>
      <c r="BK62" s="51">
        <f t="shared" ref="BK62" ca="1" si="495">IF(BL62="","",BK60)</f>
        <v>1000000</v>
      </c>
      <c r="BL62" s="51">
        <f t="shared" ref="BL62" ca="1" si="496">IF(K62="","",BL60)</f>
        <v>97</v>
      </c>
      <c r="BN62" s="1">
        <f t="shared" si="376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497">IF(OR(BZ60&lt;BR62,BZ60&gt;BS62),0,1)</f>
        <v>1</v>
      </c>
      <c r="BW62" s="1">
        <f t="shared" si="451"/>
        <v>2</v>
      </c>
      <c r="CB62" s="1">
        <f t="shared" ref="CB62" si="498">CB60/CB61</f>
        <v>1E-3</v>
      </c>
      <c r="CG62" s="28">
        <f t="shared" si="20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454"/>
        <v>1.0000000000000001E-5</v>
      </c>
      <c r="DG62" s="1">
        <f t="shared" si="455"/>
        <v>2</v>
      </c>
      <c r="DH62" s="51">
        <f ca="1">HLOOKUP(CONCATENATE($CZ62,DH60),'Controle dos padrões'!$AB$96:$BY$116,CY60+1,FALSE)</f>
        <v>0</v>
      </c>
      <c r="DI62" s="1">
        <f t="shared" ca="1" si="456"/>
        <v>0</v>
      </c>
      <c r="DK62" s="51">
        <f ca="1">HLOOKUP(CONCATENATE($CZ62,DK60),'Controle dos padrões'!$AB$96:$CI$116,CY60+1,FALSE)</f>
        <v>0</v>
      </c>
      <c r="DL62" s="1">
        <f t="shared" ca="1" si="457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R1'!$S$4:$W$163,4,FALSE))</f>
        <v>∞</v>
      </c>
      <c r="F63" s="400"/>
      <c r="H63" s="51" t="str">
        <f t="shared" si="389"/>
        <v>4ª</v>
      </c>
      <c r="I63" s="402">
        <v>0.99448000000000003</v>
      </c>
      <c r="J63" s="402"/>
      <c r="K63" s="402">
        <v>20</v>
      </c>
      <c r="L63" s="402"/>
      <c r="M63" s="60" t="str">
        <f t="shared" si="390"/>
        <v>°C</v>
      </c>
      <c r="Z63" s="51">
        <f t="shared" ca="1" si="391"/>
        <v>1.0029257535080716</v>
      </c>
      <c r="AA63" s="51">
        <f t="shared" ca="1" si="392"/>
        <v>0.99985917933542445</v>
      </c>
      <c r="AB63" s="51">
        <f t="shared" ca="1" si="393"/>
        <v>0.99995500000000004</v>
      </c>
      <c r="AC63" s="51">
        <f t="shared" ca="1" si="394"/>
        <v>1.0027393955335049</v>
      </c>
      <c r="AD63" s="51">
        <f t="shared" ref="AD63" ca="1" si="499">IF(AN63="","",AD60)</f>
        <v>1E-3</v>
      </c>
      <c r="AE63" s="51">
        <f t="shared" ref="AE63" ca="1" si="500">IF(AN63="","",AE60)</f>
        <v>220</v>
      </c>
      <c r="AF63" s="51">
        <f t="shared" ref="AF63" ca="1" si="501">IF(AN63="","",AF60)</f>
        <v>1.0000000000000001E-5</v>
      </c>
      <c r="AG63" s="51">
        <f t="shared" ref="AG63" ca="1" si="502">IF(AN63="","",AG60)</f>
        <v>9.9999999996214228E-6</v>
      </c>
      <c r="AH63" s="51" t="str">
        <f t="shared" ref="AH63" ca="1" si="503">IF(AN63="","",AH60)</f>
        <v>g</v>
      </c>
      <c r="AI63" s="69">
        <f t="shared" ref="AI63" ca="1" si="504">IF(AN63="","",AI60)</f>
        <v>5</v>
      </c>
      <c r="AJ63" s="51">
        <f t="shared" ref="AJ63" ca="1" si="505">IF(AN63="","",AJ60)</f>
        <v>9.9999999996214228E-6</v>
      </c>
      <c r="AK63" s="51">
        <f t="shared" ref="AK63" ca="1" si="506">IF(AN63="","",AK60)</f>
        <v>3.0000000000000001E-5</v>
      </c>
      <c r="AL63" s="51">
        <f t="shared" ref="AL63" ca="1" si="507">IF(AN63="","",AL60)</f>
        <v>2</v>
      </c>
      <c r="AM63" s="51">
        <f t="shared" ref="AM63" ca="1" si="508">IF(AN63="","",AM60)</f>
        <v>1000000</v>
      </c>
      <c r="AN63" s="51">
        <f t="shared" ref="AN63" ca="1" si="509">IF(I63="","",AN60)</f>
        <v>9</v>
      </c>
      <c r="AO63" s="51">
        <f t="shared" ref="AO63" ca="1" si="510">IF(I63="","",I63/AO57)</f>
        <v>0.99448000000000003</v>
      </c>
      <c r="AP63" s="51">
        <f t="shared" ref="AP63" ca="1" si="511">IF(AO63="","",AO63*AC63*AP57)</f>
        <v>997.20427407015995</v>
      </c>
      <c r="AQ63" s="51">
        <f t="shared" ca="1" si="401"/>
        <v>0.99818118273772027</v>
      </c>
      <c r="AR63" s="26">
        <f t="shared" ca="1" si="402"/>
        <v>20.100000000000001</v>
      </c>
      <c r="AS63" s="51">
        <f t="shared" ref="AS63" ca="1" si="512">IF(BL63="","",AS60)</f>
        <v>15</v>
      </c>
      <c r="AT63" s="51">
        <f t="shared" ref="AT63" ca="1" si="513">IF(BL63="","",AT60)</f>
        <v>35</v>
      </c>
      <c r="AU63" s="51">
        <f t="shared" ref="AU63" ca="1" si="514">IF(BL63="","",AU60)</f>
        <v>0.1</v>
      </c>
      <c r="AV63" s="51">
        <f t="shared" ref="AV63" ca="1" si="515">IF(BL63="","",AV60)</f>
        <v>1</v>
      </c>
      <c r="AW63" s="51">
        <f t="shared" ref="AW63" ca="1" si="516">IF(BL63="","",AW60)</f>
        <v>0.10000000000000142</v>
      </c>
      <c r="AX63" s="51">
        <f t="shared" ref="AX63" ca="1" si="517">IF(BL63="","",AX60)</f>
        <v>3.5374328320040616E-2</v>
      </c>
      <c r="AY63" s="51">
        <f t="shared" ref="AY63" ca="1" si="518">IF(BL63="","",AY60)</f>
        <v>3</v>
      </c>
      <c r="AZ63" s="51">
        <f t="shared" ref="AZ63" ca="1" si="519">IF(BL63="","",AZ60)</f>
        <v>0</v>
      </c>
      <c r="BA63" s="51">
        <f t="shared" ref="BA63" ca="1" si="520">IF(BL63="","",BA60)</f>
        <v>0</v>
      </c>
      <c r="BB63" s="51">
        <f t="shared" ref="BB63" ca="1" si="521">IF(BL63="","",BB60)</f>
        <v>0</v>
      </c>
      <c r="BC63" s="51">
        <f t="shared" ref="BC63" ca="1" si="522">IF(BL63="","",BC60)</f>
        <v>0</v>
      </c>
      <c r="BD63" s="51">
        <f t="shared" ref="BD63" ca="1" si="523">IF(BL63="","",BD60)</f>
        <v>0</v>
      </c>
      <c r="BE63" s="51">
        <f t="shared" ref="BE63" ca="1" si="524">IF(BL63="","",BE60)</f>
        <v>6.5711077831950271E-5</v>
      </c>
      <c r="BF63" s="51">
        <f t="shared" ref="BF63" ca="1" si="525">IF(BL63="","",BF60)</f>
        <v>-4.6375269312513749E-3</v>
      </c>
      <c r="BG63" s="51">
        <f t="shared" ref="BG63" ca="1" si="526">IF(BL63="","",BG60)</f>
        <v>1.0970866723681396</v>
      </c>
      <c r="BH63" s="51">
        <f t="shared" ref="BH63" ca="1" si="527">IF(BL63="","",BH60)</f>
        <v>-0.53012839192736561</v>
      </c>
      <c r="BI63" s="51">
        <f t="shared" ref="BI63" ca="1" si="528">IF(BL63="","",BI60)</f>
        <v>0.1</v>
      </c>
      <c r="BJ63" s="51">
        <f t="shared" ref="BJ63" ca="1" si="529">IF(BL63="","",BJ60)</f>
        <v>2</v>
      </c>
      <c r="BK63" s="51">
        <f t="shared" ref="BK63" ca="1" si="530">IF(BL63="","",BK60)</f>
        <v>1000000</v>
      </c>
      <c r="BL63" s="51">
        <f t="shared" ref="BL63" ca="1" si="531">IF(K63="","",BL60)</f>
        <v>97</v>
      </c>
      <c r="BN63" s="1">
        <f t="shared" si="376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532">IF(OR(BZ60&lt;BR63,BZ60&gt;BS63),0,1)</f>
        <v>0</v>
      </c>
      <c r="BW63" s="1">
        <f t="shared" si="451"/>
        <v>3</v>
      </c>
      <c r="BY63" s="51" t="s">
        <v>39</v>
      </c>
      <c r="BZ63" s="51">
        <f t="shared" ref="BZ63" ca="1" si="533">VLOOKUP(VLOOKUP(1,BV61:BW63,2,FALSE),BP61:BU63,5,FALSE)</f>
        <v>0.01</v>
      </c>
      <c r="CA63" s="51" t="str">
        <f t="shared" ref="CA63" ca="1" si="534">VLOOKUP(VLOOKUP(1,BV61:BW63,2,FALSE),BP61:BU63,6,FALSE)</f>
        <v>%</v>
      </c>
      <c r="CB63" s="1">
        <f ca="1">IF(CA63="%",1,VLOOKUP(CA63,'Unidades de medida'!$A$2:$B$9,2,FALSE))</f>
        <v>1</v>
      </c>
      <c r="CG63" s="28">
        <f t="shared" si="20"/>
        <v>1</v>
      </c>
      <c r="CY63" s="1">
        <f t="shared" ref="CY63" ca="1" si="535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454"/>
        <v>1.5E-5</v>
      </c>
      <c r="DF63" s="1">
        <f t="shared" ref="DF63" ca="1" si="536">IF(CY63=1,MAX(DE61:DE63),"-")</f>
        <v>1.5E-5</v>
      </c>
      <c r="DG63" s="1">
        <f t="shared" si="455"/>
        <v>3</v>
      </c>
      <c r="DH63" s="51">
        <f ca="1">HLOOKUP(CONCATENATE($CZ63,DH60),'Controle dos padrões'!$AB$96:$BY$116,CY60+1,FALSE)</f>
        <v>9.9999999996214228E-6</v>
      </c>
      <c r="DI63" s="1">
        <f t="shared" ca="1" si="456"/>
        <v>9.9999999996214228E-6</v>
      </c>
      <c r="DJ63" s="1">
        <f t="shared" ref="DJ63" ca="1" si="537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457"/>
        <v>9.9999999996214228E-6</v>
      </c>
      <c r="DM63" s="1">
        <f t="shared" ref="DM63" ca="1" si="538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389"/>
        <v>5ª</v>
      </c>
      <c r="I64" s="402">
        <v>0.99446999999999997</v>
      </c>
      <c r="J64" s="402"/>
      <c r="K64" s="402">
        <v>20</v>
      </c>
      <c r="L64" s="402"/>
      <c r="M64" s="60" t="str">
        <f t="shared" si="390"/>
        <v>°C</v>
      </c>
      <c r="O64" s="1" t="str">
        <f t="shared" ref="O64" si="539">IF(Q59=BU67,"Critério cliente :","")</f>
        <v/>
      </c>
      <c r="R64" s="408"/>
      <c r="S64" s="410"/>
      <c r="T64" s="195"/>
      <c r="Z64" s="51">
        <f t="shared" ca="1" si="391"/>
        <v>1.0029257535080716</v>
      </c>
      <c r="AA64" s="51">
        <f t="shared" ca="1" si="392"/>
        <v>0.99985917933542445</v>
      </c>
      <c r="AB64" s="51">
        <f t="shared" ca="1" si="393"/>
        <v>0.99995500000000004</v>
      </c>
      <c r="AC64" s="51">
        <f t="shared" ca="1" si="394"/>
        <v>1.0027393955335049</v>
      </c>
      <c r="AD64" s="51">
        <f t="shared" ref="AD64" ca="1" si="540">IF(AN64="","",AD60)</f>
        <v>1E-3</v>
      </c>
      <c r="AE64" s="51">
        <f t="shared" ref="AE64" ca="1" si="541">IF(AN64="","",AE60)</f>
        <v>220</v>
      </c>
      <c r="AF64" s="51">
        <f t="shared" ref="AF64" ca="1" si="542">IF(AN64="","",AF60)</f>
        <v>1.0000000000000001E-5</v>
      </c>
      <c r="AG64" s="51">
        <f t="shared" ref="AG64" ca="1" si="543">IF(AN64="","",AG60)</f>
        <v>9.9999999996214228E-6</v>
      </c>
      <c r="AH64" s="51" t="str">
        <f t="shared" ref="AH64" ca="1" si="544">IF(AN64="","",AH60)</f>
        <v>g</v>
      </c>
      <c r="AI64" s="69">
        <f t="shared" ref="AI64" ca="1" si="545">IF(AN64="","",AI60)</f>
        <v>5</v>
      </c>
      <c r="AJ64" s="51">
        <f t="shared" ref="AJ64" ca="1" si="546">IF(AN64="","",AJ60)</f>
        <v>9.9999999996214228E-6</v>
      </c>
      <c r="AK64" s="51">
        <f t="shared" ref="AK64" ca="1" si="547">IF(AN64="","",AK60)</f>
        <v>3.0000000000000001E-5</v>
      </c>
      <c r="AL64" s="51">
        <f t="shared" ref="AL64" ca="1" si="548">IF(AN64="","",AL60)</f>
        <v>2</v>
      </c>
      <c r="AM64" s="51">
        <f t="shared" ref="AM64" ca="1" si="549">IF(AN64="","",AM60)</f>
        <v>1000000</v>
      </c>
      <c r="AN64" s="51">
        <f t="shared" ref="AN64" ca="1" si="550">IF(I64="","",AN60)</f>
        <v>9</v>
      </c>
      <c r="AO64" s="51">
        <f t="shared" ref="AO64" ca="1" si="551">IF(I64="","",I64/AO57)</f>
        <v>0.99446999999999997</v>
      </c>
      <c r="AP64" s="51">
        <f t="shared" ref="AP64" ca="1" si="552">IF(AO64="","",AO64*AC64*AP57)</f>
        <v>997.19424667620456</v>
      </c>
      <c r="AQ64" s="51">
        <f t="shared" ca="1" si="401"/>
        <v>0.99818118273772027</v>
      </c>
      <c r="AR64" s="26">
        <f t="shared" ca="1" si="402"/>
        <v>20.100000000000001</v>
      </c>
      <c r="AS64" s="51">
        <f t="shared" ref="AS64" ca="1" si="553">IF(BL64="","",AS60)</f>
        <v>15</v>
      </c>
      <c r="AT64" s="51">
        <f t="shared" ref="AT64" ca="1" si="554">IF(BL64="","",AT60)</f>
        <v>35</v>
      </c>
      <c r="AU64" s="51">
        <f t="shared" ref="AU64" ca="1" si="555">IF(BL64="","",AU60)</f>
        <v>0.1</v>
      </c>
      <c r="AV64" s="51">
        <f t="shared" ref="AV64" ca="1" si="556">IF(BL64="","",AV60)</f>
        <v>1</v>
      </c>
      <c r="AW64" s="51">
        <f t="shared" ref="AW64" ca="1" si="557">IF(BL64="","",AW60)</f>
        <v>0.10000000000000142</v>
      </c>
      <c r="AX64" s="51">
        <f t="shared" ref="AX64" ca="1" si="558">IF(BL64="","",AX60)</f>
        <v>3.5374328320040616E-2</v>
      </c>
      <c r="AY64" s="51">
        <f t="shared" ref="AY64" ca="1" si="559">IF(BL64="","",AY60)</f>
        <v>3</v>
      </c>
      <c r="AZ64" s="51">
        <f t="shared" ref="AZ64" ca="1" si="560">IF(BL64="","",AZ60)</f>
        <v>0</v>
      </c>
      <c r="BA64" s="51">
        <f t="shared" ref="BA64" ca="1" si="561">IF(BL64="","",BA60)</f>
        <v>0</v>
      </c>
      <c r="BB64" s="51">
        <f t="shared" ref="BB64" ca="1" si="562">IF(BL64="","",BB60)</f>
        <v>0</v>
      </c>
      <c r="BC64" s="51">
        <f t="shared" ref="BC64" ca="1" si="563">IF(BL64="","",BC60)</f>
        <v>0</v>
      </c>
      <c r="BD64" s="51">
        <f t="shared" ref="BD64" ca="1" si="564">IF(BL64="","",BD60)</f>
        <v>0</v>
      </c>
      <c r="BE64" s="51">
        <f t="shared" ref="BE64" ca="1" si="565">IF(BL64="","",BE60)</f>
        <v>6.5711077831950271E-5</v>
      </c>
      <c r="BF64" s="51">
        <f t="shared" ref="BF64" ca="1" si="566">IF(BL64="","",BF60)</f>
        <v>-4.6375269312513749E-3</v>
      </c>
      <c r="BG64" s="51">
        <f t="shared" ref="BG64" ca="1" si="567">IF(BL64="","",BG60)</f>
        <v>1.0970866723681396</v>
      </c>
      <c r="BH64" s="51">
        <f t="shared" ref="BH64" ca="1" si="568">IF(BL64="","",BH60)</f>
        <v>-0.53012839192736561</v>
      </c>
      <c r="BI64" s="51">
        <f t="shared" ref="BI64" ca="1" si="569">IF(BL64="","",BI60)</f>
        <v>0.1</v>
      </c>
      <c r="BJ64" s="51">
        <f t="shared" ref="BJ64" ca="1" si="570">IF(BL64="","",BJ60)</f>
        <v>2</v>
      </c>
      <c r="BK64" s="51">
        <f t="shared" ref="BK64" ca="1" si="571">IF(BL64="","",BK60)</f>
        <v>1000000</v>
      </c>
      <c r="BL64" s="51">
        <f t="shared" ref="BL64" ca="1" si="572">IF(K64="","",BL60)</f>
        <v>97</v>
      </c>
      <c r="BN64" s="1">
        <f t="shared" si="376"/>
        <v>13</v>
      </c>
      <c r="CB64" s="1">
        <f t="shared" ref="CB64" ca="1" si="573">CB61/CB63</f>
        <v>1000</v>
      </c>
      <c r="CG64" s="28">
        <f t="shared" si="20"/>
        <v>1</v>
      </c>
      <c r="CY64" s="1">
        <f t="shared" ref="CY64" ca="1" si="574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454"/>
        <v>7.4999999999999993E-5</v>
      </c>
      <c r="DF64" s="1" t="str">
        <f t="shared" ref="DF64" ca="1" si="575">IF(CY64=1,MAX(DE61:DE64),"-")</f>
        <v>-</v>
      </c>
      <c r="DG64" s="1">
        <f t="shared" si="455"/>
        <v>4</v>
      </c>
      <c r="DH64" s="51">
        <f ca="1">HLOOKUP(CONCATENATE($CZ64,DH60),'Controle dos padrões'!$AB$96:$BY$116,CY60+1,FALSE)</f>
        <v>1.0000000003174137E-5</v>
      </c>
      <c r="DI64" s="1">
        <f t="shared" ca="1" si="456"/>
        <v>1.0000000003174137E-5</v>
      </c>
      <c r="DJ64" s="1" t="str">
        <f t="shared" ref="DJ64" ca="1" si="576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457"/>
        <v>0</v>
      </c>
      <c r="DM64" s="1" t="str">
        <f t="shared" ref="DM64" ca="1" si="577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389"/>
        <v>6ª</v>
      </c>
      <c r="I65" s="402">
        <v>0.99451000000000001</v>
      </c>
      <c r="J65" s="402"/>
      <c r="K65" s="402">
        <v>20</v>
      </c>
      <c r="L65" s="402"/>
      <c r="M65" s="60" t="str">
        <f t="shared" si="390"/>
        <v>°C</v>
      </c>
      <c r="O65" s="1" t="str">
        <f t="shared" ref="O65" si="578">IF(OR(K55="",K60=""),"","Temp. média corrigida:")</f>
        <v>Temp. média corrigida:</v>
      </c>
      <c r="S65" s="400" t="str">
        <f ca="1">IF(OR(K55="",K60=""),"",IF(COUNT(K60:L69)&lt;1,"",CONCATENATE(FIXED(AR71,AV60)," ",M60)))</f>
        <v>20,1 °C</v>
      </c>
      <c r="T65" s="400"/>
      <c r="Z65" s="51">
        <f t="shared" ca="1" si="391"/>
        <v>1.0029257535080716</v>
      </c>
      <c r="AA65" s="51">
        <f t="shared" ca="1" si="392"/>
        <v>0.99985917933542445</v>
      </c>
      <c r="AB65" s="51">
        <f t="shared" ca="1" si="393"/>
        <v>0.99995500000000004</v>
      </c>
      <c r="AC65" s="51">
        <f t="shared" ca="1" si="394"/>
        <v>1.0027393955335049</v>
      </c>
      <c r="AD65" s="51">
        <f t="shared" ref="AD65" ca="1" si="579">IF(AN65="","",AD60)</f>
        <v>1E-3</v>
      </c>
      <c r="AE65" s="51">
        <f t="shared" ref="AE65" ca="1" si="580">IF(AN65="","",AE60)</f>
        <v>220</v>
      </c>
      <c r="AF65" s="51">
        <f t="shared" ref="AF65" ca="1" si="581">IF(AN65="","",AF60)</f>
        <v>1.0000000000000001E-5</v>
      </c>
      <c r="AG65" s="51">
        <f t="shared" ref="AG65" ca="1" si="582">IF(AN65="","",AG60)</f>
        <v>9.9999999996214228E-6</v>
      </c>
      <c r="AH65" s="51" t="str">
        <f t="shared" ref="AH65" ca="1" si="583">IF(AN65="","",AH60)</f>
        <v>g</v>
      </c>
      <c r="AI65" s="69">
        <f t="shared" ref="AI65" ca="1" si="584">IF(AN65="","",AI60)</f>
        <v>5</v>
      </c>
      <c r="AJ65" s="51">
        <f t="shared" ref="AJ65" ca="1" si="585">IF(AN65="","",AJ60)</f>
        <v>9.9999999996214228E-6</v>
      </c>
      <c r="AK65" s="51">
        <f t="shared" ref="AK65" ca="1" si="586">IF(AN65="","",AK60)</f>
        <v>3.0000000000000001E-5</v>
      </c>
      <c r="AL65" s="51">
        <f t="shared" ref="AL65" ca="1" si="587">IF(AN65="","",AL60)</f>
        <v>2</v>
      </c>
      <c r="AM65" s="51">
        <f t="shared" ref="AM65" ca="1" si="588">IF(AN65="","",AM60)</f>
        <v>1000000</v>
      </c>
      <c r="AN65" s="51">
        <f t="shared" ref="AN65" ca="1" si="589">IF(I65="","",AN60)</f>
        <v>9</v>
      </c>
      <c r="AO65" s="51">
        <f t="shared" ref="AO65" ca="1" si="590">IF(I65="","",I65/AO57)</f>
        <v>0.99451000000000001</v>
      </c>
      <c r="AP65" s="51">
        <f t="shared" ref="AP65" ca="1" si="591">IF(AO65="","",AO65*AC65*AP57)</f>
        <v>997.23435625202592</v>
      </c>
      <c r="AQ65" s="51">
        <f t="shared" ca="1" si="401"/>
        <v>0.99818118273772027</v>
      </c>
      <c r="AR65" s="26">
        <f t="shared" ca="1" si="402"/>
        <v>20.100000000000001</v>
      </c>
      <c r="AS65" s="51">
        <f t="shared" ref="AS65" ca="1" si="592">IF(BL65="","",AS60)</f>
        <v>15</v>
      </c>
      <c r="AT65" s="51">
        <f t="shared" ref="AT65" ca="1" si="593">IF(BL65="","",AT60)</f>
        <v>35</v>
      </c>
      <c r="AU65" s="51">
        <f t="shared" ref="AU65" ca="1" si="594">IF(BL65="","",AU60)</f>
        <v>0.1</v>
      </c>
      <c r="AV65" s="51">
        <f t="shared" ref="AV65" ca="1" si="595">IF(BL65="","",AV60)</f>
        <v>1</v>
      </c>
      <c r="AW65" s="51">
        <f t="shared" ref="AW65" ca="1" si="596">IF(BL65="","",AW60)</f>
        <v>0.10000000000000142</v>
      </c>
      <c r="AX65" s="51">
        <f t="shared" ref="AX65" ca="1" si="597">IF(BL65="","",AX60)</f>
        <v>3.5374328320040616E-2</v>
      </c>
      <c r="AY65" s="51">
        <f t="shared" ref="AY65" ca="1" si="598">IF(BL65="","",AY60)</f>
        <v>3</v>
      </c>
      <c r="AZ65" s="51">
        <f t="shared" ref="AZ65" ca="1" si="599">IF(BL65="","",AZ60)</f>
        <v>0</v>
      </c>
      <c r="BA65" s="51">
        <f t="shared" ref="BA65" ca="1" si="600">IF(BL65="","",BA60)</f>
        <v>0</v>
      </c>
      <c r="BB65" s="51">
        <f t="shared" ref="BB65" ca="1" si="601">IF(BL65="","",BB60)</f>
        <v>0</v>
      </c>
      <c r="BC65" s="51">
        <f t="shared" ref="BC65" ca="1" si="602">IF(BL65="","",BC60)</f>
        <v>0</v>
      </c>
      <c r="BD65" s="51">
        <f t="shared" ref="BD65" ca="1" si="603">IF(BL65="","",BD60)</f>
        <v>0</v>
      </c>
      <c r="BE65" s="51">
        <f t="shared" ref="BE65" ca="1" si="604">IF(BL65="","",BE60)</f>
        <v>6.5711077831950271E-5</v>
      </c>
      <c r="BF65" s="51">
        <f t="shared" ref="BF65" ca="1" si="605">IF(BL65="","",BF60)</f>
        <v>-4.6375269312513749E-3</v>
      </c>
      <c r="BG65" s="51">
        <f t="shared" ref="BG65" ca="1" si="606">IF(BL65="","",BG60)</f>
        <v>1.0970866723681396</v>
      </c>
      <c r="BH65" s="51">
        <f t="shared" ref="BH65" ca="1" si="607">IF(BL65="","",BH60)</f>
        <v>-0.53012839192736561</v>
      </c>
      <c r="BI65" s="51">
        <f t="shared" ref="BI65" ca="1" si="608">IF(BL65="","",BI60)</f>
        <v>0.1</v>
      </c>
      <c r="BJ65" s="51">
        <f t="shared" ref="BJ65" ca="1" si="609">IF(BL65="","",BJ60)</f>
        <v>2</v>
      </c>
      <c r="BK65" s="51">
        <f t="shared" ref="BK65" ca="1" si="610">IF(BL65="","",BK60)</f>
        <v>1000000</v>
      </c>
      <c r="BL65" s="51">
        <f t="shared" ref="BL65" ca="1" si="611">IF(K65="","",BL60)</f>
        <v>97</v>
      </c>
      <c r="BN65" s="1">
        <f t="shared" si="376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9.9722934255504811E-2</v>
      </c>
      <c r="CA65" s="117" t="str">
        <f t="shared" ref="CA65" si="612">CA61</f>
        <v>µL</v>
      </c>
      <c r="CG65" s="28">
        <f t="shared" si="20"/>
        <v>1</v>
      </c>
      <c r="CY65" s="1">
        <f t="shared" ref="CY65" ca="1" si="613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454"/>
        <v>2.0000000000000001E-4</v>
      </c>
      <c r="DF65" s="1" t="str">
        <f t="shared" ref="DF65" ca="1" si="614">IF(CY65=1,MAX(DE61:DE65),"-")</f>
        <v>-</v>
      </c>
      <c r="DG65" s="1">
        <f t="shared" si="455"/>
        <v>5</v>
      </c>
      <c r="DH65" s="51">
        <f ca="1">HLOOKUP(CONCATENATE($CZ65,DH60),'Controle dos padrões'!$AB$96:$BY$116,CY60+1,FALSE)</f>
        <v>-1.0000000000331966E-4</v>
      </c>
      <c r="DI65" s="1">
        <f t="shared" ca="1" si="456"/>
        <v>1.0000000000331966E-4</v>
      </c>
      <c r="DJ65" s="1" t="str">
        <f t="shared" ref="DJ65" ca="1" si="615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457"/>
        <v>1.0000000000331966E-4</v>
      </c>
      <c r="DM65" s="1" t="str">
        <f t="shared" ref="DM65" ca="1" si="616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389"/>
        <v>7ª</v>
      </c>
      <c r="I66" s="402">
        <v>0.99453000000000003</v>
      </c>
      <c r="J66" s="402"/>
      <c r="K66" s="402">
        <v>20</v>
      </c>
      <c r="L66" s="402"/>
      <c r="M66" s="60" t="str">
        <f t="shared" si="390"/>
        <v>°C</v>
      </c>
      <c r="O66" s="1" t="str">
        <f t="shared" ref="O66" si="617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391"/>
        <v>1.0029257535080716</v>
      </c>
      <c r="AA66" s="51">
        <f t="shared" ca="1" si="392"/>
        <v>0.99985917933542445</v>
      </c>
      <c r="AB66" s="51">
        <f t="shared" ca="1" si="393"/>
        <v>0.99995500000000004</v>
      </c>
      <c r="AC66" s="51">
        <f t="shared" ca="1" si="394"/>
        <v>1.0027393955335049</v>
      </c>
      <c r="AD66" s="51">
        <f t="shared" ref="AD66" ca="1" si="618">IF(AN66="","",AD60)</f>
        <v>1E-3</v>
      </c>
      <c r="AE66" s="51">
        <f t="shared" ref="AE66" ca="1" si="619">IF(AN66="","",AE60)</f>
        <v>220</v>
      </c>
      <c r="AF66" s="51">
        <f t="shared" ref="AF66" ca="1" si="620">IF(AN66="","",AF60)</f>
        <v>1.0000000000000001E-5</v>
      </c>
      <c r="AG66" s="51">
        <f t="shared" ref="AG66" ca="1" si="621">IF(AN66="","",AG60)</f>
        <v>9.9999999996214228E-6</v>
      </c>
      <c r="AH66" s="51" t="str">
        <f t="shared" ref="AH66" ca="1" si="622">IF(AN66="","",AH60)</f>
        <v>g</v>
      </c>
      <c r="AI66" s="69">
        <f t="shared" ref="AI66" ca="1" si="623">IF(AN66="","",AI60)</f>
        <v>5</v>
      </c>
      <c r="AJ66" s="51">
        <f t="shared" ref="AJ66" ca="1" si="624">IF(AN66="","",AJ60)</f>
        <v>9.9999999996214228E-6</v>
      </c>
      <c r="AK66" s="51">
        <f t="shared" ref="AK66" ca="1" si="625">IF(AN66="","",AK60)</f>
        <v>3.0000000000000001E-5</v>
      </c>
      <c r="AL66" s="51">
        <f t="shared" ref="AL66" ca="1" si="626">IF(AN66="","",AL60)</f>
        <v>2</v>
      </c>
      <c r="AM66" s="51">
        <f t="shared" ref="AM66" ca="1" si="627">IF(AN66="","",AM60)</f>
        <v>1000000</v>
      </c>
      <c r="AN66" s="51">
        <f t="shared" ref="AN66" ca="1" si="628">IF(I66="","",AN60)</f>
        <v>9</v>
      </c>
      <c r="AO66" s="51">
        <f t="shared" ref="AO66" ca="1" si="629">IF(I66="","",I66/AO57)</f>
        <v>0.99453000000000003</v>
      </c>
      <c r="AP66" s="51">
        <f t="shared" ref="AP66" ca="1" si="630">IF(AO66="","",AO66*AC66*AP57)</f>
        <v>997.2544110399366</v>
      </c>
      <c r="AQ66" s="51">
        <f t="shared" ca="1" si="401"/>
        <v>0.99818118273772027</v>
      </c>
      <c r="AR66" s="26">
        <f t="shared" ca="1" si="402"/>
        <v>20.100000000000001</v>
      </c>
      <c r="AS66" s="51">
        <f t="shared" ref="AS66" ca="1" si="631">IF(BL66="","",AS60)</f>
        <v>15</v>
      </c>
      <c r="AT66" s="51">
        <f t="shared" ref="AT66" ca="1" si="632">IF(BL66="","",AT60)</f>
        <v>35</v>
      </c>
      <c r="AU66" s="51">
        <f t="shared" ref="AU66" ca="1" si="633">IF(BL66="","",AU60)</f>
        <v>0.1</v>
      </c>
      <c r="AV66" s="51">
        <f t="shared" ref="AV66" ca="1" si="634">IF(BL66="","",AV60)</f>
        <v>1</v>
      </c>
      <c r="AW66" s="51">
        <f t="shared" ref="AW66" ca="1" si="635">IF(BL66="","",AW60)</f>
        <v>0.10000000000000142</v>
      </c>
      <c r="AX66" s="51">
        <f t="shared" ref="AX66" ca="1" si="636">IF(BL66="","",AX60)</f>
        <v>3.5374328320040616E-2</v>
      </c>
      <c r="AY66" s="51">
        <f t="shared" ref="AY66" ca="1" si="637">IF(BL66="","",AY60)</f>
        <v>3</v>
      </c>
      <c r="AZ66" s="51">
        <f t="shared" ref="AZ66" ca="1" si="638">IF(BL66="","",AZ60)</f>
        <v>0</v>
      </c>
      <c r="BA66" s="51">
        <f t="shared" ref="BA66" ca="1" si="639">IF(BL66="","",BA60)</f>
        <v>0</v>
      </c>
      <c r="BB66" s="51">
        <f t="shared" ref="BB66" ca="1" si="640">IF(BL66="","",BB60)</f>
        <v>0</v>
      </c>
      <c r="BC66" s="51">
        <f t="shared" ref="BC66" ca="1" si="641">IF(BL66="","",BC60)</f>
        <v>0</v>
      </c>
      <c r="BD66" s="51">
        <f t="shared" ref="BD66" ca="1" si="642">IF(BL66="","",BD60)</f>
        <v>0</v>
      </c>
      <c r="BE66" s="51">
        <f t="shared" ref="BE66" ca="1" si="643">IF(BL66="","",BE60)</f>
        <v>6.5711077831950271E-5</v>
      </c>
      <c r="BF66" s="51">
        <f t="shared" ref="BF66" ca="1" si="644">IF(BL66="","",BF60)</f>
        <v>-4.6375269312513749E-3</v>
      </c>
      <c r="BG66" s="51">
        <f t="shared" ref="BG66" ca="1" si="645">IF(BL66="","",BG60)</f>
        <v>1.0970866723681396</v>
      </c>
      <c r="BH66" s="51">
        <f t="shared" ref="BH66" ca="1" si="646">IF(BL66="","",BH60)</f>
        <v>-0.53012839192736561</v>
      </c>
      <c r="BI66" s="51">
        <f t="shared" ref="BI66" ca="1" si="647">IF(BL66="","",BI60)</f>
        <v>0.1</v>
      </c>
      <c r="BJ66" s="51">
        <f t="shared" ref="BJ66" ca="1" si="648">IF(BL66="","",BJ60)</f>
        <v>2</v>
      </c>
      <c r="BK66" s="51">
        <f t="shared" ref="BK66" ca="1" si="649">IF(BL66="","",BK60)</f>
        <v>1000000</v>
      </c>
      <c r="BL66" s="51">
        <f t="shared" ref="BL66" ca="1" si="650">IF(K66="","",BL60)</f>
        <v>97</v>
      </c>
      <c r="BN66" s="1">
        <f t="shared" si="376"/>
        <v>15</v>
      </c>
      <c r="CG66" s="28">
        <f t="shared" si="20"/>
        <v>1</v>
      </c>
      <c r="CY66" s="1">
        <f t="shared" ref="CY66" ca="1" si="651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454"/>
        <v>2.5000000000000001E-4</v>
      </c>
      <c r="DF66" s="1" t="str">
        <f t="shared" ref="DF66" ca="1" si="652">IF(CY66=1,MAX(DE61:DE66),"-")</f>
        <v>-</v>
      </c>
      <c r="DG66" s="1">
        <f t="shared" si="455"/>
        <v>6</v>
      </c>
      <c r="DH66" s="51">
        <f ca="1">HLOOKUP(CONCATENATE($CZ66,DH60),'Controle dos padrões'!$AB$96:$BY$116,CY60+1,FALSE)</f>
        <v>-1.0000000000331966E-4</v>
      </c>
      <c r="DI66" s="1">
        <f t="shared" ca="1" si="456"/>
        <v>1.0000000000331966E-4</v>
      </c>
      <c r="DJ66" s="1" t="str">
        <f t="shared" ref="DJ66" ca="1" si="653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457"/>
        <v>1.0000000000331966E-4</v>
      </c>
      <c r="DM66" s="1" t="str">
        <f t="shared" ref="DM66" ca="1" si="654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389"/>
        <v>8ª</v>
      </c>
      <c r="I67" s="402">
        <v>0.99448999999999999</v>
      </c>
      <c r="J67" s="402"/>
      <c r="K67" s="402">
        <v>20</v>
      </c>
      <c r="L67" s="402"/>
      <c r="M67" s="60" t="str">
        <f t="shared" si="390"/>
        <v>°C</v>
      </c>
      <c r="Z67" s="51">
        <f t="shared" ca="1" si="391"/>
        <v>1.0029257535080716</v>
      </c>
      <c r="AA67" s="51">
        <f t="shared" ca="1" si="392"/>
        <v>0.99985917933542445</v>
      </c>
      <c r="AB67" s="51">
        <f t="shared" ca="1" si="393"/>
        <v>0.99995500000000004</v>
      </c>
      <c r="AC67" s="51">
        <f t="shared" ca="1" si="394"/>
        <v>1.0027393955335049</v>
      </c>
      <c r="AD67" s="51">
        <f t="shared" ref="AD67" ca="1" si="655">IF(AN67="","",AD60)</f>
        <v>1E-3</v>
      </c>
      <c r="AE67" s="51">
        <f t="shared" ref="AE67" ca="1" si="656">IF(AN67="","",AE60)</f>
        <v>220</v>
      </c>
      <c r="AF67" s="51">
        <f t="shared" ref="AF67" ca="1" si="657">IF(AN67="","",AF60)</f>
        <v>1.0000000000000001E-5</v>
      </c>
      <c r="AG67" s="51">
        <f t="shared" ref="AG67" ca="1" si="658">IF(AN67="","",AG60)</f>
        <v>9.9999999996214228E-6</v>
      </c>
      <c r="AH67" s="51" t="str">
        <f t="shared" ref="AH67" ca="1" si="659">IF(AN67="","",AH60)</f>
        <v>g</v>
      </c>
      <c r="AI67" s="69">
        <f t="shared" ref="AI67" ca="1" si="660">IF(AN67="","",AI60)</f>
        <v>5</v>
      </c>
      <c r="AJ67" s="51">
        <f t="shared" ref="AJ67" ca="1" si="661">IF(AN67="","",AJ60)</f>
        <v>9.9999999996214228E-6</v>
      </c>
      <c r="AK67" s="51">
        <f t="shared" ref="AK67" ca="1" si="662">IF(AN67="","",AK60)</f>
        <v>3.0000000000000001E-5</v>
      </c>
      <c r="AL67" s="51">
        <f t="shared" ref="AL67" ca="1" si="663">IF(AN67="","",AL60)</f>
        <v>2</v>
      </c>
      <c r="AM67" s="51">
        <f t="shared" ref="AM67" ca="1" si="664">IF(AN67="","",AM60)</f>
        <v>1000000</v>
      </c>
      <c r="AN67" s="51">
        <f t="shared" ref="AN67" ca="1" si="665">IF(I67="","",AN60)</f>
        <v>9</v>
      </c>
      <c r="AO67" s="51">
        <f t="shared" ref="AO67" ca="1" si="666">IF(I67="","",I67/AO57)</f>
        <v>0.99448999999999999</v>
      </c>
      <c r="AP67" s="51">
        <f t="shared" ref="AP67" ca="1" si="667">IF(AO67="","",AO67*AC67*AP57)</f>
        <v>997.21430146411524</v>
      </c>
      <c r="AQ67" s="51">
        <f t="shared" ca="1" si="401"/>
        <v>0.99818118273772027</v>
      </c>
      <c r="AR67" s="26">
        <f t="shared" ca="1" si="402"/>
        <v>20.100000000000001</v>
      </c>
      <c r="AS67" s="51">
        <f t="shared" ref="AS67" ca="1" si="668">IF(BL67="","",AS60)</f>
        <v>15</v>
      </c>
      <c r="AT67" s="51">
        <f t="shared" ref="AT67" ca="1" si="669">IF(BL67="","",AT60)</f>
        <v>35</v>
      </c>
      <c r="AU67" s="51">
        <f t="shared" ref="AU67" ca="1" si="670">IF(BL67="","",AU60)</f>
        <v>0.1</v>
      </c>
      <c r="AV67" s="51">
        <f t="shared" ref="AV67" ca="1" si="671">IF(BL67="","",AV60)</f>
        <v>1</v>
      </c>
      <c r="AW67" s="51">
        <f t="shared" ref="AW67" ca="1" si="672">IF(BL67="","",AW60)</f>
        <v>0.10000000000000142</v>
      </c>
      <c r="AX67" s="51">
        <f t="shared" ref="AX67" ca="1" si="673">IF(BL67="","",AX60)</f>
        <v>3.5374328320040616E-2</v>
      </c>
      <c r="AY67" s="51">
        <f t="shared" ref="AY67" ca="1" si="674">IF(BL67="","",AY60)</f>
        <v>3</v>
      </c>
      <c r="AZ67" s="51">
        <f t="shared" ref="AZ67" ca="1" si="675">IF(BL67="","",AZ60)</f>
        <v>0</v>
      </c>
      <c r="BA67" s="51">
        <f t="shared" ref="BA67" ca="1" si="676">IF(BL67="","",BA60)</f>
        <v>0</v>
      </c>
      <c r="BB67" s="51">
        <f t="shared" ref="BB67" ca="1" si="677">IF(BL67="","",BB60)</f>
        <v>0</v>
      </c>
      <c r="BC67" s="51">
        <f t="shared" ref="BC67" ca="1" si="678">IF(BL67="","",BC60)</f>
        <v>0</v>
      </c>
      <c r="BD67" s="51">
        <f t="shared" ref="BD67" ca="1" si="679">IF(BL67="","",BD60)</f>
        <v>0</v>
      </c>
      <c r="BE67" s="51">
        <f t="shared" ref="BE67" ca="1" si="680">IF(BL67="","",BE60)</f>
        <v>6.5711077831950271E-5</v>
      </c>
      <c r="BF67" s="51">
        <f t="shared" ref="BF67" ca="1" si="681">IF(BL67="","",BF60)</f>
        <v>-4.6375269312513749E-3</v>
      </c>
      <c r="BG67" s="51">
        <f t="shared" ref="BG67" ca="1" si="682">IF(BL67="","",BG60)</f>
        <v>1.0970866723681396</v>
      </c>
      <c r="BH67" s="51">
        <f t="shared" ref="BH67" ca="1" si="683">IF(BL67="","",BH60)</f>
        <v>-0.53012839192736561</v>
      </c>
      <c r="BI67" s="51">
        <f t="shared" ref="BI67" ca="1" si="684">IF(BL67="","",BI60)</f>
        <v>0.1</v>
      </c>
      <c r="BJ67" s="51">
        <f t="shared" ref="BJ67" ca="1" si="685">IF(BL67="","",BJ60)</f>
        <v>2</v>
      </c>
      <c r="BK67" s="51">
        <f t="shared" ref="BK67" ca="1" si="686">IF(BL67="","",BK60)</f>
        <v>1000000</v>
      </c>
      <c r="BL67" s="51">
        <f t="shared" ref="BL67" ca="1" si="687">IF(K67="","",BL60)</f>
        <v>97</v>
      </c>
      <c r="BN67" s="1">
        <f t="shared" si="376"/>
        <v>16</v>
      </c>
      <c r="BP67" s="1" t="s">
        <v>483</v>
      </c>
      <c r="BQ67" s="1" t="str">
        <f>IF($J$4&lt;&gt;"","-","8665-2 - Micropipeta Mono")</f>
        <v>8665-2 - Micropipeta Mono</v>
      </c>
      <c r="BR67" s="1" t="str">
        <f>IF($J$4&lt;&gt;"","-","8665-2 - Micropipeta Multi")</f>
        <v>8665-2 - Micropipeta Multi</v>
      </c>
      <c r="BS67" s="1" t="str">
        <f>IF($J$4&lt;&gt;"","-","8665-3 - Bureta Auto")</f>
        <v>8665-3 - Bureta Auto</v>
      </c>
      <c r="BT67" s="1" t="str">
        <f>IF($J$4&lt;&gt;"","-","8665-3 - Bureta Manual")</f>
        <v>8665-3 - Bureta Manual</v>
      </c>
      <c r="BU67" s="1" t="s">
        <v>484</v>
      </c>
      <c r="BV67" s="1">
        <f t="shared" ref="BV67" si="688">IF(BU67=Q59,1,0)</f>
        <v>0</v>
      </c>
      <c r="CG67" s="28">
        <f t="shared" si="20"/>
        <v>1</v>
      </c>
      <c r="CY67" s="1">
        <f t="shared" ref="CY67" ca="1" si="689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454"/>
        <v>4.0000000000000002E-4</v>
      </c>
      <c r="DF67" s="1" t="str">
        <f t="shared" ref="DF67" ca="1" si="690">IF(CY67=1,MAX(DE61:DE67),"-")</f>
        <v>-</v>
      </c>
      <c r="DG67" s="1">
        <f t="shared" si="455"/>
        <v>7</v>
      </c>
      <c r="DH67" s="51">
        <f ca="1">HLOOKUP(CONCATENATE($CZ67,DH60),'Controle dos padrões'!$AB$96:$BY$116,CY60+1,FALSE)</f>
        <v>2.0000000000663931E-4</v>
      </c>
      <c r="DI67" s="1">
        <f t="shared" ca="1" si="456"/>
        <v>2.0000000000663931E-4</v>
      </c>
      <c r="DJ67" s="1" t="str">
        <f t="shared" ref="DJ67" ca="1" si="691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457"/>
        <v>1.0000000000331966E-4</v>
      </c>
      <c r="DM67" s="1" t="str">
        <f t="shared" ref="DM67" ca="1" si="692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389"/>
        <v>9ª</v>
      </c>
      <c r="I68" s="402">
        <v>0.99446999999999997</v>
      </c>
      <c r="J68" s="402"/>
      <c r="K68" s="402">
        <v>20</v>
      </c>
      <c r="L68" s="402"/>
      <c r="M68" s="60" t="str">
        <f t="shared" si="390"/>
        <v>°C</v>
      </c>
      <c r="Z68" s="51">
        <f t="shared" ca="1" si="391"/>
        <v>1.0029257535080716</v>
      </c>
      <c r="AA68" s="51">
        <f t="shared" ca="1" si="392"/>
        <v>0.99985917933542445</v>
      </c>
      <c r="AB68" s="51">
        <f t="shared" ca="1" si="393"/>
        <v>0.99995500000000004</v>
      </c>
      <c r="AC68" s="51">
        <f t="shared" ca="1" si="394"/>
        <v>1.0027393955335049</v>
      </c>
      <c r="AD68" s="51">
        <f t="shared" ref="AD68" ca="1" si="693">IF(AN68="","",AD60)</f>
        <v>1E-3</v>
      </c>
      <c r="AE68" s="51">
        <f t="shared" ref="AE68" ca="1" si="694">IF(AN68="","",AE60)</f>
        <v>220</v>
      </c>
      <c r="AF68" s="51">
        <f t="shared" ref="AF68" ca="1" si="695">IF(AN68="","",AF60)</f>
        <v>1.0000000000000001E-5</v>
      </c>
      <c r="AG68" s="51">
        <f t="shared" ref="AG68" ca="1" si="696">IF(AN68="","",AG60)</f>
        <v>9.9999999996214228E-6</v>
      </c>
      <c r="AH68" s="51" t="str">
        <f t="shared" ref="AH68" ca="1" si="697">IF(AN68="","",AH60)</f>
        <v>g</v>
      </c>
      <c r="AI68" s="69">
        <f t="shared" ref="AI68" ca="1" si="698">IF(AN68="","",AI60)</f>
        <v>5</v>
      </c>
      <c r="AJ68" s="51">
        <f t="shared" ref="AJ68" ca="1" si="699">IF(AN68="","",AJ60)</f>
        <v>9.9999999996214228E-6</v>
      </c>
      <c r="AK68" s="51">
        <f t="shared" ref="AK68" ca="1" si="700">IF(AN68="","",AK60)</f>
        <v>3.0000000000000001E-5</v>
      </c>
      <c r="AL68" s="51">
        <f t="shared" ref="AL68" ca="1" si="701">IF(AN68="","",AL60)</f>
        <v>2</v>
      </c>
      <c r="AM68" s="51">
        <f t="shared" ref="AM68" ca="1" si="702">IF(AN68="","",AM60)</f>
        <v>1000000</v>
      </c>
      <c r="AN68" s="51">
        <f t="shared" ref="AN68" ca="1" si="703">IF(I68="","",AN60)</f>
        <v>9</v>
      </c>
      <c r="AO68" s="51">
        <f t="shared" ref="AO68" ca="1" si="704">IF(I68="","",I68/AO57)</f>
        <v>0.99446999999999997</v>
      </c>
      <c r="AP68" s="51">
        <f t="shared" ref="AP68" ca="1" si="705">IF(AO68="","",AO68*AC68*AP57)</f>
        <v>997.19424667620456</v>
      </c>
      <c r="AQ68" s="51">
        <f t="shared" ca="1" si="401"/>
        <v>0.99818118273772027</v>
      </c>
      <c r="AR68" s="26">
        <f t="shared" ca="1" si="402"/>
        <v>20.100000000000001</v>
      </c>
      <c r="AS68" s="51">
        <f t="shared" ref="AS68" ca="1" si="706">IF(BL68="","",AS60)</f>
        <v>15</v>
      </c>
      <c r="AT68" s="51">
        <f t="shared" ref="AT68" ca="1" si="707">IF(BL68="","",AT60)</f>
        <v>35</v>
      </c>
      <c r="AU68" s="51">
        <f t="shared" ref="AU68" ca="1" si="708">IF(BL68="","",AU60)</f>
        <v>0.1</v>
      </c>
      <c r="AV68" s="51">
        <f t="shared" ref="AV68" ca="1" si="709">IF(BL68="","",AV60)</f>
        <v>1</v>
      </c>
      <c r="AW68" s="51">
        <f t="shared" ref="AW68" ca="1" si="710">IF(BL68="","",AW60)</f>
        <v>0.10000000000000142</v>
      </c>
      <c r="AX68" s="51">
        <f t="shared" ref="AX68" ca="1" si="711">IF(BL68="","",AX60)</f>
        <v>3.5374328320040616E-2</v>
      </c>
      <c r="AY68" s="51">
        <f t="shared" ref="AY68" ca="1" si="712">IF(BL68="","",AY60)</f>
        <v>3</v>
      </c>
      <c r="AZ68" s="51">
        <f t="shared" ref="AZ68" ca="1" si="713">IF(BL68="","",AZ60)</f>
        <v>0</v>
      </c>
      <c r="BA68" s="51">
        <f t="shared" ref="BA68" ca="1" si="714">IF(BL68="","",BA60)</f>
        <v>0</v>
      </c>
      <c r="BB68" s="51">
        <f t="shared" ref="BB68" ca="1" si="715">IF(BL68="","",BB60)</f>
        <v>0</v>
      </c>
      <c r="BC68" s="51">
        <f t="shared" ref="BC68" ca="1" si="716">IF(BL68="","",BC60)</f>
        <v>0</v>
      </c>
      <c r="BD68" s="51">
        <f t="shared" ref="BD68" ca="1" si="717">IF(BL68="","",BD60)</f>
        <v>0</v>
      </c>
      <c r="BE68" s="51">
        <f t="shared" ref="BE68" ca="1" si="718">IF(BL68="","",BE60)</f>
        <v>6.5711077831950271E-5</v>
      </c>
      <c r="BF68" s="51">
        <f t="shared" ref="BF68" ca="1" si="719">IF(BL68="","",BF60)</f>
        <v>-4.6375269312513749E-3</v>
      </c>
      <c r="BG68" s="51">
        <f t="shared" ref="BG68" ca="1" si="720">IF(BL68="","",BG60)</f>
        <v>1.0970866723681396</v>
      </c>
      <c r="BH68" s="51">
        <f t="shared" ref="BH68" ca="1" si="721">IF(BL68="","",BH60)</f>
        <v>-0.53012839192736561</v>
      </c>
      <c r="BI68" s="51">
        <f t="shared" ref="BI68" ca="1" si="722">IF(BL68="","",BI60)</f>
        <v>0.1</v>
      </c>
      <c r="BJ68" s="51">
        <f t="shared" ref="BJ68" ca="1" si="723">IF(BL68="","",BJ60)</f>
        <v>2</v>
      </c>
      <c r="BK68" s="51">
        <f t="shared" ref="BK68" ca="1" si="724">IF(BL68="","",BK60)</f>
        <v>1000000</v>
      </c>
      <c r="BL68" s="51">
        <f t="shared" ref="BL68" ca="1" si="725">IF(K68="","",BL60)</f>
        <v>97</v>
      </c>
      <c r="BN68" s="1">
        <f t="shared" si="376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726">IF(T64="","-",IF(T64="%",E54*R64/100,R64))</f>
        <v>-</v>
      </c>
      <c r="CG68" s="28">
        <f t="shared" si="20"/>
        <v>1</v>
      </c>
      <c r="CY68" s="1">
        <f t="shared" ref="CY68" ca="1" si="727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454"/>
        <v>-</v>
      </c>
      <c r="DF68" s="1" t="str">
        <f t="shared" ref="DF68" ca="1" si="728">IF(CY68=1,MAX(DE61:DE68),"-")</f>
        <v>-</v>
      </c>
      <c r="DG68" s="1">
        <f t="shared" si="455"/>
        <v>8</v>
      </c>
      <c r="DH68" s="51">
        <f ca="1">HLOOKUP(CONCATENATE($CZ68,DH60),'Controle dos padrões'!$AB$96:$BY$116,CY60+1,FALSE)</f>
        <v>0</v>
      </c>
      <c r="DI68" s="1">
        <f t="shared" ca="1" si="456"/>
        <v>0</v>
      </c>
      <c r="DJ68" s="1" t="str">
        <f t="shared" ref="DJ68" ca="1" si="729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457"/>
        <v>0</v>
      </c>
      <c r="DM68" s="1" t="str">
        <f t="shared" ref="DM68" ca="1" si="730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389"/>
        <v>10ª</v>
      </c>
      <c r="I69" s="402">
        <v>0.99453000000000003</v>
      </c>
      <c r="J69" s="402"/>
      <c r="K69" s="402">
        <v>20</v>
      </c>
      <c r="L69" s="402"/>
      <c r="M69" s="60" t="str">
        <f t="shared" si="390"/>
        <v>°C</v>
      </c>
      <c r="Z69" s="51">
        <f t="shared" ca="1" si="391"/>
        <v>1.0029257535080716</v>
      </c>
      <c r="AA69" s="51">
        <f t="shared" ca="1" si="392"/>
        <v>0.99985917933542445</v>
      </c>
      <c r="AB69" s="51">
        <f t="shared" ca="1" si="393"/>
        <v>0.99995500000000004</v>
      </c>
      <c r="AC69" s="51">
        <f t="shared" ca="1" si="394"/>
        <v>1.0027393955335049</v>
      </c>
      <c r="AD69" s="51">
        <f t="shared" ref="AD69" ca="1" si="731">IF(AN69="","",AD60)</f>
        <v>1E-3</v>
      </c>
      <c r="AE69" s="51">
        <f t="shared" ref="AE69" ca="1" si="732">IF(AN69="","",AE60)</f>
        <v>220</v>
      </c>
      <c r="AF69" s="51">
        <f t="shared" ref="AF69" ca="1" si="733">IF(AN69="","",AF60)</f>
        <v>1.0000000000000001E-5</v>
      </c>
      <c r="AG69" s="51">
        <f t="shared" ref="AG69" ca="1" si="734">IF(AN69="","",AG60)</f>
        <v>9.9999999996214228E-6</v>
      </c>
      <c r="AH69" s="51" t="str">
        <f t="shared" ref="AH69" ca="1" si="735">IF(AN69="","",AH60)</f>
        <v>g</v>
      </c>
      <c r="AI69" s="69">
        <f t="shared" ref="AI69" ca="1" si="736">IF(AN69="","",AI60)</f>
        <v>5</v>
      </c>
      <c r="AJ69" s="51">
        <f t="shared" ref="AJ69" ca="1" si="737">IF(AN69="","",AJ60)</f>
        <v>9.9999999996214228E-6</v>
      </c>
      <c r="AK69" s="51">
        <f t="shared" ref="AK69" ca="1" si="738">IF(AN69="","",AK60)</f>
        <v>3.0000000000000001E-5</v>
      </c>
      <c r="AL69" s="51">
        <f t="shared" ref="AL69" ca="1" si="739">IF(AN69="","",AL60)</f>
        <v>2</v>
      </c>
      <c r="AM69" s="51">
        <f t="shared" ref="AM69" ca="1" si="740">IF(AN69="","",AM60)</f>
        <v>1000000</v>
      </c>
      <c r="AN69" s="51">
        <f t="shared" ref="AN69" ca="1" si="741">IF(I69="","",AN60)</f>
        <v>9</v>
      </c>
      <c r="AO69" s="51">
        <f t="shared" ref="AO69" ca="1" si="742">IF(I69="","",I69/AO57)</f>
        <v>0.99453000000000003</v>
      </c>
      <c r="AP69" s="51">
        <f t="shared" ref="AP69" ca="1" si="743">IF(AO69="","",AO69*AC69*AP57)</f>
        <v>997.2544110399366</v>
      </c>
      <c r="AQ69" s="51">
        <f t="shared" ca="1" si="401"/>
        <v>0.99818118273772027</v>
      </c>
      <c r="AR69" s="26">
        <f t="shared" ca="1" si="402"/>
        <v>20.100000000000001</v>
      </c>
      <c r="AS69" s="51">
        <f t="shared" ref="AS69" ca="1" si="744">IF(BL69="","",AS60)</f>
        <v>15</v>
      </c>
      <c r="AT69" s="51">
        <f t="shared" ref="AT69" ca="1" si="745">IF(BL69="","",AT60)</f>
        <v>35</v>
      </c>
      <c r="AU69" s="51">
        <f t="shared" ref="AU69" ca="1" si="746">IF(BL69="","",AU60)</f>
        <v>0.1</v>
      </c>
      <c r="AV69" s="51">
        <f t="shared" ref="AV69" ca="1" si="747">IF(BL69="","",AV60)</f>
        <v>1</v>
      </c>
      <c r="AW69" s="51">
        <f t="shared" ref="AW69" ca="1" si="748">IF(BL69="","",AW60)</f>
        <v>0.10000000000000142</v>
      </c>
      <c r="AX69" s="51">
        <f t="shared" ref="AX69" ca="1" si="749">IF(BL69="","",AX60)</f>
        <v>3.5374328320040616E-2</v>
      </c>
      <c r="AY69" s="51">
        <f t="shared" ref="AY69" ca="1" si="750">IF(BL69="","",AY60)</f>
        <v>3</v>
      </c>
      <c r="AZ69" s="51">
        <f t="shared" ref="AZ69" ca="1" si="751">IF(BL69="","",AZ60)</f>
        <v>0</v>
      </c>
      <c r="BA69" s="51">
        <f t="shared" ref="BA69" ca="1" si="752">IF(BL69="","",BA60)</f>
        <v>0</v>
      </c>
      <c r="BB69" s="51">
        <f t="shared" ref="BB69" ca="1" si="753">IF(BL69="","",BB60)</f>
        <v>0</v>
      </c>
      <c r="BC69" s="51">
        <f t="shared" ref="BC69" ca="1" si="754">IF(BL69="","",BC60)</f>
        <v>0</v>
      </c>
      <c r="BD69" s="51">
        <f t="shared" ref="BD69" ca="1" si="755">IF(BL69="","",BD60)</f>
        <v>0</v>
      </c>
      <c r="BE69" s="51">
        <f t="shared" ref="BE69" ca="1" si="756">IF(BL69="","",BE60)</f>
        <v>6.5711077831950271E-5</v>
      </c>
      <c r="BF69" s="51">
        <f t="shared" ref="BF69" ca="1" si="757">IF(BL69="","",BF60)</f>
        <v>-4.6375269312513749E-3</v>
      </c>
      <c r="BG69" s="51">
        <f t="shared" ref="BG69" ca="1" si="758">IF(BL69="","",BG60)</f>
        <v>1.0970866723681396</v>
      </c>
      <c r="BH69" s="51">
        <f t="shared" ref="BH69" ca="1" si="759">IF(BL69="","",BH60)</f>
        <v>-0.53012839192736561</v>
      </c>
      <c r="BI69" s="51">
        <f t="shared" ref="BI69" ca="1" si="760">IF(BL69="","",BI60)</f>
        <v>0.1</v>
      </c>
      <c r="BJ69" s="51">
        <f t="shared" ref="BJ69" ca="1" si="761">IF(BL69="","",BJ60)</f>
        <v>2</v>
      </c>
      <c r="BK69" s="51">
        <f t="shared" ref="BK69" ca="1" si="762">IF(BL69="","",BK60)</f>
        <v>1000000</v>
      </c>
      <c r="BL69" s="51">
        <f t="shared" ref="BL69" ca="1" si="763">IF(K69="","",BL60)</f>
        <v>97</v>
      </c>
      <c r="BN69" s="1">
        <f t="shared" si="376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0"/>
        <v>1</v>
      </c>
      <c r="CY69" s="1">
        <f t="shared" ref="CY69" ca="1" si="764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454"/>
        <v>-</v>
      </c>
      <c r="DF69" s="1" t="str">
        <f t="shared" ref="DF69" ca="1" si="765">IF(CY69=1,MAX(DE61:DE69),"-")</f>
        <v>-</v>
      </c>
      <c r="DG69" s="1">
        <f t="shared" si="455"/>
        <v>9</v>
      </c>
      <c r="DH69" s="51">
        <f ca="1">HLOOKUP(CONCATENATE($CZ69,DH60),'Controle dos padrões'!$AB$96:$BY$116,CY60+1,FALSE)</f>
        <v>0</v>
      </c>
      <c r="DI69" s="1">
        <f t="shared" ca="1" si="456"/>
        <v>0</v>
      </c>
      <c r="DJ69" s="1" t="str">
        <f t="shared" ref="DJ69" ca="1" si="766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457"/>
        <v>0</v>
      </c>
      <c r="DM69" s="1" t="str">
        <f t="shared" ref="DM69" ca="1" si="767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768">IF(AR71="","",ROUND(MAX(AR60:AR69)-MIN(AR60:AR69),AV60))</f>
        <v>0</v>
      </c>
      <c r="AS70" s="28">
        <f t="shared" ref="AS70" ca="1" si="769">IF(AR70="","",IF(AR70&gt;0.3,1,0))</f>
        <v>0</v>
      </c>
      <c r="BN70" s="1">
        <f t="shared" si="376"/>
        <v>19</v>
      </c>
      <c r="CG70" s="28">
        <f t="shared" si="20"/>
        <v>1</v>
      </c>
      <c r="CY70" s="1">
        <f t="shared" ref="CY70" ca="1" si="770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454"/>
        <v>-</v>
      </c>
      <c r="DF70" s="1" t="str">
        <f t="shared" ref="DF70" ca="1" si="771">IF(CY70=1,MAX(DE61:DE70),"-")</f>
        <v>-</v>
      </c>
      <c r="DG70" s="1">
        <f t="shared" si="455"/>
        <v>10</v>
      </c>
      <c r="DH70" s="51">
        <f ca="1">HLOOKUP(CONCATENATE($CZ70,DH60),'Controle dos padrões'!$AB$96:$BY$116,CY60+1,FALSE)</f>
        <v>0</v>
      </c>
      <c r="DI70" s="1">
        <f t="shared" ca="1" si="456"/>
        <v>0</v>
      </c>
      <c r="DJ70" s="1" t="str">
        <f t="shared" ref="DJ70" ca="1" si="772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457"/>
        <v>0</v>
      </c>
      <c r="DM70" s="1" t="str">
        <f t="shared" ref="DM70" ca="1" si="773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774">IF(Z60="","",AVERAGE(Z60:Z69))</f>
        <v>1.0029257535080716</v>
      </c>
      <c r="AA71" s="51">
        <f t="shared" ca="1" si="774"/>
        <v>0.99985917933542434</v>
      </c>
      <c r="AB71" s="51">
        <f t="shared" ca="1" si="774"/>
        <v>0.99995500000000015</v>
      </c>
      <c r="AC71" s="51">
        <f t="shared" ca="1" si="774"/>
        <v>1.0027393955335049</v>
      </c>
      <c r="AO71" s="51">
        <f t="shared" ref="AO71" ca="1" si="775">IF(AO60="","",AVERAGE(AO60:AO69))</f>
        <v>0.99450499999999997</v>
      </c>
      <c r="AP71" s="51">
        <f t="shared" ref="AP71" ca="1" si="776">IFERROR(IF(AP60="","",AVERAGE(AP60:AP69)),"")</f>
        <v>997.22934255504811</v>
      </c>
      <c r="AQ71" s="51">
        <f t="shared" ref="AQ71:AR71" ca="1" si="777">IF(AQ60="","",AVERAGE(AQ60:AQ69))</f>
        <v>0.9981811827377205</v>
      </c>
      <c r="AR71" s="51">
        <f t="shared" ca="1" si="777"/>
        <v>20.099999999999998</v>
      </c>
      <c r="BN71" s="1">
        <f t="shared" si="376"/>
        <v>20</v>
      </c>
      <c r="CG71" s="28">
        <f t="shared" si="20"/>
        <v>1</v>
      </c>
      <c r="DA71" s="1">
        <f t="shared" ref="DA71" ca="1" si="778">MAX(DA61:DA70)</f>
        <v>220</v>
      </c>
    </row>
    <row r="72" spans="1:117" s="192" customFormat="1" x14ac:dyDescent="0.3">
      <c r="CG72" s="194">
        <f t="shared" si="20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>BM52+1</f>
        <v>4</v>
      </c>
      <c r="BN73" s="1">
        <v>1</v>
      </c>
      <c r="CG73" s="28" t="str">
        <f t="shared" ref="CG73" si="779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>BN73+1</f>
        <v>2</v>
      </c>
      <c r="CG74" s="28" t="str">
        <f t="shared" si="20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ref="BN75:BN92" si="780">BN74+1</f>
        <v>3</v>
      </c>
      <c r="CG75" s="28" t="str">
        <f t="shared" si="20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781">IF(AP77&lt;=1,0,STDEV(AP81:AP90)/SQRT(AP77))</f>
        <v>0</v>
      </c>
      <c r="AQ76" s="51" t="s">
        <v>621</v>
      </c>
      <c r="BN76" s="1">
        <f t="shared" si="780"/>
        <v>4</v>
      </c>
      <c r="CG76" s="28" t="str">
        <f t="shared" si="20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782">BZ86</f>
        <v>#N/A</v>
      </c>
      <c r="AP77" s="51">
        <f t="shared" ref="AP77" si="783">COUNT(AP81:AP90)</f>
        <v>0</v>
      </c>
      <c r="AQ77" s="51" t="e">
        <f>VLOOKUP(CONCATENATE($A$2,".",BM73),'Evaporação do fluido'!$H$1:$L$84,5,FALSE)</f>
        <v>#VALUE!</v>
      </c>
      <c r="BN77" s="1">
        <f t="shared" si="780"/>
        <v>5</v>
      </c>
      <c r="CG77" s="28" t="str">
        <f t="shared" si="20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780"/>
        <v>6</v>
      </c>
      <c r="CG78" s="28" t="str">
        <f t="shared" si="20"/>
        <v>0</v>
      </c>
      <c r="CZ78" s="1">
        <f>IF(DC80=0,0,IF(DC78&gt;DA92,1,0))</f>
        <v>0</v>
      </c>
      <c r="DA78" s="1" t="s">
        <v>665</v>
      </c>
      <c r="DC78" s="1">
        <f t="shared" ref="DC78" ca="1" si="784">DC79+DC80</f>
        <v>2.67353</v>
      </c>
      <c r="DD78" s="1">
        <f ca="1">VLOOKUP(AH81,'Unidades de medida'!$I$2:$J$5,2,FALSE)</f>
        <v>1</v>
      </c>
      <c r="DE78" s="1">
        <f t="shared" ref="DE78" ca="1" si="785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411" t="s">
        <v>295</v>
      </c>
      <c r="AE79" s="411"/>
      <c r="AF79" s="411"/>
      <c r="AG79" s="411"/>
      <c r="AH79" s="411"/>
      <c r="AI79" s="411"/>
      <c r="AJ79" s="411"/>
      <c r="AK79" s="411"/>
      <c r="AL79" s="411"/>
      <c r="AM79" s="411"/>
      <c r="AN79" s="411"/>
      <c r="AO79" s="62" t="s">
        <v>274</v>
      </c>
      <c r="AP79" s="62" t="s">
        <v>279</v>
      </c>
      <c r="AQ79" s="62" t="s">
        <v>280</v>
      </c>
      <c r="AR79" s="412" t="s">
        <v>289</v>
      </c>
      <c r="AS79" s="413" t="s">
        <v>290</v>
      </c>
      <c r="AT79" s="413"/>
      <c r="AU79" s="413"/>
      <c r="AV79" s="413"/>
      <c r="AW79" s="413"/>
      <c r="AX79" s="413"/>
      <c r="AY79" s="413"/>
      <c r="AZ79" s="413"/>
      <c r="BA79" s="413"/>
      <c r="BB79" s="413"/>
      <c r="BC79" s="413"/>
      <c r="BD79" s="413"/>
      <c r="BE79" s="413"/>
      <c r="BF79" s="413"/>
      <c r="BG79" s="413"/>
      <c r="BH79" s="413"/>
      <c r="BI79" s="413"/>
      <c r="BJ79" s="413"/>
      <c r="BK79" s="413"/>
      <c r="BL79" s="413"/>
      <c r="BN79" s="1">
        <f t="shared" si="780"/>
        <v>7</v>
      </c>
      <c r="CG79" s="28" t="str">
        <f t="shared" si="20"/>
        <v>0</v>
      </c>
      <c r="DA79" s="1" t="s">
        <v>664</v>
      </c>
      <c r="DC79" s="1">
        <f t="shared" ref="DC79" ca="1" si="786">$Q$7*DE78</f>
        <v>2.67353</v>
      </c>
      <c r="DD79" s="1">
        <f>VLOOKUP($S$7,'Unidades de medida'!$I$2:$J$5,2,FALSE)</f>
        <v>1</v>
      </c>
      <c r="DE79" s="1">
        <f t="shared" ref="DE79" ca="1" si="787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18">
        <f>Q59</f>
        <v>0</v>
      </c>
      <c r="R80" s="418"/>
      <c r="S80" s="418"/>
      <c r="T80" s="418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788">G75</f>
        <v>µL</v>
      </c>
      <c r="AQ80" s="63" t="s">
        <v>281</v>
      </c>
      <c r="AR80" s="412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780"/>
        <v>8</v>
      </c>
      <c r="CG80" s="28" t="str">
        <f t="shared" si="20"/>
        <v>0</v>
      </c>
      <c r="CZ80" s="1" t="s">
        <v>666</v>
      </c>
      <c r="DA80" s="1" t="s">
        <v>667</v>
      </c>
      <c r="DC80" s="1">
        <f t="shared" ref="DC80" si="789">MAX(AO81:AO90)</f>
        <v>0</v>
      </c>
      <c r="DE80" s="320" t="s">
        <v>668</v>
      </c>
      <c r="DF80" s="320"/>
      <c r="DG80" s="320">
        <f t="shared" ref="DG80" ca="1" si="790">VLOOKUP(DE79,CZ82:DD91,3,FALSE)</f>
        <v>3.0000000000000001E-5</v>
      </c>
      <c r="DH80" s="320">
        <f t="shared" ref="DH80" ca="1" si="791">VLOOKUP(DE79,CZ82:DD91,4,FALSE)</f>
        <v>2</v>
      </c>
      <c r="DI80" s="320">
        <f t="shared" ref="DI80" ca="1" si="792">VLOOKUP(DE79,CZ82:DD91,5,FALSE)</f>
        <v>1000000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>IF(E80="","",FIXED(ROUND(E75-E80,B83),B83,TRUE))</f>
        <v/>
      </c>
      <c r="F81" s="400"/>
      <c r="G81" s="1" t="str">
        <f>G80</f>
        <v/>
      </c>
      <c r="H81" s="51" t="str">
        <f t="shared" ref="H81:H90" si="793">IF(I81="","",CONCATENATE(BN77-4,"ª"))</f>
        <v/>
      </c>
      <c r="I81" s="402"/>
      <c r="J81" s="402"/>
      <c r="K81" s="402"/>
      <c r="L81" s="402"/>
      <c r="M81" s="60" t="str">
        <f t="shared" ref="M81:M90" si="794">IF(I81="","","°C")</f>
        <v/>
      </c>
      <c r="Q81" s="411" t="s">
        <v>481</v>
      </c>
      <c r="R81" s="411"/>
      <c r="S81" s="411" t="s">
        <v>482</v>
      </c>
      <c r="T81" s="411"/>
      <c r="Z81" s="51" t="str">
        <f t="shared" ref="Z81:Z90" si="795">IF(AQ81="","",(1/(AQ81-$AU$5)))</f>
        <v/>
      </c>
      <c r="AA81" s="51" t="str">
        <f t="shared" ref="AA81:AA90" si="796">IF(AQ81="","",1-($AU$5/$AU$6))</f>
        <v/>
      </c>
      <c r="AB81" s="51" t="str">
        <f t="shared" ref="AB81:AB90" si="797">IF(AO81="","",(1-($AU$7*(AR81-20))))</f>
        <v/>
      </c>
      <c r="AC81" s="51" t="str">
        <f t="shared" ref="AC81:AC90" si="798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799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800">IF(AF81="","",IF(AF81&gt;=1,0,LEN(AF81)-2))</f>
        <v>5</v>
      </c>
      <c r="AJ81" s="51">
        <f t="shared" ref="AJ81" ca="1" si="801">IF($AN81="","",DM81)</f>
        <v>9.9999999996214228E-6</v>
      </c>
      <c r="AK81" s="51">
        <f t="shared" ref="AK81" ca="1" si="802">IF($AN81="","",DG80)</f>
        <v>3.0000000000000001E-5</v>
      </c>
      <c r="AL81" s="51">
        <f t="shared" ref="AL81:AM81" ca="1" si="803">IF(AK81="","",DH80)</f>
        <v>2</v>
      </c>
      <c r="AM81" s="51">
        <f t="shared" ca="1" si="803"/>
        <v>1000000</v>
      </c>
      <c r="AN81" s="51">
        <f ca="1">IF(K75="","",IF(K75="","",VLOOKUP(K75,'Controle dos padrões'!$CV$97:$CW$116,2,FALSE)))</f>
        <v>9</v>
      </c>
      <c r="AO81" s="51" t="str">
        <f t="shared" ref="AO81" si="804">IF(I81="","",I81/AO78)</f>
        <v/>
      </c>
      <c r="AP81" s="51" t="str">
        <f t="shared" ref="AP81" si="805">IF(AO81="","",AO81*AC81*AP78)</f>
        <v/>
      </c>
      <c r="AQ81" s="51" t="str">
        <f t="shared" ref="AQ81:AQ90" si="806">IF(AR81="","",(($AQ$7*AR81^5)+($AQ$6*AR81^4)+($AQ$5*AR81^3)+($AQ$4*AR81^2)+($AQ$3*AR81)+$AQ$2)/1000)</f>
        <v/>
      </c>
      <c r="AR81" s="26" t="str">
        <f t="shared" ref="AR81:AR90" si="807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808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809">IF(BI81="","",2)</f>
        <v/>
      </c>
      <c r="BK81" s="51" t="str">
        <f t="shared" ref="BK81" si="810">IF(BJ81="","",1000000)</f>
        <v/>
      </c>
      <c r="BL81" s="51" t="str">
        <f>IF(K81="","",IF(K76="","",VLOOKUP(K76,'Controle dos padrões'!$CV$74:$CW$93,2,FALSE)))</f>
        <v/>
      </c>
      <c r="BN81" s="1">
        <f t="shared" si="780"/>
        <v>9</v>
      </c>
      <c r="BP81" s="1">
        <f t="shared" ref="BP81" si="811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812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0"/>
        <v>0</v>
      </c>
      <c r="CY81" s="1">
        <f ca="1">VLOOKUP(CZ81,'Controle dos padrões'!$CW$97:$CX$116,2,FALSE)</f>
        <v>5</v>
      </c>
      <c r="CZ81" s="1">
        <f t="shared" ref="CZ81" ca="1" si="813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814">MAX(DF82:DF91)</f>
        <v>1.5E-5</v>
      </c>
      <c r="DH81" s="322" t="s">
        <v>674</v>
      </c>
      <c r="DI81" s="323" t="s">
        <v>675</v>
      </c>
      <c r="DJ81" s="320">
        <f t="shared" ref="DJ81" ca="1" si="815">MAX(DJ82:DJ91)</f>
        <v>9.9999999996214228E-6</v>
      </c>
      <c r="DK81" s="322" t="s">
        <v>676</v>
      </c>
      <c r="DL81" s="320" t="s">
        <v>677</v>
      </c>
      <c r="DM81" s="320">
        <f t="shared" ref="DM81" ca="1" si="816">MAX(DM82:DM91)</f>
        <v>9.9999999996214228E-6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R1'!$S$4:$W$163,2,FALSE))</f>
        <v/>
      </c>
      <c r="F82" s="400"/>
      <c r="G82" s="1" t="str">
        <f>G81</f>
        <v/>
      </c>
      <c r="H82" s="51" t="str">
        <f t="shared" si="793"/>
        <v/>
      </c>
      <c r="I82" s="402"/>
      <c r="J82" s="402"/>
      <c r="K82" s="402"/>
      <c r="L82" s="402"/>
      <c r="M82" s="60" t="str">
        <f t="shared" si="794"/>
        <v/>
      </c>
      <c r="O82" s="1" t="s">
        <v>477</v>
      </c>
      <c r="Q82" s="29" t="e">
        <f t="shared" ref="Q82" si="817">HLOOKUP(Q80,BP88:BU90,2,FALSE)</f>
        <v>#N/A</v>
      </c>
      <c r="R82" s="30" t="str">
        <f t="shared" ref="R82" si="818">G75</f>
        <v>µL</v>
      </c>
      <c r="S82" s="29" t="e">
        <f t="shared" ref="S82" si="819">HLOOKUP(Q80,BP88:BU90,3,FALSE)</f>
        <v>#N/A</v>
      </c>
      <c r="T82" s="30" t="str">
        <f t="shared" ref="T82" si="820">G75</f>
        <v>µL</v>
      </c>
      <c r="U82" s="61">
        <f t="shared" ref="U82" si="821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795"/>
        <v/>
      </c>
      <c r="AA82" s="51" t="str">
        <f t="shared" si="796"/>
        <v/>
      </c>
      <c r="AB82" s="51" t="str">
        <f t="shared" si="797"/>
        <v/>
      </c>
      <c r="AC82" s="51" t="str">
        <f t="shared" si="798"/>
        <v/>
      </c>
      <c r="AD82" s="51" t="str">
        <f t="shared" ref="AD82" si="822">IF(AN82="","",AD81)</f>
        <v/>
      </c>
      <c r="AE82" s="51" t="str">
        <f t="shared" ref="AE82" si="823">IF(AN82="","",AE81)</f>
        <v/>
      </c>
      <c r="AF82" s="51" t="str">
        <f t="shared" ref="AF82" si="824">IF(AN82="","",AF81)</f>
        <v/>
      </c>
      <c r="AG82" s="51" t="str">
        <f t="shared" ref="AG82" si="825">IF(AN82="","",AG81)</f>
        <v/>
      </c>
      <c r="AH82" s="51" t="str">
        <f t="shared" ref="AH82" si="826">IF(AN82="","",AH81)</f>
        <v/>
      </c>
      <c r="AI82" s="69" t="str">
        <f t="shared" ref="AI82" si="827">IF(AN82="","",AI81)</f>
        <v/>
      </c>
      <c r="AJ82" s="51" t="str">
        <f t="shared" ref="AJ82" si="828">IF(AN82="","",AJ81)</f>
        <v/>
      </c>
      <c r="AK82" s="51" t="str">
        <f t="shared" ref="AK82" si="829">IF(AN82="","",AK81)</f>
        <v/>
      </c>
      <c r="AL82" s="51" t="str">
        <f t="shared" ref="AL82" si="830">IF(AN82="","",AL81)</f>
        <v/>
      </c>
      <c r="AM82" s="51" t="str">
        <f t="shared" ref="AM82" si="831">IF(AN82="","",AM81)</f>
        <v/>
      </c>
      <c r="AN82" s="51" t="str">
        <f t="shared" ref="AN82" si="832">IF(I82="","",AN81)</f>
        <v/>
      </c>
      <c r="AO82" s="51" t="str">
        <f t="shared" ref="AO82" si="833">IF(I82="","",I82/AO78)</f>
        <v/>
      </c>
      <c r="AP82" s="51" t="str">
        <f t="shared" ref="AP82" si="834">IF(AO82="","",AO82*AC82*AP78)</f>
        <v/>
      </c>
      <c r="AQ82" s="51" t="str">
        <f t="shared" si="806"/>
        <v/>
      </c>
      <c r="AR82" s="26" t="str">
        <f t="shared" si="807"/>
        <v/>
      </c>
      <c r="AS82" s="51" t="str">
        <f t="shared" ref="AS82" si="835">IF(BL82="","",AS81)</f>
        <v/>
      </c>
      <c r="AT82" s="51" t="str">
        <f t="shared" ref="AT82" si="836">IF(BL82="","",AT81)</f>
        <v/>
      </c>
      <c r="AU82" s="51" t="str">
        <f t="shared" ref="AU82" si="837">IF(BL82="","",AU81)</f>
        <v/>
      </c>
      <c r="AV82" s="51" t="str">
        <f t="shared" ref="AV82" si="838">IF(BL82="","",AV81)</f>
        <v/>
      </c>
      <c r="AW82" s="51" t="str">
        <f t="shared" ref="AW82" si="839">IF(BL82="","",AW81)</f>
        <v/>
      </c>
      <c r="AX82" s="51" t="str">
        <f t="shared" ref="AX82" si="840">IF(BL82="","",AX81)</f>
        <v/>
      </c>
      <c r="AY82" s="51" t="str">
        <f t="shared" ref="AY82" si="841">IF(BL82="","",AY81)</f>
        <v/>
      </c>
      <c r="AZ82" s="51" t="str">
        <f t="shared" ref="AZ82" si="842">IF(BL82="","",AZ81)</f>
        <v/>
      </c>
      <c r="BA82" s="51" t="str">
        <f t="shared" ref="BA82" si="843">IF(BL82="","",BA81)</f>
        <v/>
      </c>
      <c r="BB82" s="51" t="str">
        <f t="shared" ref="BB82" si="844">IF(BL82="","",BB81)</f>
        <v/>
      </c>
      <c r="BC82" s="51" t="str">
        <f t="shared" ref="BC82" si="845">IF(BL82="","",BC81)</f>
        <v/>
      </c>
      <c r="BD82" s="51" t="str">
        <f t="shared" ref="BD82" si="846">IF(BL82="","",BD81)</f>
        <v/>
      </c>
      <c r="BE82" s="51" t="str">
        <f t="shared" ref="BE82" si="847">IF(BL82="","",BE81)</f>
        <v/>
      </c>
      <c r="BF82" s="51" t="str">
        <f t="shared" ref="BF82" si="848">IF(BL82="","",BF81)</f>
        <v/>
      </c>
      <c r="BG82" s="51" t="str">
        <f t="shared" ref="BG82" si="849">IF(BL82="","",BG81)</f>
        <v/>
      </c>
      <c r="BH82" s="51" t="str">
        <f t="shared" ref="BH82" si="850">IF(BL82="","",BH81)</f>
        <v/>
      </c>
      <c r="BI82" s="51" t="str">
        <f t="shared" ref="BI82" si="851">IF(BL82="","",BI81)</f>
        <v/>
      </c>
      <c r="BJ82" s="51" t="str">
        <f t="shared" ref="BJ82" si="852">IF(BL82="","",BJ81)</f>
        <v/>
      </c>
      <c r="BK82" s="51" t="str">
        <f t="shared" ref="BK82" si="853">IF(BL82="","",BK81)</f>
        <v/>
      </c>
      <c r="BL82" s="51" t="str">
        <f t="shared" ref="BL82" si="854">IF(K82="","",BL81)</f>
        <v/>
      </c>
      <c r="BN82" s="1">
        <f t="shared" si="780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855">IF(OR(BZ81&lt;BR82,BZ81&gt;BS82),0,1)</f>
        <v>#VALUE!</v>
      </c>
      <c r="BW82" s="1">
        <f t="shared" ref="BW82:BW84" si="856">BP82</f>
        <v>1</v>
      </c>
      <c r="BY82" s="1" t="s">
        <v>431</v>
      </c>
      <c r="BZ82" s="1" t="str">
        <f t="shared" ref="BZ82" si="857">AP92</f>
        <v/>
      </c>
      <c r="CA82" s="1" t="str">
        <f t="shared" ref="CA82" si="858">AP80</f>
        <v>µL</v>
      </c>
      <c r="CB82" s="1">
        <f>VLOOKUP(CA82,'Unidades de medida'!$A$2:$B$9,2,FALSE)</f>
        <v>1000</v>
      </c>
      <c r="CG82" s="28" t="str">
        <f t="shared" si="20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859">IF(DB82="-","-",DB82/DC82)</f>
        <v>9.9009900990099013E-6</v>
      </c>
      <c r="DG82" s="1">
        <f t="shared" ref="DG82:DG91" si="860">CZ82</f>
        <v>1</v>
      </c>
      <c r="DH82" s="51">
        <f ca="1">HLOOKUP(CONCATENATE($CZ82,DH81),'Controle dos padrões'!$AB$96:$BY$116,CY81+1,FALSE)</f>
        <v>0</v>
      </c>
      <c r="DI82" s="1">
        <f t="shared" ref="DI82" ca="1" si="861">ABS(DH82)</f>
        <v>0</v>
      </c>
      <c r="DK82" s="51">
        <f ca="1">HLOOKUP(CONCATENATE($CZ82,DK81),'Controle dos padrões'!$AB$96:$CI$116,CY81+1,FALSE)</f>
        <v>0</v>
      </c>
      <c r="DL82" s="1">
        <f t="shared" ref="DL82" ca="1" si="862">ABS(DK82)</f>
        <v>0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R1'!$S$4:$W$163,5,FALSE),"")</f>
        <v/>
      </c>
      <c r="C83" s="190">
        <f>IF(E76="",0,IF(E76&gt;=1,0,LEN(E76)-2))</f>
        <v>0</v>
      </c>
      <c r="D83" s="68" t="s">
        <v>614</v>
      </c>
      <c r="E83" s="400" t="str">
        <f>IF(E81="","",VLOOKUP(BM73,'Incerteza - R1'!$S$4:$W$163,3,FALSE))</f>
        <v/>
      </c>
      <c r="F83" s="400"/>
      <c r="H83" s="51" t="str">
        <f t="shared" si="793"/>
        <v/>
      </c>
      <c r="I83" s="402"/>
      <c r="J83" s="402"/>
      <c r="K83" s="402"/>
      <c r="L83" s="402"/>
      <c r="M83" s="60" t="str">
        <f t="shared" si="794"/>
        <v/>
      </c>
      <c r="O83" s="417" t="s">
        <v>485</v>
      </c>
      <c r="P83" s="417"/>
      <c r="Q83" s="411" t="e">
        <f t="shared" ref="Q83" si="863">IF(Q82="-","-",IF(U83&lt;=Q82,"Aprovado",IF(U83&gt;Q82,"Reprovado","")))</f>
        <v>#N/A</v>
      </c>
      <c r="R83" s="411"/>
      <c r="S83" s="411" t="e">
        <f t="shared" ref="S83" si="864">IF(S82="-","-",IF(X83&lt;=S82,"Aprovado",IF(X83&gt;S82,"Reprovado","")))</f>
        <v>#N/A</v>
      </c>
      <c r="T83" s="411"/>
      <c r="U83" s="61" t="e">
        <f t="shared" ref="U83" si="865">HLOOKUP(U82,V82:W83,2,FALSE)</f>
        <v>#VALUE!</v>
      </c>
      <c r="V83" s="61" t="e">
        <f t="shared" ref="V83" si="866">ABS(E81*1)</f>
        <v>#VALUE!</v>
      </c>
      <c r="W83" s="61" t="e">
        <f t="shared" ref="W83" si="867">ABS(E81*1)+(E82*1)</f>
        <v>#VALUE!</v>
      </c>
      <c r="X83" s="61">
        <f t="shared" ref="X83" si="868">MAX(AP81:AP90)-MIN(AP81:AP90)</f>
        <v>0</v>
      </c>
      <c r="Z83" s="51" t="str">
        <f t="shared" si="795"/>
        <v/>
      </c>
      <c r="AA83" s="51" t="str">
        <f t="shared" si="796"/>
        <v/>
      </c>
      <c r="AB83" s="51" t="str">
        <f t="shared" si="797"/>
        <v/>
      </c>
      <c r="AC83" s="51" t="str">
        <f t="shared" si="798"/>
        <v/>
      </c>
      <c r="AD83" s="51" t="str">
        <f t="shared" ref="AD83" si="869">IF(AN83="","",AD81)</f>
        <v/>
      </c>
      <c r="AE83" s="51" t="str">
        <f t="shared" ref="AE83" si="870">IF(AN83="","",AE81)</f>
        <v/>
      </c>
      <c r="AF83" s="51" t="str">
        <f t="shared" ref="AF83" si="871">IF(AN83="","",AF81)</f>
        <v/>
      </c>
      <c r="AG83" s="51" t="str">
        <f t="shared" ref="AG83" si="872">IF(AN83="","",AG81)</f>
        <v/>
      </c>
      <c r="AH83" s="51" t="str">
        <f t="shared" ref="AH83" si="873">IF(AN83="","",AH81)</f>
        <v/>
      </c>
      <c r="AI83" s="69" t="str">
        <f t="shared" ref="AI83" si="874">IF(AN83="","",AI81)</f>
        <v/>
      </c>
      <c r="AJ83" s="51" t="str">
        <f t="shared" ref="AJ83" si="875">IF(AN83="","",AJ81)</f>
        <v/>
      </c>
      <c r="AK83" s="51" t="str">
        <f t="shared" ref="AK83" si="876">IF(AN83="","",AK81)</f>
        <v/>
      </c>
      <c r="AL83" s="51" t="str">
        <f t="shared" ref="AL83" si="877">IF(AN83="","",AL81)</f>
        <v/>
      </c>
      <c r="AM83" s="51" t="str">
        <f t="shared" ref="AM83" si="878">IF(AN83="","",AM81)</f>
        <v/>
      </c>
      <c r="AN83" s="51" t="str">
        <f t="shared" ref="AN83" si="879">IF(I83="","",AN81)</f>
        <v/>
      </c>
      <c r="AO83" s="51" t="str">
        <f t="shared" ref="AO83" si="880">IF(I83="","",I83/AO78)</f>
        <v/>
      </c>
      <c r="AP83" s="51" t="str">
        <f t="shared" ref="AP83" si="881">IF(AO83="","",AO83*AC83*AP78)</f>
        <v/>
      </c>
      <c r="AQ83" s="51" t="str">
        <f t="shared" si="806"/>
        <v/>
      </c>
      <c r="AR83" s="26" t="str">
        <f t="shared" si="807"/>
        <v/>
      </c>
      <c r="AS83" s="51" t="str">
        <f t="shared" ref="AS83" si="882">IF(BL83="","",AS81)</f>
        <v/>
      </c>
      <c r="AT83" s="51" t="str">
        <f t="shared" ref="AT83" si="883">IF(BL83="","",AT81)</f>
        <v/>
      </c>
      <c r="AU83" s="51" t="str">
        <f t="shared" ref="AU83" si="884">IF(BL83="","",AU81)</f>
        <v/>
      </c>
      <c r="AV83" s="51" t="str">
        <f t="shared" ref="AV83" si="885">IF(BL83="","",AV81)</f>
        <v/>
      </c>
      <c r="AW83" s="51" t="str">
        <f t="shared" ref="AW83" si="886">IF(BL83="","",AW81)</f>
        <v/>
      </c>
      <c r="AX83" s="51" t="str">
        <f t="shared" ref="AX83" si="887">IF(BL83="","",AX81)</f>
        <v/>
      </c>
      <c r="AY83" s="51" t="str">
        <f t="shared" ref="AY83" si="888">IF(BL83="","",AY81)</f>
        <v/>
      </c>
      <c r="AZ83" s="51" t="str">
        <f t="shared" ref="AZ83" si="889">IF(BL83="","",AZ81)</f>
        <v/>
      </c>
      <c r="BA83" s="51" t="str">
        <f t="shared" ref="BA83" si="890">IF(BL83="","",BA81)</f>
        <v/>
      </c>
      <c r="BB83" s="51" t="str">
        <f t="shared" ref="BB83" si="891">IF(BL83="","",BB81)</f>
        <v/>
      </c>
      <c r="BC83" s="51" t="str">
        <f t="shared" ref="BC83" si="892">IF(BL83="","",BC81)</f>
        <v/>
      </c>
      <c r="BD83" s="51" t="str">
        <f t="shared" ref="BD83" si="893">IF(BL83="","",BD81)</f>
        <v/>
      </c>
      <c r="BE83" s="51" t="str">
        <f t="shared" ref="BE83" si="894">IF(BL83="","",BE81)</f>
        <v/>
      </c>
      <c r="BF83" s="51" t="str">
        <f t="shared" ref="BF83" si="895">IF(BL83="","",BF81)</f>
        <v/>
      </c>
      <c r="BG83" s="51" t="str">
        <f t="shared" ref="BG83" si="896">IF(BL83="","",BG81)</f>
        <v/>
      </c>
      <c r="BH83" s="51" t="str">
        <f t="shared" ref="BH83" si="897">IF(BL83="","",BH81)</f>
        <v/>
      </c>
      <c r="BI83" s="51" t="str">
        <f t="shared" ref="BI83" si="898">IF(BL83="","",BI81)</f>
        <v/>
      </c>
      <c r="BJ83" s="51" t="str">
        <f t="shared" ref="BJ83" si="899">IF(BL83="","",BJ81)</f>
        <v/>
      </c>
      <c r="BK83" s="51" t="str">
        <f t="shared" ref="BK83" si="900">IF(BL83="","",BK81)</f>
        <v/>
      </c>
      <c r="BL83" s="51" t="str">
        <f t="shared" ref="BL83" si="901">IF(K83="","",BL81)</f>
        <v/>
      </c>
      <c r="BN83" s="1">
        <f t="shared" si="780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902">IF(OR(BZ81&lt;BR83,BZ81&gt;BS83),0,1)</f>
        <v>#VALUE!</v>
      </c>
      <c r="BW83" s="1">
        <f t="shared" si="856"/>
        <v>2</v>
      </c>
      <c r="CB83" s="1">
        <f t="shared" ref="CB83" si="903">CB81/CB82</f>
        <v>1E-3</v>
      </c>
      <c r="CG83" s="28" t="str">
        <f t="shared" si="20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859"/>
        <v>1.0000000000000001E-5</v>
      </c>
      <c r="DG83" s="1">
        <f t="shared" si="860"/>
        <v>2</v>
      </c>
      <c r="DH83" s="51">
        <f ca="1">HLOOKUP(CONCATENATE($CZ83,DH81),'Controle dos padrões'!$AB$96:$BY$116,CY81+1,FALSE)</f>
        <v>0</v>
      </c>
      <c r="DI83" s="1">
        <f t="shared" ca="1" si="456"/>
        <v>0</v>
      </c>
      <c r="DK83" s="51">
        <f ca="1">HLOOKUP(CONCATENATE($CZ83,DK81),'Controle dos padrões'!$AB$96:$CI$116,CY81+1,FALSE)</f>
        <v>0</v>
      </c>
      <c r="DL83" s="1">
        <f t="shared" ca="1" si="457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R1'!$S$4:$W$163,4,FALSE))</f>
        <v/>
      </c>
      <c r="F84" s="400"/>
      <c r="H84" s="51" t="str">
        <f t="shared" si="793"/>
        <v/>
      </c>
      <c r="I84" s="402"/>
      <c r="J84" s="402"/>
      <c r="K84" s="402"/>
      <c r="L84" s="402"/>
      <c r="M84" s="60" t="str">
        <f t="shared" si="794"/>
        <v/>
      </c>
      <c r="Z84" s="51" t="str">
        <f t="shared" si="795"/>
        <v/>
      </c>
      <c r="AA84" s="51" t="str">
        <f t="shared" si="796"/>
        <v/>
      </c>
      <c r="AB84" s="51" t="str">
        <f t="shared" si="797"/>
        <v/>
      </c>
      <c r="AC84" s="51" t="str">
        <f t="shared" si="798"/>
        <v/>
      </c>
      <c r="AD84" s="51" t="str">
        <f t="shared" ref="AD84" si="904">IF(AN84="","",AD81)</f>
        <v/>
      </c>
      <c r="AE84" s="51" t="str">
        <f t="shared" ref="AE84" si="905">IF(AN84="","",AE81)</f>
        <v/>
      </c>
      <c r="AF84" s="51" t="str">
        <f t="shared" ref="AF84" si="906">IF(AN84="","",AF81)</f>
        <v/>
      </c>
      <c r="AG84" s="51" t="str">
        <f t="shared" ref="AG84" si="907">IF(AN84="","",AG81)</f>
        <v/>
      </c>
      <c r="AH84" s="51" t="str">
        <f t="shared" ref="AH84" si="908">IF(AN84="","",AH81)</f>
        <v/>
      </c>
      <c r="AI84" s="69" t="str">
        <f t="shared" ref="AI84" si="909">IF(AN84="","",AI81)</f>
        <v/>
      </c>
      <c r="AJ84" s="51" t="str">
        <f t="shared" ref="AJ84" si="910">IF(AN84="","",AJ81)</f>
        <v/>
      </c>
      <c r="AK84" s="51" t="str">
        <f t="shared" ref="AK84" si="911">IF(AN84="","",AK81)</f>
        <v/>
      </c>
      <c r="AL84" s="51" t="str">
        <f t="shared" ref="AL84" si="912">IF(AN84="","",AL81)</f>
        <v/>
      </c>
      <c r="AM84" s="51" t="str">
        <f t="shared" ref="AM84" si="913">IF(AN84="","",AM81)</f>
        <v/>
      </c>
      <c r="AN84" s="51" t="str">
        <f t="shared" ref="AN84" si="914">IF(I84="","",AN81)</f>
        <v/>
      </c>
      <c r="AO84" s="51" t="str">
        <f t="shared" ref="AO84" si="915">IF(I84="","",I84/AO78)</f>
        <v/>
      </c>
      <c r="AP84" s="51" t="str">
        <f t="shared" ref="AP84" si="916">IF(AO84="","",AO84*AC84*AP78)</f>
        <v/>
      </c>
      <c r="AQ84" s="51" t="str">
        <f t="shared" si="806"/>
        <v/>
      </c>
      <c r="AR84" s="26" t="str">
        <f t="shared" si="807"/>
        <v/>
      </c>
      <c r="AS84" s="51" t="str">
        <f t="shared" ref="AS84" si="917">IF(BL84="","",AS81)</f>
        <v/>
      </c>
      <c r="AT84" s="51" t="str">
        <f t="shared" ref="AT84" si="918">IF(BL84="","",AT81)</f>
        <v/>
      </c>
      <c r="AU84" s="51" t="str">
        <f t="shared" ref="AU84" si="919">IF(BL84="","",AU81)</f>
        <v/>
      </c>
      <c r="AV84" s="51" t="str">
        <f t="shared" ref="AV84" si="920">IF(BL84="","",AV81)</f>
        <v/>
      </c>
      <c r="AW84" s="51" t="str">
        <f t="shared" ref="AW84" si="921">IF(BL84="","",AW81)</f>
        <v/>
      </c>
      <c r="AX84" s="51" t="str">
        <f t="shared" ref="AX84" si="922">IF(BL84="","",AX81)</f>
        <v/>
      </c>
      <c r="AY84" s="51" t="str">
        <f t="shared" ref="AY84" si="923">IF(BL84="","",AY81)</f>
        <v/>
      </c>
      <c r="AZ84" s="51" t="str">
        <f t="shared" ref="AZ84" si="924">IF(BL84="","",AZ81)</f>
        <v/>
      </c>
      <c r="BA84" s="51" t="str">
        <f t="shared" ref="BA84" si="925">IF(BL84="","",BA81)</f>
        <v/>
      </c>
      <c r="BB84" s="51" t="str">
        <f t="shared" ref="BB84" si="926">IF(BL84="","",BB81)</f>
        <v/>
      </c>
      <c r="BC84" s="51" t="str">
        <f t="shared" ref="BC84" si="927">IF(BL84="","",BC81)</f>
        <v/>
      </c>
      <c r="BD84" s="51" t="str">
        <f t="shared" ref="BD84" si="928">IF(BL84="","",BD81)</f>
        <v/>
      </c>
      <c r="BE84" s="51" t="str">
        <f t="shared" ref="BE84" si="929">IF(BL84="","",BE81)</f>
        <v/>
      </c>
      <c r="BF84" s="51" t="str">
        <f t="shared" ref="BF84" si="930">IF(BL84="","",BF81)</f>
        <v/>
      </c>
      <c r="BG84" s="51" t="str">
        <f t="shared" ref="BG84" si="931">IF(BL84="","",BG81)</f>
        <v/>
      </c>
      <c r="BH84" s="51" t="str">
        <f t="shared" ref="BH84" si="932">IF(BL84="","",BH81)</f>
        <v/>
      </c>
      <c r="BI84" s="51" t="str">
        <f t="shared" ref="BI84" si="933">IF(BL84="","",BI81)</f>
        <v/>
      </c>
      <c r="BJ84" s="51" t="str">
        <f t="shared" ref="BJ84" si="934">IF(BL84="","",BJ81)</f>
        <v/>
      </c>
      <c r="BK84" s="51" t="str">
        <f t="shared" ref="BK84" si="935">IF(BL84="","",BK81)</f>
        <v/>
      </c>
      <c r="BL84" s="51" t="str">
        <f t="shared" ref="BL84" si="936">IF(K84="","",BL81)</f>
        <v/>
      </c>
      <c r="BN84" s="1">
        <f t="shared" si="780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937">IF(OR(BZ81&lt;BR84,BZ81&gt;BS84),0,1)</f>
        <v>#VALUE!</v>
      </c>
      <c r="BW84" s="1">
        <f t="shared" si="856"/>
        <v>3</v>
      </c>
      <c r="BY84" s="51" t="s">
        <v>39</v>
      </c>
      <c r="BZ84" s="51" t="e">
        <f t="shared" ref="BZ84" si="938">VLOOKUP(VLOOKUP(1,BV82:BW84,2,FALSE),BP82:BU84,5,FALSE)</f>
        <v>#N/A</v>
      </c>
      <c r="CA84" s="51" t="e">
        <f t="shared" ref="CA84" si="939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0"/>
        <v>0</v>
      </c>
      <c r="CY84" s="1">
        <f t="shared" ref="CY84" ca="1" si="940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859"/>
        <v>1.5E-5</v>
      </c>
      <c r="DF84" s="1">
        <f t="shared" ref="DF84" ca="1" si="941">IF(CY84=1,MAX(DE82:DE84),"-")</f>
        <v>1.5E-5</v>
      </c>
      <c r="DG84" s="1">
        <f t="shared" si="860"/>
        <v>3</v>
      </c>
      <c r="DH84" s="51">
        <f ca="1">HLOOKUP(CONCATENATE($CZ84,DH81),'Controle dos padrões'!$AB$96:$BY$116,CY81+1,FALSE)</f>
        <v>9.9999999996214228E-6</v>
      </c>
      <c r="DI84" s="1">
        <f t="shared" ca="1" si="456"/>
        <v>9.9999999996214228E-6</v>
      </c>
      <c r="DJ84" s="1">
        <f t="shared" ref="DJ84" ca="1" si="942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457"/>
        <v>9.9999999996214228E-6</v>
      </c>
      <c r="DM84" s="1">
        <f t="shared" ref="DM84" ca="1" si="943">IF(CY84=1,MAX(DL82:DL84),"-")</f>
        <v>9.9999999996214228E-6</v>
      </c>
    </row>
    <row r="85" spans="1:117" hidden="1" x14ac:dyDescent="0.3">
      <c r="A85" s="61" t="str">
        <f>CONCATENATE(BM73,".",BN85)</f>
        <v>4.13</v>
      </c>
      <c r="H85" s="51" t="str">
        <f t="shared" si="793"/>
        <v/>
      </c>
      <c r="I85" s="402"/>
      <c r="J85" s="402"/>
      <c r="K85" s="402"/>
      <c r="L85" s="402"/>
      <c r="M85" s="60" t="str">
        <f t="shared" si="794"/>
        <v/>
      </c>
      <c r="O85" s="1" t="str">
        <f t="shared" ref="O85" si="944">IF(Q80=BU88,"Critério cliente :","")</f>
        <v/>
      </c>
      <c r="R85" s="408"/>
      <c r="S85" s="410"/>
      <c r="T85" s="195"/>
      <c r="Z85" s="51" t="str">
        <f t="shared" si="795"/>
        <v/>
      </c>
      <c r="AA85" s="51" t="str">
        <f t="shared" si="796"/>
        <v/>
      </c>
      <c r="AB85" s="51" t="str">
        <f t="shared" si="797"/>
        <v/>
      </c>
      <c r="AC85" s="51" t="str">
        <f t="shared" si="798"/>
        <v/>
      </c>
      <c r="AD85" s="51" t="str">
        <f t="shared" ref="AD85" si="945">IF(AN85="","",AD81)</f>
        <v/>
      </c>
      <c r="AE85" s="51" t="str">
        <f t="shared" ref="AE85" si="946">IF(AN85="","",AE81)</f>
        <v/>
      </c>
      <c r="AF85" s="51" t="str">
        <f t="shared" ref="AF85" si="947">IF(AN85="","",AF81)</f>
        <v/>
      </c>
      <c r="AG85" s="51" t="str">
        <f t="shared" ref="AG85" si="948">IF(AN85="","",AG81)</f>
        <v/>
      </c>
      <c r="AH85" s="51" t="str">
        <f t="shared" ref="AH85" si="949">IF(AN85="","",AH81)</f>
        <v/>
      </c>
      <c r="AI85" s="69" t="str">
        <f t="shared" ref="AI85" si="950">IF(AN85="","",AI81)</f>
        <v/>
      </c>
      <c r="AJ85" s="51" t="str">
        <f t="shared" ref="AJ85" si="951">IF(AN85="","",AJ81)</f>
        <v/>
      </c>
      <c r="AK85" s="51" t="str">
        <f t="shared" ref="AK85" si="952">IF(AN85="","",AK81)</f>
        <v/>
      </c>
      <c r="AL85" s="51" t="str">
        <f t="shared" ref="AL85" si="953">IF(AN85="","",AL81)</f>
        <v/>
      </c>
      <c r="AM85" s="51" t="str">
        <f t="shared" ref="AM85" si="954">IF(AN85="","",AM81)</f>
        <v/>
      </c>
      <c r="AN85" s="51" t="str">
        <f t="shared" ref="AN85" si="955">IF(I85="","",AN81)</f>
        <v/>
      </c>
      <c r="AO85" s="51" t="str">
        <f t="shared" ref="AO85" si="956">IF(I85="","",I85/AO78)</f>
        <v/>
      </c>
      <c r="AP85" s="51" t="str">
        <f t="shared" ref="AP85" si="957">IF(AO85="","",AO85*AC85*AP78)</f>
        <v/>
      </c>
      <c r="AQ85" s="51" t="str">
        <f t="shared" si="806"/>
        <v/>
      </c>
      <c r="AR85" s="26" t="str">
        <f t="shared" si="807"/>
        <v/>
      </c>
      <c r="AS85" s="51" t="str">
        <f t="shared" ref="AS85" si="958">IF(BL85="","",AS81)</f>
        <v/>
      </c>
      <c r="AT85" s="51" t="str">
        <f t="shared" ref="AT85" si="959">IF(BL85="","",AT81)</f>
        <v/>
      </c>
      <c r="AU85" s="51" t="str">
        <f t="shared" ref="AU85" si="960">IF(BL85="","",AU81)</f>
        <v/>
      </c>
      <c r="AV85" s="51" t="str">
        <f t="shared" ref="AV85" si="961">IF(BL85="","",AV81)</f>
        <v/>
      </c>
      <c r="AW85" s="51" t="str">
        <f t="shared" ref="AW85" si="962">IF(BL85="","",AW81)</f>
        <v/>
      </c>
      <c r="AX85" s="51" t="str">
        <f t="shared" ref="AX85" si="963">IF(BL85="","",AX81)</f>
        <v/>
      </c>
      <c r="AY85" s="51" t="str">
        <f t="shared" ref="AY85" si="964">IF(BL85="","",AY81)</f>
        <v/>
      </c>
      <c r="AZ85" s="51" t="str">
        <f t="shared" ref="AZ85" si="965">IF(BL85="","",AZ81)</f>
        <v/>
      </c>
      <c r="BA85" s="51" t="str">
        <f t="shared" ref="BA85" si="966">IF(BL85="","",BA81)</f>
        <v/>
      </c>
      <c r="BB85" s="51" t="str">
        <f t="shared" ref="BB85" si="967">IF(BL85="","",BB81)</f>
        <v/>
      </c>
      <c r="BC85" s="51" t="str">
        <f t="shared" ref="BC85" si="968">IF(BL85="","",BC81)</f>
        <v/>
      </c>
      <c r="BD85" s="51" t="str">
        <f t="shared" ref="BD85" si="969">IF(BL85="","",BD81)</f>
        <v/>
      </c>
      <c r="BE85" s="51" t="str">
        <f t="shared" ref="BE85" si="970">IF(BL85="","",BE81)</f>
        <v/>
      </c>
      <c r="BF85" s="51" t="str">
        <f t="shared" ref="BF85" si="971">IF(BL85="","",BF81)</f>
        <v/>
      </c>
      <c r="BG85" s="51" t="str">
        <f t="shared" ref="BG85" si="972">IF(BL85="","",BG81)</f>
        <v/>
      </c>
      <c r="BH85" s="51" t="str">
        <f t="shared" ref="BH85" si="973">IF(BL85="","",BH81)</f>
        <v/>
      </c>
      <c r="BI85" s="51" t="str">
        <f t="shared" ref="BI85" si="974">IF(BL85="","",BI81)</f>
        <v/>
      </c>
      <c r="BJ85" s="51" t="str">
        <f t="shared" ref="BJ85" si="975">IF(BL85="","",BJ81)</f>
        <v/>
      </c>
      <c r="BK85" s="51" t="str">
        <f t="shared" ref="BK85" si="976">IF(BL85="","",BK81)</f>
        <v/>
      </c>
      <c r="BL85" s="51" t="str">
        <f t="shared" ref="BL85" si="977">IF(K85="","",BL81)</f>
        <v/>
      </c>
      <c r="BN85" s="1">
        <f t="shared" si="780"/>
        <v>13</v>
      </c>
      <c r="CB85" s="1" t="e">
        <f t="shared" ref="CB85" si="978">CB82/CB84</f>
        <v>#N/A</v>
      </c>
      <c r="CG85" s="28" t="str">
        <f t="shared" si="20"/>
        <v>0</v>
      </c>
      <c r="CY85" s="1">
        <f t="shared" ref="CY85" ca="1" si="979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859"/>
        <v>7.4999999999999993E-5</v>
      </c>
      <c r="DF85" s="1" t="str">
        <f t="shared" ref="DF85" ca="1" si="980">IF(CY85=1,MAX(DE82:DE85),"-")</f>
        <v>-</v>
      </c>
      <c r="DG85" s="1">
        <f t="shared" si="860"/>
        <v>4</v>
      </c>
      <c r="DH85" s="51">
        <f ca="1">HLOOKUP(CONCATENATE($CZ85,DH81),'Controle dos padrões'!$AB$96:$BY$116,CY81+1,FALSE)</f>
        <v>1.0000000003174137E-5</v>
      </c>
      <c r="DI85" s="1">
        <f t="shared" ca="1" si="456"/>
        <v>1.0000000003174137E-5</v>
      </c>
      <c r="DJ85" s="1" t="str">
        <f t="shared" ref="DJ85" ca="1" si="981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457"/>
        <v>0</v>
      </c>
      <c r="DM85" s="1" t="str">
        <f t="shared" ref="DM85" ca="1" si="982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793"/>
        <v/>
      </c>
      <c r="I86" s="402"/>
      <c r="J86" s="402"/>
      <c r="K86" s="402"/>
      <c r="L86" s="402"/>
      <c r="M86" s="60" t="str">
        <f t="shared" si="794"/>
        <v/>
      </c>
      <c r="O86" s="1" t="str">
        <f t="shared" ref="O86" si="983">IF(OR(K76="",K81=""),"","Temp. média corrigida:")</f>
        <v/>
      </c>
      <c r="S86" s="400" t="str">
        <f>IF(OR(K76="",K81=""),"",IF(COUNT(K81:L90)&lt;1,"",CONCATENATE(FIXED(AR92,AV81)," ",M81)))</f>
        <v/>
      </c>
      <c r="T86" s="400"/>
      <c r="Z86" s="51" t="str">
        <f t="shared" si="795"/>
        <v/>
      </c>
      <c r="AA86" s="51" t="str">
        <f t="shared" si="796"/>
        <v/>
      </c>
      <c r="AB86" s="51" t="str">
        <f t="shared" si="797"/>
        <v/>
      </c>
      <c r="AC86" s="51" t="str">
        <f t="shared" si="798"/>
        <v/>
      </c>
      <c r="AD86" s="51" t="str">
        <f t="shared" ref="AD86" si="984">IF(AN86="","",AD81)</f>
        <v/>
      </c>
      <c r="AE86" s="51" t="str">
        <f t="shared" ref="AE86" si="985">IF(AN86="","",AE81)</f>
        <v/>
      </c>
      <c r="AF86" s="51" t="str">
        <f t="shared" ref="AF86" si="986">IF(AN86="","",AF81)</f>
        <v/>
      </c>
      <c r="AG86" s="51" t="str">
        <f t="shared" ref="AG86" si="987">IF(AN86="","",AG81)</f>
        <v/>
      </c>
      <c r="AH86" s="51" t="str">
        <f t="shared" ref="AH86" si="988">IF(AN86="","",AH81)</f>
        <v/>
      </c>
      <c r="AI86" s="69" t="str">
        <f t="shared" ref="AI86" si="989">IF(AN86="","",AI81)</f>
        <v/>
      </c>
      <c r="AJ86" s="51" t="str">
        <f t="shared" ref="AJ86" si="990">IF(AN86="","",AJ81)</f>
        <v/>
      </c>
      <c r="AK86" s="51" t="str">
        <f t="shared" ref="AK86" si="991">IF(AN86="","",AK81)</f>
        <v/>
      </c>
      <c r="AL86" s="51" t="str">
        <f t="shared" ref="AL86" si="992">IF(AN86="","",AL81)</f>
        <v/>
      </c>
      <c r="AM86" s="51" t="str">
        <f t="shared" ref="AM86" si="993">IF(AN86="","",AM81)</f>
        <v/>
      </c>
      <c r="AN86" s="51" t="str">
        <f t="shared" ref="AN86" si="994">IF(I86="","",AN81)</f>
        <v/>
      </c>
      <c r="AO86" s="51" t="str">
        <f t="shared" ref="AO86" si="995">IF(I86="","",I86/AO78)</f>
        <v/>
      </c>
      <c r="AP86" s="51" t="str">
        <f t="shared" ref="AP86" si="996">IF(AO86="","",AO86*AC86*AP78)</f>
        <v/>
      </c>
      <c r="AQ86" s="51" t="str">
        <f t="shared" si="806"/>
        <v/>
      </c>
      <c r="AR86" s="26" t="str">
        <f t="shared" si="807"/>
        <v/>
      </c>
      <c r="AS86" s="51" t="str">
        <f t="shared" ref="AS86" si="997">IF(BL86="","",AS81)</f>
        <v/>
      </c>
      <c r="AT86" s="51" t="str">
        <f t="shared" ref="AT86" si="998">IF(BL86="","",AT81)</f>
        <v/>
      </c>
      <c r="AU86" s="51" t="str">
        <f t="shared" ref="AU86" si="999">IF(BL86="","",AU81)</f>
        <v/>
      </c>
      <c r="AV86" s="51" t="str">
        <f t="shared" ref="AV86" si="1000">IF(BL86="","",AV81)</f>
        <v/>
      </c>
      <c r="AW86" s="51" t="str">
        <f t="shared" ref="AW86" si="1001">IF(BL86="","",AW81)</f>
        <v/>
      </c>
      <c r="AX86" s="51" t="str">
        <f t="shared" ref="AX86" si="1002">IF(BL86="","",AX81)</f>
        <v/>
      </c>
      <c r="AY86" s="51" t="str">
        <f t="shared" ref="AY86" si="1003">IF(BL86="","",AY81)</f>
        <v/>
      </c>
      <c r="AZ86" s="51" t="str">
        <f t="shared" ref="AZ86" si="1004">IF(BL86="","",AZ81)</f>
        <v/>
      </c>
      <c r="BA86" s="51" t="str">
        <f t="shared" ref="BA86" si="1005">IF(BL86="","",BA81)</f>
        <v/>
      </c>
      <c r="BB86" s="51" t="str">
        <f t="shared" ref="BB86" si="1006">IF(BL86="","",BB81)</f>
        <v/>
      </c>
      <c r="BC86" s="51" t="str">
        <f t="shared" ref="BC86" si="1007">IF(BL86="","",BC81)</f>
        <v/>
      </c>
      <c r="BD86" s="51" t="str">
        <f t="shared" ref="BD86" si="1008">IF(BL86="","",BD81)</f>
        <v/>
      </c>
      <c r="BE86" s="51" t="str">
        <f t="shared" ref="BE86" si="1009">IF(BL86="","",BE81)</f>
        <v/>
      </c>
      <c r="BF86" s="51" t="str">
        <f t="shared" ref="BF86" si="1010">IF(BL86="","",BF81)</f>
        <v/>
      </c>
      <c r="BG86" s="51" t="str">
        <f t="shared" ref="BG86" si="1011">IF(BL86="","",BG81)</f>
        <v/>
      </c>
      <c r="BH86" s="51" t="str">
        <f t="shared" ref="BH86" si="1012">IF(BL86="","",BH81)</f>
        <v/>
      </c>
      <c r="BI86" s="51" t="str">
        <f t="shared" ref="BI86" si="1013">IF(BL86="","",BI81)</f>
        <v/>
      </c>
      <c r="BJ86" s="51" t="str">
        <f t="shared" ref="BJ86" si="1014">IF(BL86="","",BJ81)</f>
        <v/>
      </c>
      <c r="BK86" s="51" t="str">
        <f t="shared" ref="BK86" si="1015">IF(BL86="","",BK81)</f>
        <v/>
      </c>
      <c r="BL86" s="51" t="str">
        <f t="shared" ref="BL86" si="1016">IF(K86="","",BL81)</f>
        <v/>
      </c>
      <c r="BN86" s="1">
        <f t="shared" si="780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1017">CA82</f>
        <v>µL</v>
      </c>
      <c r="CG86" s="28" t="str">
        <f t="shared" si="20"/>
        <v>0</v>
      </c>
      <c r="CY86" s="1">
        <f t="shared" ref="CY86" ca="1" si="1018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859"/>
        <v>2.0000000000000001E-4</v>
      </c>
      <c r="DF86" s="1" t="str">
        <f t="shared" ref="DF86" ca="1" si="1019">IF(CY86=1,MAX(DE82:DE86),"-")</f>
        <v>-</v>
      </c>
      <c r="DG86" s="1">
        <f t="shared" si="860"/>
        <v>5</v>
      </c>
      <c r="DH86" s="51">
        <f ca="1">HLOOKUP(CONCATENATE($CZ86,DH81),'Controle dos padrões'!$AB$96:$BY$116,CY81+1,FALSE)</f>
        <v>-1.0000000000331966E-4</v>
      </c>
      <c r="DI86" s="1">
        <f t="shared" ca="1" si="456"/>
        <v>1.0000000000331966E-4</v>
      </c>
      <c r="DJ86" s="1" t="str">
        <f t="shared" ref="DJ86" ca="1" si="1020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457"/>
        <v>1.0000000000331966E-4</v>
      </c>
      <c r="DM86" s="1" t="str">
        <f t="shared" ref="DM86" ca="1" si="1021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793"/>
        <v/>
      </c>
      <c r="I87" s="402"/>
      <c r="J87" s="402"/>
      <c r="K87" s="402"/>
      <c r="L87" s="402"/>
      <c r="M87" s="60" t="str">
        <f t="shared" si="794"/>
        <v/>
      </c>
      <c r="O87" s="1" t="str">
        <f t="shared" ref="O87" si="1022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795"/>
        <v/>
      </c>
      <c r="AA87" s="51" t="str">
        <f t="shared" si="796"/>
        <v/>
      </c>
      <c r="AB87" s="51" t="str">
        <f t="shared" si="797"/>
        <v/>
      </c>
      <c r="AC87" s="51" t="str">
        <f t="shared" si="798"/>
        <v/>
      </c>
      <c r="AD87" s="51" t="str">
        <f t="shared" ref="AD87" si="1023">IF(AN87="","",AD81)</f>
        <v/>
      </c>
      <c r="AE87" s="51" t="str">
        <f t="shared" ref="AE87" si="1024">IF(AN87="","",AE81)</f>
        <v/>
      </c>
      <c r="AF87" s="51" t="str">
        <f t="shared" ref="AF87" si="1025">IF(AN87="","",AF81)</f>
        <v/>
      </c>
      <c r="AG87" s="51" t="str">
        <f t="shared" ref="AG87" si="1026">IF(AN87="","",AG81)</f>
        <v/>
      </c>
      <c r="AH87" s="51" t="str">
        <f t="shared" ref="AH87" si="1027">IF(AN87="","",AH81)</f>
        <v/>
      </c>
      <c r="AI87" s="69" t="str">
        <f t="shared" ref="AI87" si="1028">IF(AN87="","",AI81)</f>
        <v/>
      </c>
      <c r="AJ87" s="51" t="str">
        <f t="shared" ref="AJ87" si="1029">IF(AN87="","",AJ81)</f>
        <v/>
      </c>
      <c r="AK87" s="51" t="str">
        <f t="shared" ref="AK87" si="1030">IF(AN87="","",AK81)</f>
        <v/>
      </c>
      <c r="AL87" s="51" t="str">
        <f t="shared" ref="AL87" si="1031">IF(AN87="","",AL81)</f>
        <v/>
      </c>
      <c r="AM87" s="51" t="str">
        <f t="shared" ref="AM87" si="1032">IF(AN87="","",AM81)</f>
        <v/>
      </c>
      <c r="AN87" s="51" t="str">
        <f t="shared" ref="AN87" si="1033">IF(I87="","",AN81)</f>
        <v/>
      </c>
      <c r="AO87" s="51" t="str">
        <f t="shared" ref="AO87" si="1034">IF(I87="","",I87/AO78)</f>
        <v/>
      </c>
      <c r="AP87" s="51" t="str">
        <f t="shared" ref="AP87" si="1035">IF(AO87="","",AO87*AC87*AP78)</f>
        <v/>
      </c>
      <c r="AQ87" s="51" t="str">
        <f t="shared" si="806"/>
        <v/>
      </c>
      <c r="AR87" s="26" t="str">
        <f t="shared" si="807"/>
        <v/>
      </c>
      <c r="AS87" s="51" t="str">
        <f t="shared" ref="AS87" si="1036">IF(BL87="","",AS81)</f>
        <v/>
      </c>
      <c r="AT87" s="51" t="str">
        <f t="shared" ref="AT87" si="1037">IF(BL87="","",AT81)</f>
        <v/>
      </c>
      <c r="AU87" s="51" t="str">
        <f t="shared" ref="AU87" si="1038">IF(BL87="","",AU81)</f>
        <v/>
      </c>
      <c r="AV87" s="51" t="str">
        <f t="shared" ref="AV87" si="1039">IF(BL87="","",AV81)</f>
        <v/>
      </c>
      <c r="AW87" s="51" t="str">
        <f t="shared" ref="AW87" si="1040">IF(BL87="","",AW81)</f>
        <v/>
      </c>
      <c r="AX87" s="51" t="str">
        <f t="shared" ref="AX87" si="1041">IF(BL87="","",AX81)</f>
        <v/>
      </c>
      <c r="AY87" s="51" t="str">
        <f t="shared" ref="AY87" si="1042">IF(BL87="","",AY81)</f>
        <v/>
      </c>
      <c r="AZ87" s="51" t="str">
        <f t="shared" ref="AZ87" si="1043">IF(BL87="","",AZ81)</f>
        <v/>
      </c>
      <c r="BA87" s="51" t="str">
        <f t="shared" ref="BA87" si="1044">IF(BL87="","",BA81)</f>
        <v/>
      </c>
      <c r="BB87" s="51" t="str">
        <f t="shared" ref="BB87" si="1045">IF(BL87="","",BB81)</f>
        <v/>
      </c>
      <c r="BC87" s="51" t="str">
        <f t="shared" ref="BC87" si="1046">IF(BL87="","",BC81)</f>
        <v/>
      </c>
      <c r="BD87" s="51" t="str">
        <f t="shared" ref="BD87" si="1047">IF(BL87="","",BD81)</f>
        <v/>
      </c>
      <c r="BE87" s="51" t="str">
        <f t="shared" ref="BE87" si="1048">IF(BL87="","",BE81)</f>
        <v/>
      </c>
      <c r="BF87" s="51" t="str">
        <f t="shared" ref="BF87" si="1049">IF(BL87="","",BF81)</f>
        <v/>
      </c>
      <c r="BG87" s="51" t="str">
        <f t="shared" ref="BG87" si="1050">IF(BL87="","",BG81)</f>
        <v/>
      </c>
      <c r="BH87" s="51" t="str">
        <f t="shared" ref="BH87" si="1051">IF(BL87="","",BH81)</f>
        <v/>
      </c>
      <c r="BI87" s="51" t="str">
        <f t="shared" ref="BI87" si="1052">IF(BL87="","",BI81)</f>
        <v/>
      </c>
      <c r="BJ87" s="51" t="str">
        <f t="shared" ref="BJ87" si="1053">IF(BL87="","",BJ81)</f>
        <v/>
      </c>
      <c r="BK87" s="51" t="str">
        <f t="shared" ref="BK87" si="1054">IF(BL87="","",BK81)</f>
        <v/>
      </c>
      <c r="BL87" s="51" t="str">
        <f t="shared" ref="BL87" si="1055">IF(K87="","",BL81)</f>
        <v/>
      </c>
      <c r="BN87" s="1">
        <f t="shared" si="780"/>
        <v>15</v>
      </c>
      <c r="CG87" s="28" t="str">
        <f t="shared" si="20"/>
        <v>0</v>
      </c>
      <c r="CY87" s="1">
        <f t="shared" ref="CY87" ca="1" si="1056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859"/>
        <v>2.5000000000000001E-4</v>
      </c>
      <c r="DF87" s="1" t="str">
        <f t="shared" ref="DF87" ca="1" si="1057">IF(CY87=1,MAX(DE82:DE87),"-")</f>
        <v>-</v>
      </c>
      <c r="DG87" s="1">
        <f t="shared" si="860"/>
        <v>6</v>
      </c>
      <c r="DH87" s="51">
        <f ca="1">HLOOKUP(CONCATENATE($CZ87,DH81),'Controle dos padrões'!$AB$96:$BY$116,CY81+1,FALSE)</f>
        <v>-1.0000000000331966E-4</v>
      </c>
      <c r="DI87" s="1">
        <f t="shared" ca="1" si="456"/>
        <v>1.0000000000331966E-4</v>
      </c>
      <c r="DJ87" s="1" t="str">
        <f t="shared" ref="DJ87" ca="1" si="1058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457"/>
        <v>1.0000000000331966E-4</v>
      </c>
      <c r="DM87" s="1" t="str">
        <f t="shared" ref="DM87" ca="1" si="1059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793"/>
        <v/>
      </c>
      <c r="I88" s="402"/>
      <c r="J88" s="402"/>
      <c r="K88" s="402"/>
      <c r="L88" s="402"/>
      <c r="M88" s="60" t="str">
        <f t="shared" si="794"/>
        <v/>
      </c>
      <c r="Z88" s="51" t="str">
        <f t="shared" si="795"/>
        <v/>
      </c>
      <c r="AA88" s="51" t="str">
        <f t="shared" si="796"/>
        <v/>
      </c>
      <c r="AB88" s="51" t="str">
        <f t="shared" si="797"/>
        <v/>
      </c>
      <c r="AC88" s="51" t="str">
        <f t="shared" si="798"/>
        <v/>
      </c>
      <c r="AD88" s="51" t="str">
        <f t="shared" ref="AD88" si="1060">IF(AN88="","",AD81)</f>
        <v/>
      </c>
      <c r="AE88" s="51" t="str">
        <f t="shared" ref="AE88" si="1061">IF(AN88="","",AE81)</f>
        <v/>
      </c>
      <c r="AF88" s="51" t="str">
        <f t="shared" ref="AF88" si="1062">IF(AN88="","",AF81)</f>
        <v/>
      </c>
      <c r="AG88" s="51" t="str">
        <f t="shared" ref="AG88" si="1063">IF(AN88="","",AG81)</f>
        <v/>
      </c>
      <c r="AH88" s="51" t="str">
        <f t="shared" ref="AH88" si="1064">IF(AN88="","",AH81)</f>
        <v/>
      </c>
      <c r="AI88" s="69" t="str">
        <f t="shared" ref="AI88" si="1065">IF(AN88="","",AI81)</f>
        <v/>
      </c>
      <c r="AJ88" s="51" t="str">
        <f t="shared" ref="AJ88" si="1066">IF(AN88="","",AJ81)</f>
        <v/>
      </c>
      <c r="AK88" s="51" t="str">
        <f t="shared" ref="AK88" si="1067">IF(AN88="","",AK81)</f>
        <v/>
      </c>
      <c r="AL88" s="51" t="str">
        <f t="shared" ref="AL88" si="1068">IF(AN88="","",AL81)</f>
        <v/>
      </c>
      <c r="AM88" s="51" t="str">
        <f t="shared" ref="AM88" si="1069">IF(AN88="","",AM81)</f>
        <v/>
      </c>
      <c r="AN88" s="51" t="str">
        <f t="shared" ref="AN88" si="1070">IF(I88="","",AN81)</f>
        <v/>
      </c>
      <c r="AO88" s="51" t="str">
        <f t="shared" ref="AO88" si="1071">IF(I88="","",I88/AO78)</f>
        <v/>
      </c>
      <c r="AP88" s="51" t="str">
        <f t="shared" ref="AP88" si="1072">IF(AO88="","",AO88*AC88*AP78)</f>
        <v/>
      </c>
      <c r="AQ88" s="51" t="str">
        <f t="shared" si="806"/>
        <v/>
      </c>
      <c r="AR88" s="26" t="str">
        <f t="shared" si="807"/>
        <v/>
      </c>
      <c r="AS88" s="51" t="str">
        <f t="shared" ref="AS88" si="1073">IF(BL88="","",AS81)</f>
        <v/>
      </c>
      <c r="AT88" s="51" t="str">
        <f t="shared" ref="AT88" si="1074">IF(BL88="","",AT81)</f>
        <v/>
      </c>
      <c r="AU88" s="51" t="str">
        <f t="shared" ref="AU88" si="1075">IF(BL88="","",AU81)</f>
        <v/>
      </c>
      <c r="AV88" s="51" t="str">
        <f t="shared" ref="AV88" si="1076">IF(BL88="","",AV81)</f>
        <v/>
      </c>
      <c r="AW88" s="51" t="str">
        <f t="shared" ref="AW88" si="1077">IF(BL88="","",AW81)</f>
        <v/>
      </c>
      <c r="AX88" s="51" t="str">
        <f t="shared" ref="AX88" si="1078">IF(BL88="","",AX81)</f>
        <v/>
      </c>
      <c r="AY88" s="51" t="str">
        <f t="shared" ref="AY88" si="1079">IF(BL88="","",AY81)</f>
        <v/>
      </c>
      <c r="AZ88" s="51" t="str">
        <f t="shared" ref="AZ88" si="1080">IF(BL88="","",AZ81)</f>
        <v/>
      </c>
      <c r="BA88" s="51" t="str">
        <f t="shared" ref="BA88" si="1081">IF(BL88="","",BA81)</f>
        <v/>
      </c>
      <c r="BB88" s="51" t="str">
        <f t="shared" ref="BB88" si="1082">IF(BL88="","",BB81)</f>
        <v/>
      </c>
      <c r="BC88" s="51" t="str">
        <f t="shared" ref="BC88" si="1083">IF(BL88="","",BC81)</f>
        <v/>
      </c>
      <c r="BD88" s="51" t="str">
        <f t="shared" ref="BD88" si="1084">IF(BL88="","",BD81)</f>
        <v/>
      </c>
      <c r="BE88" s="51" t="str">
        <f t="shared" ref="BE88" si="1085">IF(BL88="","",BE81)</f>
        <v/>
      </c>
      <c r="BF88" s="51" t="str">
        <f t="shared" ref="BF88" si="1086">IF(BL88="","",BF81)</f>
        <v/>
      </c>
      <c r="BG88" s="51" t="str">
        <f t="shared" ref="BG88" si="1087">IF(BL88="","",BG81)</f>
        <v/>
      </c>
      <c r="BH88" s="51" t="str">
        <f t="shared" ref="BH88" si="1088">IF(BL88="","",BH81)</f>
        <v/>
      </c>
      <c r="BI88" s="51" t="str">
        <f t="shared" ref="BI88" si="1089">IF(BL88="","",BI81)</f>
        <v/>
      </c>
      <c r="BJ88" s="51" t="str">
        <f t="shared" ref="BJ88" si="1090">IF(BL88="","",BJ81)</f>
        <v/>
      </c>
      <c r="BK88" s="51" t="str">
        <f t="shared" ref="BK88" si="1091">IF(BL88="","",BK81)</f>
        <v/>
      </c>
      <c r="BL88" s="51" t="str">
        <f t="shared" ref="BL88" si="1092">IF(K88="","",BL81)</f>
        <v/>
      </c>
      <c r="BN88" s="1">
        <f t="shared" si="780"/>
        <v>16</v>
      </c>
      <c r="BP88" s="1" t="s">
        <v>483</v>
      </c>
      <c r="BQ88" s="1" t="str">
        <f>IF($J$4&lt;&gt;"","-","8665-2 - Micropipeta Mono")</f>
        <v>8665-2 - Micropipeta Mono</v>
      </c>
      <c r="BR88" s="1" t="str">
        <f>IF($J$4&lt;&gt;"","-","8665-2 - Micropipeta Multi")</f>
        <v>8665-2 - Micropipeta Multi</v>
      </c>
      <c r="BS88" s="1" t="str">
        <f>IF($J$4&lt;&gt;"","-","8665-3 - Bureta Auto")</f>
        <v>8665-3 - Bureta Auto</v>
      </c>
      <c r="BT88" s="1" t="str">
        <f>IF($J$4&lt;&gt;"","-","8665-3 - Bureta Manual")</f>
        <v>8665-3 - Bureta Manual</v>
      </c>
      <c r="BU88" s="1" t="s">
        <v>484</v>
      </c>
      <c r="BV88" s="1">
        <f t="shared" ref="BV88" si="1093">IF(BU88=Q80,1,0)</f>
        <v>0</v>
      </c>
      <c r="CG88" s="28" t="str">
        <f t="shared" si="20"/>
        <v>0</v>
      </c>
      <c r="CY88" s="1">
        <f t="shared" ref="CY88" ca="1" si="1094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859"/>
        <v>4.0000000000000002E-4</v>
      </c>
      <c r="DF88" s="1" t="str">
        <f t="shared" ref="DF88" ca="1" si="1095">IF(CY88=1,MAX(DE82:DE88),"-")</f>
        <v>-</v>
      </c>
      <c r="DG88" s="1">
        <f t="shared" si="860"/>
        <v>7</v>
      </c>
      <c r="DH88" s="51">
        <f ca="1">HLOOKUP(CONCATENATE($CZ88,DH81),'Controle dos padrões'!$AB$96:$BY$116,CY81+1,FALSE)</f>
        <v>2.0000000000663931E-4</v>
      </c>
      <c r="DI88" s="1">
        <f t="shared" ca="1" si="456"/>
        <v>2.0000000000663931E-4</v>
      </c>
      <c r="DJ88" s="1" t="str">
        <f t="shared" ref="DJ88" ca="1" si="1096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457"/>
        <v>1.0000000000331966E-4</v>
      </c>
      <c r="DM88" s="1" t="str">
        <f t="shared" ref="DM88" ca="1" si="1097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793"/>
        <v/>
      </c>
      <c r="I89" s="402"/>
      <c r="J89" s="402"/>
      <c r="K89" s="402"/>
      <c r="L89" s="402"/>
      <c r="M89" s="60" t="str">
        <f t="shared" si="794"/>
        <v/>
      </c>
      <c r="Z89" s="51" t="str">
        <f t="shared" si="795"/>
        <v/>
      </c>
      <c r="AA89" s="51" t="str">
        <f t="shared" si="796"/>
        <v/>
      </c>
      <c r="AB89" s="51" t="str">
        <f t="shared" si="797"/>
        <v/>
      </c>
      <c r="AC89" s="51" t="str">
        <f t="shared" si="798"/>
        <v/>
      </c>
      <c r="AD89" s="51" t="str">
        <f t="shared" ref="AD89" si="1098">IF(AN89="","",AD81)</f>
        <v/>
      </c>
      <c r="AE89" s="51" t="str">
        <f t="shared" ref="AE89" si="1099">IF(AN89="","",AE81)</f>
        <v/>
      </c>
      <c r="AF89" s="51" t="str">
        <f t="shared" ref="AF89" si="1100">IF(AN89="","",AF81)</f>
        <v/>
      </c>
      <c r="AG89" s="51" t="str">
        <f t="shared" ref="AG89" si="1101">IF(AN89="","",AG81)</f>
        <v/>
      </c>
      <c r="AH89" s="51" t="str">
        <f t="shared" ref="AH89" si="1102">IF(AN89="","",AH81)</f>
        <v/>
      </c>
      <c r="AI89" s="69" t="str">
        <f t="shared" ref="AI89" si="1103">IF(AN89="","",AI81)</f>
        <v/>
      </c>
      <c r="AJ89" s="51" t="str">
        <f t="shared" ref="AJ89" si="1104">IF(AN89="","",AJ81)</f>
        <v/>
      </c>
      <c r="AK89" s="51" t="str">
        <f t="shared" ref="AK89" si="1105">IF(AN89="","",AK81)</f>
        <v/>
      </c>
      <c r="AL89" s="51" t="str">
        <f t="shared" ref="AL89" si="1106">IF(AN89="","",AL81)</f>
        <v/>
      </c>
      <c r="AM89" s="51" t="str">
        <f t="shared" ref="AM89" si="1107">IF(AN89="","",AM81)</f>
        <v/>
      </c>
      <c r="AN89" s="51" t="str">
        <f t="shared" ref="AN89" si="1108">IF(I89="","",AN81)</f>
        <v/>
      </c>
      <c r="AO89" s="51" t="str">
        <f t="shared" ref="AO89" si="1109">IF(I89="","",I89/AO78)</f>
        <v/>
      </c>
      <c r="AP89" s="51" t="str">
        <f t="shared" ref="AP89" si="1110">IF(AO89="","",AO89*AC89*AP78)</f>
        <v/>
      </c>
      <c r="AQ89" s="51" t="str">
        <f t="shared" si="806"/>
        <v/>
      </c>
      <c r="AR89" s="26" t="str">
        <f t="shared" si="807"/>
        <v/>
      </c>
      <c r="AS89" s="51" t="str">
        <f t="shared" ref="AS89" si="1111">IF(BL89="","",AS81)</f>
        <v/>
      </c>
      <c r="AT89" s="51" t="str">
        <f t="shared" ref="AT89" si="1112">IF(BL89="","",AT81)</f>
        <v/>
      </c>
      <c r="AU89" s="51" t="str">
        <f t="shared" ref="AU89" si="1113">IF(BL89="","",AU81)</f>
        <v/>
      </c>
      <c r="AV89" s="51" t="str">
        <f t="shared" ref="AV89" si="1114">IF(BL89="","",AV81)</f>
        <v/>
      </c>
      <c r="AW89" s="51" t="str">
        <f t="shared" ref="AW89" si="1115">IF(BL89="","",AW81)</f>
        <v/>
      </c>
      <c r="AX89" s="51" t="str">
        <f t="shared" ref="AX89" si="1116">IF(BL89="","",AX81)</f>
        <v/>
      </c>
      <c r="AY89" s="51" t="str">
        <f t="shared" ref="AY89" si="1117">IF(BL89="","",AY81)</f>
        <v/>
      </c>
      <c r="AZ89" s="51" t="str">
        <f t="shared" ref="AZ89" si="1118">IF(BL89="","",AZ81)</f>
        <v/>
      </c>
      <c r="BA89" s="51" t="str">
        <f t="shared" ref="BA89" si="1119">IF(BL89="","",BA81)</f>
        <v/>
      </c>
      <c r="BB89" s="51" t="str">
        <f t="shared" ref="BB89" si="1120">IF(BL89="","",BB81)</f>
        <v/>
      </c>
      <c r="BC89" s="51" t="str">
        <f t="shared" ref="BC89" si="1121">IF(BL89="","",BC81)</f>
        <v/>
      </c>
      <c r="BD89" s="51" t="str">
        <f t="shared" ref="BD89" si="1122">IF(BL89="","",BD81)</f>
        <v/>
      </c>
      <c r="BE89" s="51" t="str">
        <f t="shared" ref="BE89" si="1123">IF(BL89="","",BE81)</f>
        <v/>
      </c>
      <c r="BF89" s="51" t="str">
        <f t="shared" ref="BF89" si="1124">IF(BL89="","",BF81)</f>
        <v/>
      </c>
      <c r="BG89" s="51" t="str">
        <f t="shared" ref="BG89" si="1125">IF(BL89="","",BG81)</f>
        <v/>
      </c>
      <c r="BH89" s="51" t="str">
        <f t="shared" ref="BH89" si="1126">IF(BL89="","",BH81)</f>
        <v/>
      </c>
      <c r="BI89" s="51" t="str">
        <f t="shared" ref="BI89" si="1127">IF(BL89="","",BI81)</f>
        <v/>
      </c>
      <c r="BJ89" s="51" t="str">
        <f t="shared" ref="BJ89" si="1128">IF(BL89="","",BJ81)</f>
        <v/>
      </c>
      <c r="BK89" s="51" t="str">
        <f t="shared" ref="BK89" si="1129">IF(BL89="","",BK81)</f>
        <v/>
      </c>
      <c r="BL89" s="51" t="str">
        <f t="shared" ref="BL89" si="1130">IF(K89="","",BL81)</f>
        <v/>
      </c>
      <c r="BN89" s="1">
        <f t="shared" si="780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1131">IF(T85="","-",IF(T85="%",E75*R85/100,R85))</f>
        <v>-</v>
      </c>
      <c r="CG89" s="28" t="str">
        <f t="shared" si="20"/>
        <v>0</v>
      </c>
      <c r="CY89" s="1">
        <f t="shared" ref="CY89" ca="1" si="1132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859"/>
        <v>-</v>
      </c>
      <c r="DF89" s="1" t="str">
        <f t="shared" ref="DF89" ca="1" si="1133">IF(CY89=1,MAX(DE82:DE89),"-")</f>
        <v>-</v>
      </c>
      <c r="DG89" s="1">
        <f t="shared" si="860"/>
        <v>8</v>
      </c>
      <c r="DH89" s="51">
        <f ca="1">HLOOKUP(CONCATENATE($CZ89,DH81),'Controle dos padrões'!$AB$96:$BY$116,CY81+1,FALSE)</f>
        <v>0</v>
      </c>
      <c r="DI89" s="1">
        <f t="shared" ca="1" si="456"/>
        <v>0</v>
      </c>
      <c r="DJ89" s="1" t="str">
        <f t="shared" ref="DJ89" ca="1" si="1134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457"/>
        <v>0</v>
      </c>
      <c r="DM89" s="1" t="str">
        <f t="shared" ref="DM89" ca="1" si="1135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793"/>
        <v/>
      </c>
      <c r="I90" s="402"/>
      <c r="J90" s="402"/>
      <c r="K90" s="402"/>
      <c r="L90" s="402"/>
      <c r="M90" s="60" t="str">
        <f t="shared" si="794"/>
        <v/>
      </c>
      <c r="Z90" s="51" t="str">
        <f t="shared" si="795"/>
        <v/>
      </c>
      <c r="AA90" s="51" t="str">
        <f t="shared" si="796"/>
        <v/>
      </c>
      <c r="AB90" s="51" t="str">
        <f t="shared" si="797"/>
        <v/>
      </c>
      <c r="AC90" s="51" t="str">
        <f t="shared" si="798"/>
        <v/>
      </c>
      <c r="AD90" s="51" t="str">
        <f t="shared" ref="AD90" si="1136">IF(AN90="","",AD81)</f>
        <v/>
      </c>
      <c r="AE90" s="51" t="str">
        <f t="shared" ref="AE90" si="1137">IF(AN90="","",AE81)</f>
        <v/>
      </c>
      <c r="AF90" s="51" t="str">
        <f t="shared" ref="AF90" si="1138">IF(AN90="","",AF81)</f>
        <v/>
      </c>
      <c r="AG90" s="51" t="str">
        <f t="shared" ref="AG90" si="1139">IF(AN90="","",AG81)</f>
        <v/>
      </c>
      <c r="AH90" s="51" t="str">
        <f t="shared" ref="AH90" si="1140">IF(AN90="","",AH81)</f>
        <v/>
      </c>
      <c r="AI90" s="69" t="str">
        <f t="shared" ref="AI90" si="1141">IF(AN90="","",AI81)</f>
        <v/>
      </c>
      <c r="AJ90" s="51" t="str">
        <f t="shared" ref="AJ90" si="1142">IF(AN90="","",AJ81)</f>
        <v/>
      </c>
      <c r="AK90" s="51" t="str">
        <f t="shared" ref="AK90" si="1143">IF(AN90="","",AK81)</f>
        <v/>
      </c>
      <c r="AL90" s="51" t="str">
        <f t="shared" ref="AL90" si="1144">IF(AN90="","",AL81)</f>
        <v/>
      </c>
      <c r="AM90" s="51" t="str">
        <f t="shared" ref="AM90" si="1145">IF(AN90="","",AM81)</f>
        <v/>
      </c>
      <c r="AN90" s="51" t="str">
        <f t="shared" ref="AN90" si="1146">IF(I90="","",AN81)</f>
        <v/>
      </c>
      <c r="AO90" s="51" t="str">
        <f t="shared" ref="AO90" si="1147">IF(I90="","",I90/AO78)</f>
        <v/>
      </c>
      <c r="AP90" s="51" t="str">
        <f t="shared" ref="AP90" si="1148">IF(AO90="","",AO90*AC90*AP78)</f>
        <v/>
      </c>
      <c r="AQ90" s="51" t="str">
        <f t="shared" si="806"/>
        <v/>
      </c>
      <c r="AR90" s="26" t="str">
        <f t="shared" si="807"/>
        <v/>
      </c>
      <c r="AS90" s="51" t="str">
        <f t="shared" ref="AS90" si="1149">IF(BL90="","",AS81)</f>
        <v/>
      </c>
      <c r="AT90" s="51" t="str">
        <f t="shared" ref="AT90" si="1150">IF(BL90="","",AT81)</f>
        <v/>
      </c>
      <c r="AU90" s="51" t="str">
        <f t="shared" ref="AU90" si="1151">IF(BL90="","",AU81)</f>
        <v/>
      </c>
      <c r="AV90" s="51" t="str">
        <f t="shared" ref="AV90" si="1152">IF(BL90="","",AV81)</f>
        <v/>
      </c>
      <c r="AW90" s="51" t="str">
        <f t="shared" ref="AW90" si="1153">IF(BL90="","",AW81)</f>
        <v/>
      </c>
      <c r="AX90" s="51" t="str">
        <f t="shared" ref="AX90" si="1154">IF(BL90="","",AX81)</f>
        <v/>
      </c>
      <c r="AY90" s="51" t="str">
        <f t="shared" ref="AY90" si="1155">IF(BL90="","",AY81)</f>
        <v/>
      </c>
      <c r="AZ90" s="51" t="str">
        <f t="shared" ref="AZ90" si="1156">IF(BL90="","",AZ81)</f>
        <v/>
      </c>
      <c r="BA90" s="51" t="str">
        <f t="shared" ref="BA90" si="1157">IF(BL90="","",BA81)</f>
        <v/>
      </c>
      <c r="BB90" s="51" t="str">
        <f t="shared" ref="BB90" si="1158">IF(BL90="","",BB81)</f>
        <v/>
      </c>
      <c r="BC90" s="51" t="str">
        <f t="shared" ref="BC90" si="1159">IF(BL90="","",BC81)</f>
        <v/>
      </c>
      <c r="BD90" s="51" t="str">
        <f t="shared" ref="BD90" si="1160">IF(BL90="","",BD81)</f>
        <v/>
      </c>
      <c r="BE90" s="51" t="str">
        <f t="shared" ref="BE90" si="1161">IF(BL90="","",BE81)</f>
        <v/>
      </c>
      <c r="BF90" s="51" t="str">
        <f t="shared" ref="BF90" si="1162">IF(BL90="","",BF81)</f>
        <v/>
      </c>
      <c r="BG90" s="51" t="str">
        <f t="shared" ref="BG90" si="1163">IF(BL90="","",BG81)</f>
        <v/>
      </c>
      <c r="BH90" s="51" t="str">
        <f t="shared" ref="BH90" si="1164">IF(BL90="","",BH81)</f>
        <v/>
      </c>
      <c r="BI90" s="51" t="str">
        <f t="shared" ref="BI90" si="1165">IF(BL90="","",BI81)</f>
        <v/>
      </c>
      <c r="BJ90" s="51" t="str">
        <f t="shared" ref="BJ90" si="1166">IF(BL90="","",BJ81)</f>
        <v/>
      </c>
      <c r="BK90" s="51" t="str">
        <f t="shared" ref="BK90" si="1167">IF(BL90="","",BK81)</f>
        <v/>
      </c>
      <c r="BL90" s="51" t="str">
        <f t="shared" ref="BL90" si="1168">IF(K90="","",BL81)</f>
        <v/>
      </c>
      <c r="BN90" s="1">
        <f t="shared" si="780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0"/>
        <v>0</v>
      </c>
      <c r="CY90" s="1">
        <f t="shared" ref="CY90" ca="1" si="1169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859"/>
        <v>-</v>
      </c>
      <c r="DF90" s="1" t="str">
        <f t="shared" ref="DF90" ca="1" si="1170">IF(CY90=1,MAX(DE82:DE90),"-")</f>
        <v>-</v>
      </c>
      <c r="DG90" s="1">
        <f t="shared" si="860"/>
        <v>9</v>
      </c>
      <c r="DH90" s="51">
        <f ca="1">HLOOKUP(CONCATENATE($CZ90,DH81),'Controle dos padrões'!$AB$96:$BY$116,CY81+1,FALSE)</f>
        <v>0</v>
      </c>
      <c r="DI90" s="1">
        <f t="shared" ca="1" si="456"/>
        <v>0</v>
      </c>
      <c r="DJ90" s="1" t="str">
        <f t="shared" ref="DJ90" ca="1" si="1171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457"/>
        <v>0</v>
      </c>
      <c r="DM90" s="1" t="str">
        <f t="shared" ref="DM90" ca="1" si="1172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1173">IF(AR92="","",ROUND(MAX(AR81:AR90)-MIN(AR81:AR90),AV81))</f>
        <v/>
      </c>
      <c r="AS91" s="28" t="str">
        <f t="shared" ref="AS91" si="1174">IF(AR91="","",IF(AR91&gt;0.3,1,0))</f>
        <v/>
      </c>
      <c r="BN91" s="1">
        <f t="shared" si="780"/>
        <v>19</v>
      </c>
      <c r="CG91" s="28" t="str">
        <f t="shared" si="20"/>
        <v>0</v>
      </c>
      <c r="CY91" s="1">
        <f t="shared" ref="CY91" ca="1" si="1175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859"/>
        <v>-</v>
      </c>
      <c r="DF91" s="1" t="str">
        <f t="shared" ref="DF91" ca="1" si="1176">IF(CY91=1,MAX(DE82:DE91),"-")</f>
        <v>-</v>
      </c>
      <c r="DG91" s="1">
        <f t="shared" si="860"/>
        <v>10</v>
      </c>
      <c r="DH91" s="51">
        <f ca="1">HLOOKUP(CONCATENATE($CZ91,DH81),'Controle dos padrões'!$AB$96:$BY$116,CY81+1,FALSE)</f>
        <v>0</v>
      </c>
      <c r="DI91" s="1">
        <f t="shared" ca="1" si="456"/>
        <v>0</v>
      </c>
      <c r="DJ91" s="1" t="str">
        <f t="shared" ref="DJ91" ca="1" si="1177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457"/>
        <v>0</v>
      </c>
      <c r="DM91" s="1" t="str">
        <f t="shared" ref="DM91" ca="1" si="1178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1179">IF(Z81="","",AVERAGE(Z81:Z90))</f>
        <v/>
      </c>
      <c r="AA92" s="51" t="str">
        <f t="shared" si="1179"/>
        <v/>
      </c>
      <c r="AB92" s="51" t="str">
        <f t="shared" si="1179"/>
        <v/>
      </c>
      <c r="AC92" s="51" t="str">
        <f t="shared" si="1179"/>
        <v/>
      </c>
      <c r="AO92" s="51" t="str">
        <f t="shared" ref="AO92" si="1180">IF(AO81="","",AVERAGE(AO81:AO90))</f>
        <v/>
      </c>
      <c r="AP92" s="51" t="str">
        <f t="shared" ref="AP92" si="1181">IFERROR(IF(AP81="","",AVERAGE(AP81:AP90)),"")</f>
        <v/>
      </c>
      <c r="AQ92" s="51" t="str">
        <f t="shared" ref="AQ92:AR92" si="1182">IF(AQ81="","",AVERAGE(AQ81:AQ90))</f>
        <v/>
      </c>
      <c r="AR92" s="51" t="str">
        <f t="shared" si="1182"/>
        <v/>
      </c>
      <c r="BN92" s="1">
        <f t="shared" si="780"/>
        <v>20</v>
      </c>
      <c r="CG92" s="28" t="str">
        <f t="shared" si="20"/>
        <v>0</v>
      </c>
      <c r="DA92" s="1">
        <f t="shared" ref="DA92" ca="1" si="1183">MAX(DA82:DA91)</f>
        <v>220</v>
      </c>
    </row>
    <row r="93" spans="1:117" s="192" customFormat="1" hidden="1" x14ac:dyDescent="0.3">
      <c r="CG93" s="194" t="str">
        <f t="shared" si="20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>BM73+1</f>
        <v>5</v>
      </c>
      <c r="BN94" s="1">
        <v>1</v>
      </c>
      <c r="CG94" s="28" t="str">
        <f t="shared" ref="CG94" si="1184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>BN94+1</f>
        <v>2</v>
      </c>
      <c r="CG95" s="28" t="str">
        <f t="shared" si="20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ref="BN96:BN113" si="1185">BN95+1</f>
        <v>3</v>
      </c>
      <c r="CG96" s="28" t="str">
        <f t="shared" ref="CG96:CG114" si="1186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1187">IF(AP98&lt;=1,0,STDEV(AP102:AP111)/SQRT(AP98))</f>
        <v>0</v>
      </c>
      <c r="AQ97" s="51" t="s">
        <v>621</v>
      </c>
      <c r="BN97" s="1">
        <f t="shared" si="1185"/>
        <v>4</v>
      </c>
      <c r="CG97" s="28" t="str">
        <f t="shared" si="1186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1188">BZ107</f>
        <v>#N/A</v>
      </c>
      <c r="AP98" s="51">
        <f t="shared" ref="AP98" si="1189">COUNT(AP102:AP111)</f>
        <v>0</v>
      </c>
      <c r="AQ98" s="51" t="e">
        <f>VLOOKUP(CONCATENATE($A$2,".",BM94),'Evaporação do fluido'!$H$1:$L$84,5,FALSE)</f>
        <v>#VALUE!</v>
      </c>
      <c r="BN98" s="1">
        <f t="shared" si="1185"/>
        <v>5</v>
      </c>
      <c r="CG98" s="28" t="str">
        <f t="shared" si="1186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1185"/>
        <v>6</v>
      </c>
      <c r="CG99" s="28" t="str">
        <f t="shared" si="1186"/>
        <v>0</v>
      </c>
      <c r="CZ99" s="1">
        <f>IF(DC101=0,0,IF(DC99&gt;DA113,1,0))</f>
        <v>0</v>
      </c>
      <c r="DA99" s="1" t="s">
        <v>665</v>
      </c>
      <c r="DC99" s="1">
        <f t="shared" ref="DC99" ca="1" si="1190">DC100+DC101</f>
        <v>2.67353</v>
      </c>
      <c r="DD99" s="1">
        <f ca="1">VLOOKUP(AH102,'Unidades de medida'!$I$2:$J$5,2,FALSE)</f>
        <v>1</v>
      </c>
      <c r="DE99" s="1">
        <f t="shared" ref="DE99" ca="1" si="1191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411" t="s">
        <v>295</v>
      </c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62" t="s">
        <v>274</v>
      </c>
      <c r="AP100" s="62" t="s">
        <v>279</v>
      </c>
      <c r="AQ100" s="62" t="s">
        <v>280</v>
      </c>
      <c r="AR100" s="412" t="s">
        <v>289</v>
      </c>
      <c r="AS100" s="413" t="s">
        <v>290</v>
      </c>
      <c r="AT100" s="413"/>
      <c r="AU100" s="413"/>
      <c r="AV100" s="413"/>
      <c r="AW100" s="413"/>
      <c r="AX100" s="413"/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413"/>
      <c r="BJ100" s="413"/>
      <c r="BK100" s="413"/>
      <c r="BL100" s="413"/>
      <c r="BN100" s="1">
        <f t="shared" si="1185"/>
        <v>7</v>
      </c>
      <c r="CG100" s="28" t="str">
        <f t="shared" si="1186"/>
        <v>0</v>
      </c>
      <c r="DA100" s="1" t="s">
        <v>664</v>
      </c>
      <c r="DC100" s="1">
        <f t="shared" ref="DC100" ca="1" si="1192">$Q$7*DE99</f>
        <v>2.67353</v>
      </c>
      <c r="DD100" s="1">
        <f>VLOOKUP($S$7,'Unidades de medida'!$I$2:$J$5,2,FALSE)</f>
        <v>1</v>
      </c>
      <c r="DE100" s="1">
        <f t="shared" ref="DE100" ca="1" si="1193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18">
        <f>Q80</f>
        <v>0</v>
      </c>
      <c r="R101" s="418"/>
      <c r="S101" s="418"/>
      <c r="T101" s="418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1194">G96</f>
        <v>µL</v>
      </c>
      <c r="AQ101" s="63" t="s">
        <v>281</v>
      </c>
      <c r="AR101" s="412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1185"/>
        <v>8</v>
      </c>
      <c r="CG101" s="28" t="str">
        <f t="shared" si="1186"/>
        <v>0</v>
      </c>
      <c r="CZ101" s="1" t="s">
        <v>666</v>
      </c>
      <c r="DA101" s="1" t="s">
        <v>667</v>
      </c>
      <c r="DC101" s="1">
        <f t="shared" ref="DC101" si="1195">MAX(AO102:AO111)</f>
        <v>0</v>
      </c>
      <c r="DE101" s="320" t="s">
        <v>668</v>
      </c>
      <c r="DF101" s="320"/>
      <c r="DG101" s="320">
        <f t="shared" ref="DG101" ca="1" si="1196">VLOOKUP(DE100,CZ103:DD112,3,FALSE)</f>
        <v>3.0000000000000001E-5</v>
      </c>
      <c r="DH101" s="320">
        <f t="shared" ref="DH101" ca="1" si="1197">VLOOKUP(DE100,CZ103:DD112,4,FALSE)</f>
        <v>2</v>
      </c>
      <c r="DI101" s="320">
        <f t="shared" ref="DI101" ca="1" si="1198">VLOOKUP(DE100,CZ103:DD112,5,FALSE)</f>
        <v>1000000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>IF(E101="","",FIXED(ROUND(E96-E101,B104),B104,TRUE))</f>
        <v/>
      </c>
      <c r="F102" s="400"/>
      <c r="G102" s="1" t="str">
        <f>G101</f>
        <v/>
      </c>
      <c r="H102" s="51" t="str">
        <f t="shared" ref="H102:H111" si="1199">IF(I102="","",CONCATENATE(BN98-4,"ª"))</f>
        <v/>
      </c>
      <c r="I102" s="402"/>
      <c r="J102" s="402"/>
      <c r="K102" s="402"/>
      <c r="L102" s="402"/>
      <c r="M102" s="60" t="str">
        <f t="shared" ref="M102:M111" si="1200">IF(I102="","","°C")</f>
        <v/>
      </c>
      <c r="Q102" s="411" t="s">
        <v>481</v>
      </c>
      <c r="R102" s="411"/>
      <c r="S102" s="411" t="s">
        <v>482</v>
      </c>
      <c r="T102" s="411"/>
      <c r="Z102" s="51" t="str">
        <f t="shared" ref="Z102:Z111" si="1201">IF(AQ102="","",(1/(AQ102-$AU$5)))</f>
        <v/>
      </c>
      <c r="AA102" s="51" t="str">
        <f t="shared" ref="AA102:AA111" si="1202">IF(AQ102="","",1-($AU$5/$AU$6))</f>
        <v/>
      </c>
      <c r="AB102" s="51" t="str">
        <f t="shared" ref="AB102:AB111" si="1203">IF(AO102="","",(1-($AU$7*(AR102-20))))</f>
        <v/>
      </c>
      <c r="AC102" s="51" t="str">
        <f t="shared" ref="AC102:AC111" si="1204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1205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1206">IF(AF102="","",IF(AF102&gt;=1,0,LEN(AF102)-2))</f>
        <v>5</v>
      </c>
      <c r="AJ102" s="51">
        <f t="shared" ref="AJ102" ca="1" si="1207">IF($AN102="","",DM102)</f>
        <v>9.9999999996214228E-6</v>
      </c>
      <c r="AK102" s="51">
        <f t="shared" ref="AK102" ca="1" si="1208">IF($AN102="","",DG101)</f>
        <v>3.0000000000000001E-5</v>
      </c>
      <c r="AL102" s="51">
        <f t="shared" ref="AL102:AM102" ca="1" si="1209">IF(AK102="","",DH101)</f>
        <v>2</v>
      </c>
      <c r="AM102" s="51">
        <f t="shared" ca="1" si="1209"/>
        <v>1000000</v>
      </c>
      <c r="AN102" s="51">
        <f ca="1">IF(K96="","",IF(K96="","",VLOOKUP(K96,'Controle dos padrões'!$CV$97:$CW$116,2,FALSE)))</f>
        <v>9</v>
      </c>
      <c r="AO102" s="51" t="str">
        <f t="shared" ref="AO102" si="1210">IF(I102="","",I102/AO99)</f>
        <v/>
      </c>
      <c r="AP102" s="51" t="str">
        <f t="shared" ref="AP102" si="1211">IF(AO102="","",AO102*AC102*AP99)</f>
        <v/>
      </c>
      <c r="AQ102" s="51" t="str">
        <f t="shared" ref="AQ102:AQ111" si="1212">IF(AR102="","",(($AQ$7*AR102^5)+($AQ$6*AR102^4)+($AQ$5*AR102^3)+($AQ$4*AR102^2)+($AQ$3*AR102)+$AQ$2)/1000)</f>
        <v/>
      </c>
      <c r="AR102" s="26" t="str">
        <f t="shared" ref="AR102:AR111" si="1213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1214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1215">IF(BI102="","",2)</f>
        <v/>
      </c>
      <c r="BK102" s="51" t="str">
        <f t="shared" ref="BK102" si="1216">IF(BJ102="","",1000000)</f>
        <v/>
      </c>
      <c r="BL102" s="51" t="str">
        <f>IF(K102="","",IF(K97="","",VLOOKUP(K97,'Controle dos padrões'!$CV$74:$CW$93,2,FALSE)))</f>
        <v/>
      </c>
      <c r="BN102" s="1">
        <f t="shared" si="1185"/>
        <v>9</v>
      </c>
      <c r="BP102" s="1">
        <f t="shared" ref="BP102" si="1217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1218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1186"/>
        <v>0</v>
      </c>
      <c r="CY102" s="1">
        <f ca="1">VLOOKUP(CZ102,'Controle dos padrões'!$CW$97:$CX$116,2,FALSE)</f>
        <v>5</v>
      </c>
      <c r="CZ102" s="1">
        <f t="shared" ref="CZ102" ca="1" si="1219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1220">MAX(DF103:DF112)</f>
        <v>1.5E-5</v>
      </c>
      <c r="DH102" s="322" t="s">
        <v>674</v>
      </c>
      <c r="DI102" s="323" t="s">
        <v>675</v>
      </c>
      <c r="DJ102" s="320">
        <f t="shared" ref="DJ102" ca="1" si="1221">MAX(DJ103:DJ112)</f>
        <v>9.9999999996214228E-6</v>
      </c>
      <c r="DK102" s="322" t="s">
        <v>676</v>
      </c>
      <c r="DL102" s="320" t="s">
        <v>677</v>
      </c>
      <c r="DM102" s="320">
        <f t="shared" ref="DM102" ca="1" si="1222">MAX(DM103:DM112)</f>
        <v>9.9999999996214228E-6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R1'!$S$4:$W$163,2,FALSE))</f>
        <v/>
      </c>
      <c r="F103" s="400"/>
      <c r="G103" s="1" t="str">
        <f>G102</f>
        <v/>
      </c>
      <c r="H103" s="51" t="str">
        <f t="shared" si="1199"/>
        <v/>
      </c>
      <c r="I103" s="402"/>
      <c r="J103" s="402"/>
      <c r="K103" s="402"/>
      <c r="L103" s="402"/>
      <c r="M103" s="60" t="str">
        <f t="shared" si="1200"/>
        <v/>
      </c>
      <c r="O103" s="1" t="s">
        <v>477</v>
      </c>
      <c r="Q103" s="29" t="e">
        <f t="shared" ref="Q103" si="1223">HLOOKUP(Q101,BP109:BU111,2,FALSE)</f>
        <v>#N/A</v>
      </c>
      <c r="R103" s="30" t="str">
        <f t="shared" ref="R103" si="1224">G96</f>
        <v>µL</v>
      </c>
      <c r="S103" s="29" t="e">
        <f t="shared" ref="S103" si="1225">HLOOKUP(Q101,BP109:BU111,3,FALSE)</f>
        <v>#N/A</v>
      </c>
      <c r="T103" s="30" t="str">
        <f t="shared" ref="T103" si="1226">G96</f>
        <v>µL</v>
      </c>
      <c r="U103" s="61">
        <f t="shared" ref="U103" si="1227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1201"/>
        <v/>
      </c>
      <c r="AA103" s="51" t="str">
        <f t="shared" si="1202"/>
        <v/>
      </c>
      <c r="AB103" s="51" t="str">
        <f t="shared" si="1203"/>
        <v/>
      </c>
      <c r="AC103" s="51" t="str">
        <f t="shared" si="1204"/>
        <v/>
      </c>
      <c r="AD103" s="51" t="str">
        <f t="shared" ref="AD103" si="1228">IF(AN103="","",AD102)</f>
        <v/>
      </c>
      <c r="AE103" s="51" t="str">
        <f t="shared" ref="AE103" si="1229">IF(AN103="","",AE102)</f>
        <v/>
      </c>
      <c r="AF103" s="51" t="str">
        <f t="shared" ref="AF103" si="1230">IF(AN103="","",AF102)</f>
        <v/>
      </c>
      <c r="AG103" s="51" t="str">
        <f t="shared" ref="AG103" si="1231">IF(AN103="","",AG102)</f>
        <v/>
      </c>
      <c r="AH103" s="51" t="str">
        <f t="shared" ref="AH103" si="1232">IF(AN103="","",AH102)</f>
        <v/>
      </c>
      <c r="AI103" s="69" t="str">
        <f t="shared" ref="AI103" si="1233">IF(AN103="","",AI102)</f>
        <v/>
      </c>
      <c r="AJ103" s="51" t="str">
        <f t="shared" ref="AJ103" si="1234">IF(AN103="","",AJ102)</f>
        <v/>
      </c>
      <c r="AK103" s="51" t="str">
        <f t="shared" ref="AK103" si="1235">IF(AN103="","",AK102)</f>
        <v/>
      </c>
      <c r="AL103" s="51" t="str">
        <f t="shared" ref="AL103" si="1236">IF(AN103="","",AL102)</f>
        <v/>
      </c>
      <c r="AM103" s="51" t="str">
        <f t="shared" ref="AM103" si="1237">IF(AN103="","",AM102)</f>
        <v/>
      </c>
      <c r="AN103" s="51" t="str">
        <f t="shared" ref="AN103" si="1238">IF(I103="","",AN102)</f>
        <v/>
      </c>
      <c r="AO103" s="51" t="str">
        <f t="shared" ref="AO103" si="1239">IF(I103="","",I103/AO99)</f>
        <v/>
      </c>
      <c r="AP103" s="51" t="str">
        <f t="shared" ref="AP103" si="1240">IF(AO103="","",AO103*AC103*AP99)</f>
        <v/>
      </c>
      <c r="AQ103" s="51" t="str">
        <f t="shared" si="1212"/>
        <v/>
      </c>
      <c r="AR103" s="26" t="str">
        <f t="shared" si="1213"/>
        <v/>
      </c>
      <c r="AS103" s="51" t="str">
        <f t="shared" ref="AS103" si="1241">IF(BL103="","",AS102)</f>
        <v/>
      </c>
      <c r="AT103" s="51" t="str">
        <f t="shared" ref="AT103" si="1242">IF(BL103="","",AT102)</f>
        <v/>
      </c>
      <c r="AU103" s="51" t="str">
        <f t="shared" ref="AU103" si="1243">IF(BL103="","",AU102)</f>
        <v/>
      </c>
      <c r="AV103" s="51" t="str">
        <f t="shared" ref="AV103" si="1244">IF(BL103="","",AV102)</f>
        <v/>
      </c>
      <c r="AW103" s="51" t="str">
        <f t="shared" ref="AW103" si="1245">IF(BL103="","",AW102)</f>
        <v/>
      </c>
      <c r="AX103" s="51" t="str">
        <f t="shared" ref="AX103" si="1246">IF(BL103="","",AX102)</f>
        <v/>
      </c>
      <c r="AY103" s="51" t="str">
        <f t="shared" ref="AY103" si="1247">IF(BL103="","",AY102)</f>
        <v/>
      </c>
      <c r="AZ103" s="51" t="str">
        <f t="shared" ref="AZ103" si="1248">IF(BL103="","",AZ102)</f>
        <v/>
      </c>
      <c r="BA103" s="51" t="str">
        <f t="shared" ref="BA103" si="1249">IF(BL103="","",BA102)</f>
        <v/>
      </c>
      <c r="BB103" s="51" t="str">
        <f t="shared" ref="BB103" si="1250">IF(BL103="","",BB102)</f>
        <v/>
      </c>
      <c r="BC103" s="51" t="str">
        <f t="shared" ref="BC103" si="1251">IF(BL103="","",BC102)</f>
        <v/>
      </c>
      <c r="BD103" s="51" t="str">
        <f t="shared" ref="BD103" si="1252">IF(BL103="","",BD102)</f>
        <v/>
      </c>
      <c r="BE103" s="51" t="str">
        <f t="shared" ref="BE103" si="1253">IF(BL103="","",BE102)</f>
        <v/>
      </c>
      <c r="BF103" s="51" t="str">
        <f t="shared" ref="BF103" si="1254">IF(BL103="","",BF102)</f>
        <v/>
      </c>
      <c r="BG103" s="51" t="str">
        <f t="shared" ref="BG103" si="1255">IF(BL103="","",BG102)</f>
        <v/>
      </c>
      <c r="BH103" s="51" t="str">
        <f t="shared" ref="BH103" si="1256">IF(BL103="","",BH102)</f>
        <v/>
      </c>
      <c r="BI103" s="51" t="str">
        <f t="shared" ref="BI103" si="1257">IF(BL103="","",BI102)</f>
        <v/>
      </c>
      <c r="BJ103" s="51" t="str">
        <f t="shared" ref="BJ103" si="1258">IF(BL103="","",BJ102)</f>
        <v/>
      </c>
      <c r="BK103" s="51" t="str">
        <f t="shared" ref="BK103" si="1259">IF(BL103="","",BK102)</f>
        <v/>
      </c>
      <c r="BL103" s="51" t="str">
        <f t="shared" ref="BL103" si="1260">IF(K103="","",BL102)</f>
        <v/>
      </c>
      <c r="BN103" s="1">
        <f t="shared" si="1185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1261">IF(OR(BZ102&lt;BR103,BZ102&gt;BS103),0,1)</f>
        <v>#VALUE!</v>
      </c>
      <c r="BW103" s="1">
        <f t="shared" ref="BW103:BW105" si="1262">BP103</f>
        <v>1</v>
      </c>
      <c r="BY103" s="1" t="s">
        <v>431</v>
      </c>
      <c r="BZ103" s="1" t="str">
        <f t="shared" ref="BZ103" si="1263">AP113</f>
        <v/>
      </c>
      <c r="CA103" s="1" t="str">
        <f t="shared" ref="CA103" si="1264">AP101</f>
        <v>µL</v>
      </c>
      <c r="CB103" s="1">
        <f>VLOOKUP(CA103,'Unidades de medida'!$A$2:$B$9,2,FALSE)</f>
        <v>1000</v>
      </c>
      <c r="CG103" s="28" t="str">
        <f t="shared" si="1186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1265">IF(DB103="-","-",DB103/DC103)</f>
        <v>9.9009900990099013E-6</v>
      </c>
      <c r="DG103" s="1">
        <f t="shared" ref="DG103:DG112" si="1266">CZ103</f>
        <v>1</v>
      </c>
      <c r="DH103" s="51">
        <f ca="1">HLOOKUP(CONCATENATE($CZ103,DH102),'Controle dos padrões'!$AB$96:$BY$116,CY102+1,FALSE)</f>
        <v>0</v>
      </c>
      <c r="DI103" s="1">
        <f t="shared" ref="DI103" ca="1" si="1267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1268">ABS(DK103)</f>
        <v>0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R1'!$S$4:$W$163,5,FALSE),"")</f>
        <v/>
      </c>
      <c r="C104" s="190">
        <f>IF(E97="",0,IF(E97&gt;=1,0,LEN(E97)-2))</f>
        <v>0</v>
      </c>
      <c r="D104" s="68" t="s">
        <v>614</v>
      </c>
      <c r="E104" s="400" t="str">
        <f>IF(E102="","",VLOOKUP(BM94,'Incerteza - R1'!$S$4:$W$163,3,FALSE))</f>
        <v/>
      </c>
      <c r="F104" s="400"/>
      <c r="H104" s="51" t="str">
        <f t="shared" si="1199"/>
        <v/>
      </c>
      <c r="I104" s="402"/>
      <c r="J104" s="402"/>
      <c r="K104" s="402"/>
      <c r="L104" s="402"/>
      <c r="M104" s="60" t="str">
        <f t="shared" si="1200"/>
        <v/>
      </c>
      <c r="O104" s="417" t="s">
        <v>485</v>
      </c>
      <c r="P104" s="417"/>
      <c r="Q104" s="411" t="e">
        <f t="shared" ref="Q104" si="1269">IF(Q103="-","-",IF(U104&lt;=Q103,"Aprovado",IF(U104&gt;Q103,"Reprovado","")))</f>
        <v>#N/A</v>
      </c>
      <c r="R104" s="411"/>
      <c r="S104" s="411" t="e">
        <f t="shared" ref="S104" si="1270">IF(S103="-","-",IF(X104&lt;=S103,"Aprovado",IF(X104&gt;S103,"Reprovado","")))</f>
        <v>#N/A</v>
      </c>
      <c r="T104" s="411"/>
      <c r="U104" s="61" t="e">
        <f t="shared" ref="U104" si="1271">HLOOKUP(U103,V103:W104,2,FALSE)</f>
        <v>#VALUE!</v>
      </c>
      <c r="V104" s="61" t="e">
        <f t="shared" ref="V104" si="1272">ABS(E102*1)</f>
        <v>#VALUE!</v>
      </c>
      <c r="W104" s="61" t="e">
        <f t="shared" ref="W104" si="1273">ABS(E102*1)+(E103*1)</f>
        <v>#VALUE!</v>
      </c>
      <c r="X104" s="61">
        <f t="shared" ref="X104" si="1274">MAX(AP102:AP111)-MIN(AP102:AP111)</f>
        <v>0</v>
      </c>
      <c r="Z104" s="51" t="str">
        <f t="shared" si="1201"/>
        <v/>
      </c>
      <c r="AA104" s="51" t="str">
        <f t="shared" si="1202"/>
        <v/>
      </c>
      <c r="AB104" s="51" t="str">
        <f t="shared" si="1203"/>
        <v/>
      </c>
      <c r="AC104" s="51" t="str">
        <f t="shared" si="1204"/>
        <v/>
      </c>
      <c r="AD104" s="51" t="str">
        <f t="shared" ref="AD104" si="1275">IF(AN104="","",AD102)</f>
        <v/>
      </c>
      <c r="AE104" s="51" t="str">
        <f t="shared" ref="AE104" si="1276">IF(AN104="","",AE102)</f>
        <v/>
      </c>
      <c r="AF104" s="51" t="str">
        <f t="shared" ref="AF104" si="1277">IF(AN104="","",AF102)</f>
        <v/>
      </c>
      <c r="AG104" s="51" t="str">
        <f t="shared" ref="AG104" si="1278">IF(AN104="","",AG102)</f>
        <v/>
      </c>
      <c r="AH104" s="51" t="str">
        <f t="shared" ref="AH104" si="1279">IF(AN104="","",AH102)</f>
        <v/>
      </c>
      <c r="AI104" s="69" t="str">
        <f t="shared" ref="AI104" si="1280">IF(AN104="","",AI102)</f>
        <v/>
      </c>
      <c r="AJ104" s="51" t="str">
        <f t="shared" ref="AJ104" si="1281">IF(AN104="","",AJ102)</f>
        <v/>
      </c>
      <c r="AK104" s="51" t="str">
        <f t="shared" ref="AK104" si="1282">IF(AN104="","",AK102)</f>
        <v/>
      </c>
      <c r="AL104" s="51" t="str">
        <f t="shared" ref="AL104" si="1283">IF(AN104="","",AL102)</f>
        <v/>
      </c>
      <c r="AM104" s="51" t="str">
        <f t="shared" ref="AM104" si="1284">IF(AN104="","",AM102)</f>
        <v/>
      </c>
      <c r="AN104" s="51" t="str">
        <f t="shared" ref="AN104" si="1285">IF(I104="","",AN102)</f>
        <v/>
      </c>
      <c r="AO104" s="51" t="str">
        <f t="shared" ref="AO104" si="1286">IF(I104="","",I104/AO99)</f>
        <v/>
      </c>
      <c r="AP104" s="51" t="str">
        <f t="shared" ref="AP104" si="1287">IF(AO104="","",AO104*AC104*AP99)</f>
        <v/>
      </c>
      <c r="AQ104" s="51" t="str">
        <f t="shared" si="1212"/>
        <v/>
      </c>
      <c r="AR104" s="26" t="str">
        <f t="shared" si="1213"/>
        <v/>
      </c>
      <c r="AS104" s="51" t="str">
        <f t="shared" ref="AS104" si="1288">IF(BL104="","",AS102)</f>
        <v/>
      </c>
      <c r="AT104" s="51" t="str">
        <f t="shared" ref="AT104" si="1289">IF(BL104="","",AT102)</f>
        <v/>
      </c>
      <c r="AU104" s="51" t="str">
        <f t="shared" ref="AU104" si="1290">IF(BL104="","",AU102)</f>
        <v/>
      </c>
      <c r="AV104" s="51" t="str">
        <f t="shared" ref="AV104" si="1291">IF(BL104="","",AV102)</f>
        <v/>
      </c>
      <c r="AW104" s="51" t="str">
        <f t="shared" ref="AW104" si="1292">IF(BL104="","",AW102)</f>
        <v/>
      </c>
      <c r="AX104" s="51" t="str">
        <f t="shared" ref="AX104" si="1293">IF(BL104="","",AX102)</f>
        <v/>
      </c>
      <c r="AY104" s="51" t="str">
        <f t="shared" ref="AY104" si="1294">IF(BL104="","",AY102)</f>
        <v/>
      </c>
      <c r="AZ104" s="51" t="str">
        <f t="shared" ref="AZ104" si="1295">IF(BL104="","",AZ102)</f>
        <v/>
      </c>
      <c r="BA104" s="51" t="str">
        <f t="shared" ref="BA104" si="1296">IF(BL104="","",BA102)</f>
        <v/>
      </c>
      <c r="BB104" s="51" t="str">
        <f t="shared" ref="BB104" si="1297">IF(BL104="","",BB102)</f>
        <v/>
      </c>
      <c r="BC104" s="51" t="str">
        <f t="shared" ref="BC104" si="1298">IF(BL104="","",BC102)</f>
        <v/>
      </c>
      <c r="BD104" s="51" t="str">
        <f t="shared" ref="BD104" si="1299">IF(BL104="","",BD102)</f>
        <v/>
      </c>
      <c r="BE104" s="51" t="str">
        <f t="shared" ref="BE104" si="1300">IF(BL104="","",BE102)</f>
        <v/>
      </c>
      <c r="BF104" s="51" t="str">
        <f t="shared" ref="BF104" si="1301">IF(BL104="","",BF102)</f>
        <v/>
      </c>
      <c r="BG104" s="51" t="str">
        <f t="shared" ref="BG104" si="1302">IF(BL104="","",BG102)</f>
        <v/>
      </c>
      <c r="BH104" s="51" t="str">
        <f t="shared" ref="BH104" si="1303">IF(BL104="","",BH102)</f>
        <v/>
      </c>
      <c r="BI104" s="51" t="str">
        <f t="shared" ref="BI104" si="1304">IF(BL104="","",BI102)</f>
        <v/>
      </c>
      <c r="BJ104" s="51" t="str">
        <f t="shared" ref="BJ104" si="1305">IF(BL104="","",BJ102)</f>
        <v/>
      </c>
      <c r="BK104" s="51" t="str">
        <f t="shared" ref="BK104" si="1306">IF(BL104="","",BK102)</f>
        <v/>
      </c>
      <c r="BL104" s="51" t="str">
        <f t="shared" ref="BL104" si="1307">IF(K104="","",BL102)</f>
        <v/>
      </c>
      <c r="BN104" s="1">
        <f t="shared" si="1185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308">IF(OR(BZ102&lt;BR104,BZ102&gt;BS104),0,1)</f>
        <v>#VALUE!</v>
      </c>
      <c r="BW104" s="1">
        <f t="shared" si="1262"/>
        <v>2</v>
      </c>
      <c r="CB104" s="1">
        <f t="shared" ref="CB104" si="1309">CB102/CB103</f>
        <v>1E-3</v>
      </c>
      <c r="CG104" s="28" t="str">
        <f t="shared" si="1186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1265"/>
        <v>1.0000000000000001E-5</v>
      </c>
      <c r="DG104" s="1">
        <f t="shared" si="1266"/>
        <v>2</v>
      </c>
      <c r="DH104" s="51">
        <f ca="1">HLOOKUP(CONCATENATE($CZ104,DH102),'Controle dos padrões'!$AB$96:$BY$116,CY102+1,FALSE)</f>
        <v>0</v>
      </c>
      <c r="DI104" s="1">
        <f t="shared" ca="1" si="456"/>
        <v>0</v>
      </c>
      <c r="DK104" s="51">
        <f ca="1">HLOOKUP(CONCATENATE($CZ104,DK102),'Controle dos padrões'!$AB$96:$CI$116,CY102+1,FALSE)</f>
        <v>0</v>
      </c>
      <c r="DL104" s="1">
        <f t="shared" ca="1" si="457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R1'!$S$4:$W$163,4,FALSE))</f>
        <v/>
      </c>
      <c r="F105" s="400"/>
      <c r="H105" s="51" t="str">
        <f t="shared" si="1199"/>
        <v/>
      </c>
      <c r="I105" s="402"/>
      <c r="J105" s="402"/>
      <c r="K105" s="402"/>
      <c r="L105" s="402"/>
      <c r="M105" s="60" t="str">
        <f t="shared" si="1200"/>
        <v/>
      </c>
      <c r="Z105" s="51" t="str">
        <f t="shared" si="1201"/>
        <v/>
      </c>
      <c r="AA105" s="51" t="str">
        <f t="shared" si="1202"/>
        <v/>
      </c>
      <c r="AB105" s="51" t="str">
        <f t="shared" si="1203"/>
        <v/>
      </c>
      <c r="AC105" s="51" t="str">
        <f t="shared" si="1204"/>
        <v/>
      </c>
      <c r="AD105" s="51" t="str">
        <f t="shared" ref="AD105" si="1310">IF(AN105="","",AD102)</f>
        <v/>
      </c>
      <c r="AE105" s="51" t="str">
        <f t="shared" ref="AE105" si="1311">IF(AN105="","",AE102)</f>
        <v/>
      </c>
      <c r="AF105" s="51" t="str">
        <f t="shared" ref="AF105" si="1312">IF(AN105="","",AF102)</f>
        <v/>
      </c>
      <c r="AG105" s="51" t="str">
        <f t="shared" ref="AG105" si="1313">IF(AN105="","",AG102)</f>
        <v/>
      </c>
      <c r="AH105" s="51" t="str">
        <f t="shared" ref="AH105" si="1314">IF(AN105="","",AH102)</f>
        <v/>
      </c>
      <c r="AI105" s="69" t="str">
        <f t="shared" ref="AI105" si="1315">IF(AN105="","",AI102)</f>
        <v/>
      </c>
      <c r="AJ105" s="51" t="str">
        <f t="shared" ref="AJ105" si="1316">IF(AN105="","",AJ102)</f>
        <v/>
      </c>
      <c r="AK105" s="51" t="str">
        <f t="shared" ref="AK105" si="1317">IF(AN105="","",AK102)</f>
        <v/>
      </c>
      <c r="AL105" s="51" t="str">
        <f t="shared" ref="AL105" si="1318">IF(AN105="","",AL102)</f>
        <v/>
      </c>
      <c r="AM105" s="51" t="str">
        <f t="shared" ref="AM105" si="1319">IF(AN105="","",AM102)</f>
        <v/>
      </c>
      <c r="AN105" s="51" t="str">
        <f t="shared" ref="AN105" si="1320">IF(I105="","",AN102)</f>
        <v/>
      </c>
      <c r="AO105" s="51" t="str">
        <f t="shared" ref="AO105" si="1321">IF(I105="","",I105/AO99)</f>
        <v/>
      </c>
      <c r="AP105" s="51" t="str">
        <f t="shared" ref="AP105" si="1322">IF(AO105="","",AO105*AC105*AP99)</f>
        <v/>
      </c>
      <c r="AQ105" s="51" t="str">
        <f t="shared" si="1212"/>
        <v/>
      </c>
      <c r="AR105" s="26" t="str">
        <f t="shared" si="1213"/>
        <v/>
      </c>
      <c r="AS105" s="51" t="str">
        <f t="shared" ref="AS105" si="1323">IF(BL105="","",AS102)</f>
        <v/>
      </c>
      <c r="AT105" s="51" t="str">
        <f t="shared" ref="AT105" si="1324">IF(BL105="","",AT102)</f>
        <v/>
      </c>
      <c r="AU105" s="51" t="str">
        <f t="shared" ref="AU105" si="1325">IF(BL105="","",AU102)</f>
        <v/>
      </c>
      <c r="AV105" s="51" t="str">
        <f t="shared" ref="AV105" si="1326">IF(BL105="","",AV102)</f>
        <v/>
      </c>
      <c r="AW105" s="51" t="str">
        <f t="shared" ref="AW105" si="1327">IF(BL105="","",AW102)</f>
        <v/>
      </c>
      <c r="AX105" s="51" t="str">
        <f t="shared" ref="AX105" si="1328">IF(BL105="","",AX102)</f>
        <v/>
      </c>
      <c r="AY105" s="51" t="str">
        <f t="shared" ref="AY105" si="1329">IF(BL105="","",AY102)</f>
        <v/>
      </c>
      <c r="AZ105" s="51" t="str">
        <f t="shared" ref="AZ105" si="1330">IF(BL105="","",AZ102)</f>
        <v/>
      </c>
      <c r="BA105" s="51" t="str">
        <f t="shared" ref="BA105" si="1331">IF(BL105="","",BA102)</f>
        <v/>
      </c>
      <c r="BB105" s="51" t="str">
        <f t="shared" ref="BB105" si="1332">IF(BL105="","",BB102)</f>
        <v/>
      </c>
      <c r="BC105" s="51" t="str">
        <f t="shared" ref="BC105" si="1333">IF(BL105="","",BC102)</f>
        <v/>
      </c>
      <c r="BD105" s="51" t="str">
        <f t="shared" ref="BD105" si="1334">IF(BL105="","",BD102)</f>
        <v/>
      </c>
      <c r="BE105" s="51" t="str">
        <f t="shared" ref="BE105" si="1335">IF(BL105="","",BE102)</f>
        <v/>
      </c>
      <c r="BF105" s="51" t="str">
        <f t="shared" ref="BF105" si="1336">IF(BL105="","",BF102)</f>
        <v/>
      </c>
      <c r="BG105" s="51" t="str">
        <f t="shared" ref="BG105" si="1337">IF(BL105="","",BG102)</f>
        <v/>
      </c>
      <c r="BH105" s="51" t="str">
        <f t="shared" ref="BH105" si="1338">IF(BL105="","",BH102)</f>
        <v/>
      </c>
      <c r="BI105" s="51" t="str">
        <f t="shared" ref="BI105" si="1339">IF(BL105="","",BI102)</f>
        <v/>
      </c>
      <c r="BJ105" s="51" t="str">
        <f t="shared" ref="BJ105" si="1340">IF(BL105="","",BJ102)</f>
        <v/>
      </c>
      <c r="BK105" s="51" t="str">
        <f t="shared" ref="BK105" si="1341">IF(BL105="","",BK102)</f>
        <v/>
      </c>
      <c r="BL105" s="51" t="str">
        <f t="shared" ref="BL105" si="1342">IF(K105="","",BL102)</f>
        <v/>
      </c>
      <c r="BN105" s="1">
        <f t="shared" si="1185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343">IF(OR(BZ102&lt;BR105,BZ102&gt;BS105),0,1)</f>
        <v>#VALUE!</v>
      </c>
      <c r="BW105" s="1">
        <f t="shared" si="1262"/>
        <v>3</v>
      </c>
      <c r="BY105" s="51" t="s">
        <v>39</v>
      </c>
      <c r="BZ105" s="51" t="e">
        <f t="shared" ref="BZ105" si="1344">VLOOKUP(VLOOKUP(1,BV103:BW105,2,FALSE),BP103:BU105,5,FALSE)</f>
        <v>#N/A</v>
      </c>
      <c r="CA105" s="51" t="e">
        <f t="shared" ref="CA105" si="1345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1186"/>
        <v>0</v>
      </c>
      <c r="CY105" s="1">
        <f t="shared" ref="CY105" ca="1" si="1346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1265"/>
        <v>1.5E-5</v>
      </c>
      <c r="DF105" s="1">
        <f t="shared" ref="DF105" ca="1" si="1347">IF(CY105=1,MAX(DE103:DE105),"-")</f>
        <v>1.5E-5</v>
      </c>
      <c r="DG105" s="1">
        <f t="shared" si="1266"/>
        <v>3</v>
      </c>
      <c r="DH105" s="51">
        <f ca="1">HLOOKUP(CONCATENATE($CZ105,DH102),'Controle dos padrões'!$AB$96:$BY$116,CY102+1,FALSE)</f>
        <v>9.9999999996214228E-6</v>
      </c>
      <c r="DI105" s="1">
        <f t="shared" ca="1" si="456"/>
        <v>9.9999999996214228E-6</v>
      </c>
      <c r="DJ105" s="1">
        <f t="shared" ref="DJ105" ca="1" si="1348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457"/>
        <v>9.9999999996214228E-6</v>
      </c>
      <c r="DM105" s="1">
        <f t="shared" ref="DM105" ca="1" si="1349">IF(CY105=1,MAX(DL103:DL105),"-")</f>
        <v>9.9999999996214228E-6</v>
      </c>
    </row>
    <row r="106" spans="1:117" hidden="1" x14ac:dyDescent="0.3">
      <c r="A106" s="61" t="str">
        <f>CONCATENATE(BM94,".",BN106)</f>
        <v>5.13</v>
      </c>
      <c r="H106" s="51" t="str">
        <f t="shared" si="1199"/>
        <v/>
      </c>
      <c r="I106" s="402"/>
      <c r="J106" s="402"/>
      <c r="K106" s="402"/>
      <c r="L106" s="402"/>
      <c r="M106" s="60" t="str">
        <f t="shared" si="1200"/>
        <v/>
      </c>
      <c r="O106" s="1" t="str">
        <f t="shared" ref="O106" si="1350">IF(Q101=BU109,"Critério cliente :","")</f>
        <v/>
      </c>
      <c r="R106" s="408"/>
      <c r="S106" s="410"/>
      <c r="T106" s="195"/>
      <c r="Z106" s="51" t="str">
        <f t="shared" si="1201"/>
        <v/>
      </c>
      <c r="AA106" s="51" t="str">
        <f t="shared" si="1202"/>
        <v/>
      </c>
      <c r="AB106" s="51" t="str">
        <f t="shared" si="1203"/>
        <v/>
      </c>
      <c r="AC106" s="51" t="str">
        <f t="shared" si="1204"/>
        <v/>
      </c>
      <c r="AD106" s="51" t="str">
        <f t="shared" ref="AD106" si="1351">IF(AN106="","",AD102)</f>
        <v/>
      </c>
      <c r="AE106" s="51" t="str">
        <f t="shared" ref="AE106" si="1352">IF(AN106="","",AE102)</f>
        <v/>
      </c>
      <c r="AF106" s="51" t="str">
        <f t="shared" ref="AF106" si="1353">IF(AN106="","",AF102)</f>
        <v/>
      </c>
      <c r="AG106" s="51" t="str">
        <f t="shared" ref="AG106" si="1354">IF(AN106="","",AG102)</f>
        <v/>
      </c>
      <c r="AH106" s="51" t="str">
        <f t="shared" ref="AH106" si="1355">IF(AN106="","",AH102)</f>
        <v/>
      </c>
      <c r="AI106" s="69" t="str">
        <f t="shared" ref="AI106" si="1356">IF(AN106="","",AI102)</f>
        <v/>
      </c>
      <c r="AJ106" s="51" t="str">
        <f t="shared" ref="AJ106" si="1357">IF(AN106="","",AJ102)</f>
        <v/>
      </c>
      <c r="AK106" s="51" t="str">
        <f t="shared" ref="AK106" si="1358">IF(AN106="","",AK102)</f>
        <v/>
      </c>
      <c r="AL106" s="51" t="str">
        <f t="shared" ref="AL106" si="1359">IF(AN106="","",AL102)</f>
        <v/>
      </c>
      <c r="AM106" s="51" t="str">
        <f t="shared" ref="AM106" si="1360">IF(AN106="","",AM102)</f>
        <v/>
      </c>
      <c r="AN106" s="51" t="str">
        <f t="shared" ref="AN106" si="1361">IF(I106="","",AN102)</f>
        <v/>
      </c>
      <c r="AO106" s="51" t="str">
        <f t="shared" ref="AO106" si="1362">IF(I106="","",I106/AO99)</f>
        <v/>
      </c>
      <c r="AP106" s="51" t="str">
        <f t="shared" ref="AP106" si="1363">IF(AO106="","",AO106*AC106*AP99)</f>
        <v/>
      </c>
      <c r="AQ106" s="51" t="str">
        <f t="shared" si="1212"/>
        <v/>
      </c>
      <c r="AR106" s="26" t="str">
        <f t="shared" si="1213"/>
        <v/>
      </c>
      <c r="AS106" s="51" t="str">
        <f t="shared" ref="AS106" si="1364">IF(BL106="","",AS102)</f>
        <v/>
      </c>
      <c r="AT106" s="51" t="str">
        <f t="shared" ref="AT106" si="1365">IF(BL106="","",AT102)</f>
        <v/>
      </c>
      <c r="AU106" s="51" t="str">
        <f t="shared" ref="AU106" si="1366">IF(BL106="","",AU102)</f>
        <v/>
      </c>
      <c r="AV106" s="51" t="str">
        <f t="shared" ref="AV106" si="1367">IF(BL106="","",AV102)</f>
        <v/>
      </c>
      <c r="AW106" s="51" t="str">
        <f t="shared" ref="AW106" si="1368">IF(BL106="","",AW102)</f>
        <v/>
      </c>
      <c r="AX106" s="51" t="str">
        <f t="shared" ref="AX106" si="1369">IF(BL106="","",AX102)</f>
        <v/>
      </c>
      <c r="AY106" s="51" t="str">
        <f t="shared" ref="AY106" si="1370">IF(BL106="","",AY102)</f>
        <v/>
      </c>
      <c r="AZ106" s="51" t="str">
        <f t="shared" ref="AZ106" si="1371">IF(BL106="","",AZ102)</f>
        <v/>
      </c>
      <c r="BA106" s="51" t="str">
        <f t="shared" ref="BA106" si="1372">IF(BL106="","",BA102)</f>
        <v/>
      </c>
      <c r="BB106" s="51" t="str">
        <f t="shared" ref="BB106" si="1373">IF(BL106="","",BB102)</f>
        <v/>
      </c>
      <c r="BC106" s="51" t="str">
        <f t="shared" ref="BC106" si="1374">IF(BL106="","",BC102)</f>
        <v/>
      </c>
      <c r="BD106" s="51" t="str">
        <f t="shared" ref="BD106" si="1375">IF(BL106="","",BD102)</f>
        <v/>
      </c>
      <c r="BE106" s="51" t="str">
        <f t="shared" ref="BE106" si="1376">IF(BL106="","",BE102)</f>
        <v/>
      </c>
      <c r="BF106" s="51" t="str">
        <f t="shared" ref="BF106" si="1377">IF(BL106="","",BF102)</f>
        <v/>
      </c>
      <c r="BG106" s="51" t="str">
        <f t="shared" ref="BG106" si="1378">IF(BL106="","",BG102)</f>
        <v/>
      </c>
      <c r="BH106" s="51" t="str">
        <f t="shared" ref="BH106" si="1379">IF(BL106="","",BH102)</f>
        <v/>
      </c>
      <c r="BI106" s="51" t="str">
        <f t="shared" ref="BI106" si="1380">IF(BL106="","",BI102)</f>
        <v/>
      </c>
      <c r="BJ106" s="51" t="str">
        <f t="shared" ref="BJ106" si="1381">IF(BL106="","",BJ102)</f>
        <v/>
      </c>
      <c r="BK106" s="51" t="str">
        <f t="shared" ref="BK106" si="1382">IF(BL106="","",BK102)</f>
        <v/>
      </c>
      <c r="BL106" s="51" t="str">
        <f t="shared" ref="BL106" si="1383">IF(K106="","",BL102)</f>
        <v/>
      </c>
      <c r="BN106" s="1">
        <f t="shared" si="1185"/>
        <v>13</v>
      </c>
      <c r="CB106" s="1" t="e">
        <f t="shared" ref="CB106" si="1384">CB103/CB105</f>
        <v>#N/A</v>
      </c>
      <c r="CG106" s="28" t="str">
        <f t="shared" si="1186"/>
        <v>0</v>
      </c>
      <c r="CY106" s="1">
        <f t="shared" ref="CY106" ca="1" si="1385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1265"/>
        <v>7.4999999999999993E-5</v>
      </c>
      <c r="DF106" s="1" t="str">
        <f t="shared" ref="DF106" ca="1" si="1386">IF(CY106=1,MAX(DE103:DE106),"-")</f>
        <v>-</v>
      </c>
      <c r="DG106" s="1">
        <f t="shared" si="1266"/>
        <v>4</v>
      </c>
      <c r="DH106" s="51">
        <f ca="1">HLOOKUP(CONCATENATE($CZ106,DH102),'Controle dos padrões'!$AB$96:$BY$116,CY102+1,FALSE)</f>
        <v>1.0000000003174137E-5</v>
      </c>
      <c r="DI106" s="1">
        <f t="shared" ca="1" si="456"/>
        <v>1.0000000003174137E-5</v>
      </c>
      <c r="DJ106" s="1" t="str">
        <f t="shared" ref="DJ106" ca="1" si="1387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457"/>
        <v>0</v>
      </c>
      <c r="DM106" s="1" t="str">
        <f t="shared" ref="DM106" ca="1" si="1388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1199"/>
        <v/>
      </c>
      <c r="I107" s="402"/>
      <c r="J107" s="402"/>
      <c r="K107" s="402"/>
      <c r="L107" s="402"/>
      <c r="M107" s="60" t="str">
        <f t="shared" si="1200"/>
        <v/>
      </c>
      <c r="O107" s="1" t="str">
        <f t="shared" ref="O107" si="1389">IF(OR(K97="",K102=""),"","Temp. média corrigida:")</f>
        <v/>
      </c>
      <c r="S107" s="400" t="str">
        <f>IF(OR(K97="",K102=""),"",IF(COUNT(K102:L111)&lt;1,"",CONCATENATE(FIXED(AR113,AV102)," ",M102)))</f>
        <v/>
      </c>
      <c r="T107" s="400"/>
      <c r="Z107" s="51" t="str">
        <f t="shared" si="1201"/>
        <v/>
      </c>
      <c r="AA107" s="51" t="str">
        <f t="shared" si="1202"/>
        <v/>
      </c>
      <c r="AB107" s="51" t="str">
        <f t="shared" si="1203"/>
        <v/>
      </c>
      <c r="AC107" s="51" t="str">
        <f t="shared" si="1204"/>
        <v/>
      </c>
      <c r="AD107" s="51" t="str">
        <f t="shared" ref="AD107" si="1390">IF(AN107="","",AD102)</f>
        <v/>
      </c>
      <c r="AE107" s="51" t="str">
        <f t="shared" ref="AE107" si="1391">IF(AN107="","",AE102)</f>
        <v/>
      </c>
      <c r="AF107" s="51" t="str">
        <f t="shared" ref="AF107" si="1392">IF(AN107="","",AF102)</f>
        <v/>
      </c>
      <c r="AG107" s="51" t="str">
        <f t="shared" ref="AG107" si="1393">IF(AN107="","",AG102)</f>
        <v/>
      </c>
      <c r="AH107" s="51" t="str">
        <f t="shared" ref="AH107" si="1394">IF(AN107="","",AH102)</f>
        <v/>
      </c>
      <c r="AI107" s="69" t="str">
        <f t="shared" ref="AI107" si="1395">IF(AN107="","",AI102)</f>
        <v/>
      </c>
      <c r="AJ107" s="51" t="str">
        <f t="shared" ref="AJ107" si="1396">IF(AN107="","",AJ102)</f>
        <v/>
      </c>
      <c r="AK107" s="51" t="str">
        <f t="shared" ref="AK107" si="1397">IF(AN107="","",AK102)</f>
        <v/>
      </c>
      <c r="AL107" s="51" t="str">
        <f t="shared" ref="AL107" si="1398">IF(AN107="","",AL102)</f>
        <v/>
      </c>
      <c r="AM107" s="51" t="str">
        <f t="shared" ref="AM107" si="1399">IF(AN107="","",AM102)</f>
        <v/>
      </c>
      <c r="AN107" s="51" t="str">
        <f t="shared" ref="AN107" si="1400">IF(I107="","",AN102)</f>
        <v/>
      </c>
      <c r="AO107" s="51" t="str">
        <f t="shared" ref="AO107" si="1401">IF(I107="","",I107/AO99)</f>
        <v/>
      </c>
      <c r="AP107" s="51" t="str">
        <f t="shared" ref="AP107" si="1402">IF(AO107="","",AO107*AC107*AP99)</f>
        <v/>
      </c>
      <c r="AQ107" s="51" t="str">
        <f t="shared" si="1212"/>
        <v/>
      </c>
      <c r="AR107" s="26" t="str">
        <f t="shared" si="1213"/>
        <v/>
      </c>
      <c r="AS107" s="51" t="str">
        <f t="shared" ref="AS107" si="1403">IF(BL107="","",AS102)</f>
        <v/>
      </c>
      <c r="AT107" s="51" t="str">
        <f t="shared" ref="AT107" si="1404">IF(BL107="","",AT102)</f>
        <v/>
      </c>
      <c r="AU107" s="51" t="str">
        <f t="shared" ref="AU107" si="1405">IF(BL107="","",AU102)</f>
        <v/>
      </c>
      <c r="AV107" s="51" t="str">
        <f t="shared" ref="AV107" si="1406">IF(BL107="","",AV102)</f>
        <v/>
      </c>
      <c r="AW107" s="51" t="str">
        <f t="shared" ref="AW107" si="1407">IF(BL107="","",AW102)</f>
        <v/>
      </c>
      <c r="AX107" s="51" t="str">
        <f t="shared" ref="AX107" si="1408">IF(BL107="","",AX102)</f>
        <v/>
      </c>
      <c r="AY107" s="51" t="str">
        <f t="shared" ref="AY107" si="1409">IF(BL107="","",AY102)</f>
        <v/>
      </c>
      <c r="AZ107" s="51" t="str">
        <f t="shared" ref="AZ107" si="1410">IF(BL107="","",AZ102)</f>
        <v/>
      </c>
      <c r="BA107" s="51" t="str">
        <f t="shared" ref="BA107" si="1411">IF(BL107="","",BA102)</f>
        <v/>
      </c>
      <c r="BB107" s="51" t="str">
        <f t="shared" ref="BB107" si="1412">IF(BL107="","",BB102)</f>
        <v/>
      </c>
      <c r="BC107" s="51" t="str">
        <f t="shared" ref="BC107" si="1413">IF(BL107="","",BC102)</f>
        <v/>
      </c>
      <c r="BD107" s="51" t="str">
        <f t="shared" ref="BD107" si="1414">IF(BL107="","",BD102)</f>
        <v/>
      </c>
      <c r="BE107" s="51" t="str">
        <f t="shared" ref="BE107" si="1415">IF(BL107="","",BE102)</f>
        <v/>
      </c>
      <c r="BF107" s="51" t="str">
        <f t="shared" ref="BF107" si="1416">IF(BL107="","",BF102)</f>
        <v/>
      </c>
      <c r="BG107" s="51" t="str">
        <f t="shared" ref="BG107" si="1417">IF(BL107="","",BG102)</f>
        <v/>
      </c>
      <c r="BH107" s="51" t="str">
        <f t="shared" ref="BH107" si="1418">IF(BL107="","",BH102)</f>
        <v/>
      </c>
      <c r="BI107" s="51" t="str">
        <f t="shared" ref="BI107" si="1419">IF(BL107="","",BI102)</f>
        <v/>
      </c>
      <c r="BJ107" s="51" t="str">
        <f t="shared" ref="BJ107" si="1420">IF(BL107="","",BJ102)</f>
        <v/>
      </c>
      <c r="BK107" s="51" t="str">
        <f t="shared" ref="BK107" si="1421">IF(BL107="","",BK102)</f>
        <v/>
      </c>
      <c r="BL107" s="51" t="str">
        <f t="shared" ref="BL107" si="1422">IF(K107="","",BL102)</f>
        <v/>
      </c>
      <c r="BN107" s="1">
        <f t="shared" si="1185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423">CA103</f>
        <v>µL</v>
      </c>
      <c r="CG107" s="28" t="str">
        <f t="shared" si="1186"/>
        <v>0</v>
      </c>
      <c r="CY107" s="1">
        <f t="shared" ref="CY107" ca="1" si="1424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1265"/>
        <v>2.0000000000000001E-4</v>
      </c>
      <c r="DF107" s="1" t="str">
        <f t="shared" ref="DF107" ca="1" si="1425">IF(CY107=1,MAX(DE103:DE107),"-")</f>
        <v>-</v>
      </c>
      <c r="DG107" s="1">
        <f t="shared" si="1266"/>
        <v>5</v>
      </c>
      <c r="DH107" s="51">
        <f ca="1">HLOOKUP(CONCATENATE($CZ107,DH102),'Controle dos padrões'!$AB$96:$BY$116,CY102+1,FALSE)</f>
        <v>-1.0000000000331966E-4</v>
      </c>
      <c r="DI107" s="1">
        <f t="shared" ca="1" si="456"/>
        <v>1.0000000000331966E-4</v>
      </c>
      <c r="DJ107" s="1" t="str">
        <f t="shared" ref="DJ107" ca="1" si="1426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457"/>
        <v>1.0000000000331966E-4</v>
      </c>
      <c r="DM107" s="1" t="str">
        <f t="shared" ref="DM107" ca="1" si="1427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1199"/>
        <v/>
      </c>
      <c r="I108" s="402"/>
      <c r="J108" s="402"/>
      <c r="K108" s="402"/>
      <c r="L108" s="402"/>
      <c r="M108" s="60" t="str">
        <f t="shared" si="1200"/>
        <v/>
      </c>
      <c r="O108" s="1" t="str">
        <f t="shared" ref="O108" si="1428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1201"/>
        <v/>
      </c>
      <c r="AA108" s="51" t="str">
        <f t="shared" si="1202"/>
        <v/>
      </c>
      <c r="AB108" s="51" t="str">
        <f t="shared" si="1203"/>
        <v/>
      </c>
      <c r="AC108" s="51" t="str">
        <f t="shared" si="1204"/>
        <v/>
      </c>
      <c r="AD108" s="51" t="str">
        <f t="shared" ref="AD108" si="1429">IF(AN108="","",AD102)</f>
        <v/>
      </c>
      <c r="AE108" s="51" t="str">
        <f t="shared" ref="AE108" si="1430">IF(AN108="","",AE102)</f>
        <v/>
      </c>
      <c r="AF108" s="51" t="str">
        <f t="shared" ref="AF108" si="1431">IF(AN108="","",AF102)</f>
        <v/>
      </c>
      <c r="AG108" s="51" t="str">
        <f t="shared" ref="AG108" si="1432">IF(AN108="","",AG102)</f>
        <v/>
      </c>
      <c r="AH108" s="51" t="str">
        <f t="shared" ref="AH108" si="1433">IF(AN108="","",AH102)</f>
        <v/>
      </c>
      <c r="AI108" s="69" t="str">
        <f t="shared" ref="AI108" si="1434">IF(AN108="","",AI102)</f>
        <v/>
      </c>
      <c r="AJ108" s="51" t="str">
        <f t="shared" ref="AJ108" si="1435">IF(AN108="","",AJ102)</f>
        <v/>
      </c>
      <c r="AK108" s="51" t="str">
        <f t="shared" ref="AK108" si="1436">IF(AN108="","",AK102)</f>
        <v/>
      </c>
      <c r="AL108" s="51" t="str">
        <f t="shared" ref="AL108" si="1437">IF(AN108="","",AL102)</f>
        <v/>
      </c>
      <c r="AM108" s="51" t="str">
        <f t="shared" ref="AM108" si="1438">IF(AN108="","",AM102)</f>
        <v/>
      </c>
      <c r="AN108" s="51" t="str">
        <f t="shared" ref="AN108" si="1439">IF(I108="","",AN102)</f>
        <v/>
      </c>
      <c r="AO108" s="51" t="str">
        <f t="shared" ref="AO108" si="1440">IF(I108="","",I108/AO99)</f>
        <v/>
      </c>
      <c r="AP108" s="51" t="str">
        <f t="shared" ref="AP108" si="1441">IF(AO108="","",AO108*AC108*AP99)</f>
        <v/>
      </c>
      <c r="AQ108" s="51" t="str">
        <f t="shared" si="1212"/>
        <v/>
      </c>
      <c r="AR108" s="26" t="str">
        <f t="shared" si="1213"/>
        <v/>
      </c>
      <c r="AS108" s="51" t="str">
        <f t="shared" ref="AS108" si="1442">IF(BL108="","",AS102)</f>
        <v/>
      </c>
      <c r="AT108" s="51" t="str">
        <f t="shared" ref="AT108" si="1443">IF(BL108="","",AT102)</f>
        <v/>
      </c>
      <c r="AU108" s="51" t="str">
        <f t="shared" ref="AU108" si="1444">IF(BL108="","",AU102)</f>
        <v/>
      </c>
      <c r="AV108" s="51" t="str">
        <f t="shared" ref="AV108" si="1445">IF(BL108="","",AV102)</f>
        <v/>
      </c>
      <c r="AW108" s="51" t="str">
        <f t="shared" ref="AW108" si="1446">IF(BL108="","",AW102)</f>
        <v/>
      </c>
      <c r="AX108" s="51" t="str">
        <f t="shared" ref="AX108" si="1447">IF(BL108="","",AX102)</f>
        <v/>
      </c>
      <c r="AY108" s="51" t="str">
        <f t="shared" ref="AY108" si="1448">IF(BL108="","",AY102)</f>
        <v/>
      </c>
      <c r="AZ108" s="51" t="str">
        <f t="shared" ref="AZ108" si="1449">IF(BL108="","",AZ102)</f>
        <v/>
      </c>
      <c r="BA108" s="51" t="str">
        <f t="shared" ref="BA108" si="1450">IF(BL108="","",BA102)</f>
        <v/>
      </c>
      <c r="BB108" s="51" t="str">
        <f t="shared" ref="BB108" si="1451">IF(BL108="","",BB102)</f>
        <v/>
      </c>
      <c r="BC108" s="51" t="str">
        <f t="shared" ref="BC108" si="1452">IF(BL108="","",BC102)</f>
        <v/>
      </c>
      <c r="BD108" s="51" t="str">
        <f t="shared" ref="BD108" si="1453">IF(BL108="","",BD102)</f>
        <v/>
      </c>
      <c r="BE108" s="51" t="str">
        <f t="shared" ref="BE108" si="1454">IF(BL108="","",BE102)</f>
        <v/>
      </c>
      <c r="BF108" s="51" t="str">
        <f t="shared" ref="BF108" si="1455">IF(BL108="","",BF102)</f>
        <v/>
      </c>
      <c r="BG108" s="51" t="str">
        <f t="shared" ref="BG108" si="1456">IF(BL108="","",BG102)</f>
        <v/>
      </c>
      <c r="BH108" s="51" t="str">
        <f t="shared" ref="BH108" si="1457">IF(BL108="","",BH102)</f>
        <v/>
      </c>
      <c r="BI108" s="51" t="str">
        <f t="shared" ref="BI108" si="1458">IF(BL108="","",BI102)</f>
        <v/>
      </c>
      <c r="BJ108" s="51" t="str">
        <f t="shared" ref="BJ108" si="1459">IF(BL108="","",BJ102)</f>
        <v/>
      </c>
      <c r="BK108" s="51" t="str">
        <f t="shared" ref="BK108" si="1460">IF(BL108="","",BK102)</f>
        <v/>
      </c>
      <c r="BL108" s="51" t="str">
        <f t="shared" ref="BL108" si="1461">IF(K108="","",BL102)</f>
        <v/>
      </c>
      <c r="BN108" s="1">
        <f t="shared" si="1185"/>
        <v>15</v>
      </c>
      <c r="CG108" s="28" t="str">
        <f t="shared" si="1186"/>
        <v>0</v>
      </c>
      <c r="CY108" s="1">
        <f t="shared" ref="CY108" ca="1" si="1462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1265"/>
        <v>2.5000000000000001E-4</v>
      </c>
      <c r="DF108" s="1" t="str">
        <f t="shared" ref="DF108" ca="1" si="1463">IF(CY108=1,MAX(DE103:DE108),"-")</f>
        <v>-</v>
      </c>
      <c r="DG108" s="1">
        <f t="shared" si="1266"/>
        <v>6</v>
      </c>
      <c r="DH108" s="51">
        <f ca="1">HLOOKUP(CONCATENATE($CZ108,DH102),'Controle dos padrões'!$AB$96:$BY$116,CY102+1,FALSE)</f>
        <v>-1.0000000000331966E-4</v>
      </c>
      <c r="DI108" s="1">
        <f t="shared" ca="1" si="456"/>
        <v>1.0000000000331966E-4</v>
      </c>
      <c r="DJ108" s="1" t="str">
        <f t="shared" ref="DJ108" ca="1" si="1464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457"/>
        <v>1.0000000000331966E-4</v>
      </c>
      <c r="DM108" s="1" t="str">
        <f t="shared" ref="DM108" ca="1" si="1465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1199"/>
        <v/>
      </c>
      <c r="I109" s="402"/>
      <c r="J109" s="402"/>
      <c r="K109" s="402"/>
      <c r="L109" s="402"/>
      <c r="M109" s="60" t="str">
        <f t="shared" si="1200"/>
        <v/>
      </c>
      <c r="Z109" s="51" t="str">
        <f t="shared" si="1201"/>
        <v/>
      </c>
      <c r="AA109" s="51" t="str">
        <f t="shared" si="1202"/>
        <v/>
      </c>
      <c r="AB109" s="51" t="str">
        <f t="shared" si="1203"/>
        <v/>
      </c>
      <c r="AC109" s="51" t="str">
        <f t="shared" si="1204"/>
        <v/>
      </c>
      <c r="AD109" s="51" t="str">
        <f t="shared" ref="AD109" si="1466">IF(AN109="","",AD102)</f>
        <v/>
      </c>
      <c r="AE109" s="51" t="str">
        <f t="shared" ref="AE109" si="1467">IF(AN109="","",AE102)</f>
        <v/>
      </c>
      <c r="AF109" s="51" t="str">
        <f t="shared" ref="AF109" si="1468">IF(AN109="","",AF102)</f>
        <v/>
      </c>
      <c r="AG109" s="51" t="str">
        <f t="shared" ref="AG109" si="1469">IF(AN109="","",AG102)</f>
        <v/>
      </c>
      <c r="AH109" s="51" t="str">
        <f t="shared" ref="AH109" si="1470">IF(AN109="","",AH102)</f>
        <v/>
      </c>
      <c r="AI109" s="69" t="str">
        <f t="shared" ref="AI109" si="1471">IF(AN109="","",AI102)</f>
        <v/>
      </c>
      <c r="AJ109" s="51" t="str">
        <f t="shared" ref="AJ109" si="1472">IF(AN109="","",AJ102)</f>
        <v/>
      </c>
      <c r="AK109" s="51" t="str">
        <f t="shared" ref="AK109" si="1473">IF(AN109="","",AK102)</f>
        <v/>
      </c>
      <c r="AL109" s="51" t="str">
        <f t="shared" ref="AL109" si="1474">IF(AN109="","",AL102)</f>
        <v/>
      </c>
      <c r="AM109" s="51" t="str">
        <f t="shared" ref="AM109" si="1475">IF(AN109="","",AM102)</f>
        <v/>
      </c>
      <c r="AN109" s="51" t="str">
        <f t="shared" ref="AN109" si="1476">IF(I109="","",AN102)</f>
        <v/>
      </c>
      <c r="AO109" s="51" t="str">
        <f t="shared" ref="AO109" si="1477">IF(I109="","",I109/AO99)</f>
        <v/>
      </c>
      <c r="AP109" s="51" t="str">
        <f t="shared" ref="AP109" si="1478">IF(AO109="","",AO109*AC109*AP99)</f>
        <v/>
      </c>
      <c r="AQ109" s="51" t="str">
        <f t="shared" si="1212"/>
        <v/>
      </c>
      <c r="AR109" s="26" t="str">
        <f t="shared" si="1213"/>
        <v/>
      </c>
      <c r="AS109" s="51" t="str">
        <f t="shared" ref="AS109" si="1479">IF(BL109="","",AS102)</f>
        <v/>
      </c>
      <c r="AT109" s="51" t="str">
        <f t="shared" ref="AT109" si="1480">IF(BL109="","",AT102)</f>
        <v/>
      </c>
      <c r="AU109" s="51" t="str">
        <f t="shared" ref="AU109" si="1481">IF(BL109="","",AU102)</f>
        <v/>
      </c>
      <c r="AV109" s="51" t="str">
        <f t="shared" ref="AV109" si="1482">IF(BL109="","",AV102)</f>
        <v/>
      </c>
      <c r="AW109" s="51" t="str">
        <f t="shared" ref="AW109" si="1483">IF(BL109="","",AW102)</f>
        <v/>
      </c>
      <c r="AX109" s="51" t="str">
        <f t="shared" ref="AX109" si="1484">IF(BL109="","",AX102)</f>
        <v/>
      </c>
      <c r="AY109" s="51" t="str">
        <f t="shared" ref="AY109" si="1485">IF(BL109="","",AY102)</f>
        <v/>
      </c>
      <c r="AZ109" s="51" t="str">
        <f t="shared" ref="AZ109" si="1486">IF(BL109="","",AZ102)</f>
        <v/>
      </c>
      <c r="BA109" s="51" t="str">
        <f t="shared" ref="BA109" si="1487">IF(BL109="","",BA102)</f>
        <v/>
      </c>
      <c r="BB109" s="51" t="str">
        <f t="shared" ref="BB109" si="1488">IF(BL109="","",BB102)</f>
        <v/>
      </c>
      <c r="BC109" s="51" t="str">
        <f t="shared" ref="BC109" si="1489">IF(BL109="","",BC102)</f>
        <v/>
      </c>
      <c r="BD109" s="51" t="str">
        <f t="shared" ref="BD109" si="1490">IF(BL109="","",BD102)</f>
        <v/>
      </c>
      <c r="BE109" s="51" t="str">
        <f t="shared" ref="BE109" si="1491">IF(BL109="","",BE102)</f>
        <v/>
      </c>
      <c r="BF109" s="51" t="str">
        <f t="shared" ref="BF109" si="1492">IF(BL109="","",BF102)</f>
        <v/>
      </c>
      <c r="BG109" s="51" t="str">
        <f t="shared" ref="BG109" si="1493">IF(BL109="","",BG102)</f>
        <v/>
      </c>
      <c r="BH109" s="51" t="str">
        <f t="shared" ref="BH109" si="1494">IF(BL109="","",BH102)</f>
        <v/>
      </c>
      <c r="BI109" s="51" t="str">
        <f t="shared" ref="BI109" si="1495">IF(BL109="","",BI102)</f>
        <v/>
      </c>
      <c r="BJ109" s="51" t="str">
        <f t="shared" ref="BJ109" si="1496">IF(BL109="","",BJ102)</f>
        <v/>
      </c>
      <c r="BK109" s="51" t="str">
        <f t="shared" ref="BK109" si="1497">IF(BL109="","",BK102)</f>
        <v/>
      </c>
      <c r="BL109" s="51" t="str">
        <f t="shared" ref="BL109" si="1498">IF(K109="","",BL102)</f>
        <v/>
      </c>
      <c r="BN109" s="1">
        <f t="shared" si="1185"/>
        <v>16</v>
      </c>
      <c r="BP109" s="1" t="s">
        <v>483</v>
      </c>
      <c r="BQ109" s="1" t="str">
        <f>IF($J$4&lt;&gt;"","-","8665-2 - Micropipeta Mono")</f>
        <v>8665-2 - Micropipeta Mono</v>
      </c>
      <c r="BR109" s="1" t="str">
        <f>IF($J$4&lt;&gt;"","-","8665-2 - Micropipeta Multi")</f>
        <v>8665-2 - Micropipeta Multi</v>
      </c>
      <c r="BS109" s="1" t="str">
        <f>IF($J$4&lt;&gt;"","-","8665-3 - Bureta Auto")</f>
        <v>8665-3 - Bureta Auto</v>
      </c>
      <c r="BT109" s="1" t="str">
        <f>IF($J$4&lt;&gt;"","-","8665-3 - Bureta Manual")</f>
        <v>8665-3 - Bureta Manual</v>
      </c>
      <c r="BU109" s="1" t="s">
        <v>484</v>
      </c>
      <c r="BV109" s="1">
        <f t="shared" ref="BV109" si="1499">IF(BU109=Q101,1,0)</f>
        <v>0</v>
      </c>
      <c r="CG109" s="28" t="str">
        <f t="shared" si="1186"/>
        <v>0</v>
      </c>
      <c r="CY109" s="1">
        <f t="shared" ref="CY109" ca="1" si="1500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1265"/>
        <v>4.0000000000000002E-4</v>
      </c>
      <c r="DF109" s="1" t="str">
        <f t="shared" ref="DF109" ca="1" si="1501">IF(CY109=1,MAX(DE103:DE109),"-")</f>
        <v>-</v>
      </c>
      <c r="DG109" s="1">
        <f t="shared" si="1266"/>
        <v>7</v>
      </c>
      <c r="DH109" s="51">
        <f ca="1">HLOOKUP(CONCATENATE($CZ109,DH102),'Controle dos padrões'!$AB$96:$BY$116,CY102+1,FALSE)</f>
        <v>2.0000000000663931E-4</v>
      </c>
      <c r="DI109" s="1">
        <f t="shared" ca="1" si="456"/>
        <v>2.0000000000663931E-4</v>
      </c>
      <c r="DJ109" s="1" t="str">
        <f t="shared" ref="DJ109" ca="1" si="1502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457"/>
        <v>1.0000000000331966E-4</v>
      </c>
      <c r="DM109" s="1" t="str">
        <f t="shared" ref="DM109" ca="1" si="1503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1199"/>
        <v/>
      </c>
      <c r="I110" s="402"/>
      <c r="J110" s="402"/>
      <c r="K110" s="402"/>
      <c r="L110" s="402"/>
      <c r="M110" s="60" t="str">
        <f t="shared" si="1200"/>
        <v/>
      </c>
      <c r="Z110" s="51" t="str">
        <f t="shared" si="1201"/>
        <v/>
      </c>
      <c r="AA110" s="51" t="str">
        <f t="shared" si="1202"/>
        <v/>
      </c>
      <c r="AB110" s="51" t="str">
        <f t="shared" si="1203"/>
        <v/>
      </c>
      <c r="AC110" s="51" t="str">
        <f t="shared" si="1204"/>
        <v/>
      </c>
      <c r="AD110" s="51" t="str">
        <f t="shared" ref="AD110" si="1504">IF(AN110="","",AD102)</f>
        <v/>
      </c>
      <c r="AE110" s="51" t="str">
        <f t="shared" ref="AE110" si="1505">IF(AN110="","",AE102)</f>
        <v/>
      </c>
      <c r="AF110" s="51" t="str">
        <f t="shared" ref="AF110" si="1506">IF(AN110="","",AF102)</f>
        <v/>
      </c>
      <c r="AG110" s="51" t="str">
        <f t="shared" ref="AG110" si="1507">IF(AN110="","",AG102)</f>
        <v/>
      </c>
      <c r="AH110" s="51" t="str">
        <f t="shared" ref="AH110" si="1508">IF(AN110="","",AH102)</f>
        <v/>
      </c>
      <c r="AI110" s="69" t="str">
        <f t="shared" ref="AI110" si="1509">IF(AN110="","",AI102)</f>
        <v/>
      </c>
      <c r="AJ110" s="51" t="str">
        <f t="shared" ref="AJ110" si="1510">IF(AN110="","",AJ102)</f>
        <v/>
      </c>
      <c r="AK110" s="51" t="str">
        <f t="shared" ref="AK110" si="1511">IF(AN110="","",AK102)</f>
        <v/>
      </c>
      <c r="AL110" s="51" t="str">
        <f t="shared" ref="AL110" si="1512">IF(AN110="","",AL102)</f>
        <v/>
      </c>
      <c r="AM110" s="51" t="str">
        <f t="shared" ref="AM110" si="1513">IF(AN110="","",AM102)</f>
        <v/>
      </c>
      <c r="AN110" s="51" t="str">
        <f t="shared" ref="AN110" si="1514">IF(I110="","",AN102)</f>
        <v/>
      </c>
      <c r="AO110" s="51" t="str">
        <f t="shared" ref="AO110" si="1515">IF(I110="","",I110/AO99)</f>
        <v/>
      </c>
      <c r="AP110" s="51" t="str">
        <f t="shared" ref="AP110" si="1516">IF(AO110="","",AO110*AC110*AP99)</f>
        <v/>
      </c>
      <c r="AQ110" s="51" t="str">
        <f t="shared" si="1212"/>
        <v/>
      </c>
      <c r="AR110" s="26" t="str">
        <f t="shared" si="1213"/>
        <v/>
      </c>
      <c r="AS110" s="51" t="str">
        <f t="shared" ref="AS110" si="1517">IF(BL110="","",AS102)</f>
        <v/>
      </c>
      <c r="AT110" s="51" t="str">
        <f t="shared" ref="AT110" si="1518">IF(BL110="","",AT102)</f>
        <v/>
      </c>
      <c r="AU110" s="51" t="str">
        <f t="shared" ref="AU110" si="1519">IF(BL110="","",AU102)</f>
        <v/>
      </c>
      <c r="AV110" s="51" t="str">
        <f t="shared" ref="AV110" si="1520">IF(BL110="","",AV102)</f>
        <v/>
      </c>
      <c r="AW110" s="51" t="str">
        <f t="shared" ref="AW110" si="1521">IF(BL110="","",AW102)</f>
        <v/>
      </c>
      <c r="AX110" s="51" t="str">
        <f t="shared" ref="AX110" si="1522">IF(BL110="","",AX102)</f>
        <v/>
      </c>
      <c r="AY110" s="51" t="str">
        <f t="shared" ref="AY110" si="1523">IF(BL110="","",AY102)</f>
        <v/>
      </c>
      <c r="AZ110" s="51" t="str">
        <f t="shared" ref="AZ110" si="1524">IF(BL110="","",AZ102)</f>
        <v/>
      </c>
      <c r="BA110" s="51" t="str">
        <f t="shared" ref="BA110" si="1525">IF(BL110="","",BA102)</f>
        <v/>
      </c>
      <c r="BB110" s="51" t="str">
        <f t="shared" ref="BB110" si="1526">IF(BL110="","",BB102)</f>
        <v/>
      </c>
      <c r="BC110" s="51" t="str">
        <f t="shared" ref="BC110" si="1527">IF(BL110="","",BC102)</f>
        <v/>
      </c>
      <c r="BD110" s="51" t="str">
        <f t="shared" ref="BD110" si="1528">IF(BL110="","",BD102)</f>
        <v/>
      </c>
      <c r="BE110" s="51" t="str">
        <f t="shared" ref="BE110" si="1529">IF(BL110="","",BE102)</f>
        <v/>
      </c>
      <c r="BF110" s="51" t="str">
        <f t="shared" ref="BF110" si="1530">IF(BL110="","",BF102)</f>
        <v/>
      </c>
      <c r="BG110" s="51" t="str">
        <f t="shared" ref="BG110" si="1531">IF(BL110="","",BG102)</f>
        <v/>
      </c>
      <c r="BH110" s="51" t="str">
        <f t="shared" ref="BH110" si="1532">IF(BL110="","",BH102)</f>
        <v/>
      </c>
      <c r="BI110" s="51" t="str">
        <f t="shared" ref="BI110" si="1533">IF(BL110="","",BI102)</f>
        <v/>
      </c>
      <c r="BJ110" s="51" t="str">
        <f t="shared" ref="BJ110" si="1534">IF(BL110="","",BJ102)</f>
        <v/>
      </c>
      <c r="BK110" s="51" t="str">
        <f t="shared" ref="BK110" si="1535">IF(BL110="","",BK102)</f>
        <v/>
      </c>
      <c r="BL110" s="51" t="str">
        <f t="shared" ref="BL110" si="1536">IF(K110="","",BL102)</f>
        <v/>
      </c>
      <c r="BN110" s="1">
        <f t="shared" si="1185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537">IF(T106="","-",IF(T106="%",E96*R106/100,R106))</f>
        <v>-</v>
      </c>
      <c r="CG110" s="28" t="str">
        <f t="shared" si="1186"/>
        <v>0</v>
      </c>
      <c r="CY110" s="1">
        <f t="shared" ref="CY110" ca="1" si="1538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1265"/>
        <v>-</v>
      </c>
      <c r="DF110" s="1" t="str">
        <f t="shared" ref="DF110" ca="1" si="1539">IF(CY110=1,MAX(DE103:DE110),"-")</f>
        <v>-</v>
      </c>
      <c r="DG110" s="1">
        <f t="shared" si="1266"/>
        <v>8</v>
      </c>
      <c r="DH110" s="51">
        <f ca="1">HLOOKUP(CONCATENATE($CZ110,DH102),'Controle dos padrões'!$AB$96:$BY$116,CY102+1,FALSE)</f>
        <v>0</v>
      </c>
      <c r="DI110" s="1">
        <f t="shared" ca="1" si="456"/>
        <v>0</v>
      </c>
      <c r="DJ110" s="1" t="str">
        <f t="shared" ref="DJ110" ca="1" si="1540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457"/>
        <v>0</v>
      </c>
      <c r="DM110" s="1" t="str">
        <f t="shared" ref="DM110" ca="1" si="1541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1199"/>
        <v/>
      </c>
      <c r="I111" s="402"/>
      <c r="J111" s="402"/>
      <c r="K111" s="402"/>
      <c r="L111" s="402"/>
      <c r="M111" s="60" t="str">
        <f t="shared" si="1200"/>
        <v/>
      </c>
      <c r="Z111" s="51" t="str">
        <f t="shared" si="1201"/>
        <v/>
      </c>
      <c r="AA111" s="51" t="str">
        <f t="shared" si="1202"/>
        <v/>
      </c>
      <c r="AB111" s="51" t="str">
        <f t="shared" si="1203"/>
        <v/>
      </c>
      <c r="AC111" s="51" t="str">
        <f t="shared" si="1204"/>
        <v/>
      </c>
      <c r="AD111" s="51" t="str">
        <f t="shared" ref="AD111" si="1542">IF(AN111="","",AD102)</f>
        <v/>
      </c>
      <c r="AE111" s="51" t="str">
        <f t="shared" ref="AE111" si="1543">IF(AN111="","",AE102)</f>
        <v/>
      </c>
      <c r="AF111" s="51" t="str">
        <f t="shared" ref="AF111" si="1544">IF(AN111="","",AF102)</f>
        <v/>
      </c>
      <c r="AG111" s="51" t="str">
        <f t="shared" ref="AG111" si="1545">IF(AN111="","",AG102)</f>
        <v/>
      </c>
      <c r="AH111" s="51" t="str">
        <f t="shared" ref="AH111" si="1546">IF(AN111="","",AH102)</f>
        <v/>
      </c>
      <c r="AI111" s="69" t="str">
        <f t="shared" ref="AI111" si="1547">IF(AN111="","",AI102)</f>
        <v/>
      </c>
      <c r="AJ111" s="51" t="str">
        <f t="shared" ref="AJ111" si="1548">IF(AN111="","",AJ102)</f>
        <v/>
      </c>
      <c r="AK111" s="51" t="str">
        <f t="shared" ref="AK111" si="1549">IF(AN111="","",AK102)</f>
        <v/>
      </c>
      <c r="AL111" s="51" t="str">
        <f t="shared" ref="AL111" si="1550">IF(AN111="","",AL102)</f>
        <v/>
      </c>
      <c r="AM111" s="51" t="str">
        <f t="shared" ref="AM111" si="1551">IF(AN111="","",AM102)</f>
        <v/>
      </c>
      <c r="AN111" s="51" t="str">
        <f t="shared" ref="AN111" si="1552">IF(I111="","",AN102)</f>
        <v/>
      </c>
      <c r="AO111" s="51" t="str">
        <f t="shared" ref="AO111" si="1553">IF(I111="","",I111/AO99)</f>
        <v/>
      </c>
      <c r="AP111" s="51" t="str">
        <f t="shared" ref="AP111" si="1554">IF(AO111="","",AO111*AC111*AP99)</f>
        <v/>
      </c>
      <c r="AQ111" s="51" t="str">
        <f t="shared" si="1212"/>
        <v/>
      </c>
      <c r="AR111" s="26" t="str">
        <f t="shared" si="1213"/>
        <v/>
      </c>
      <c r="AS111" s="51" t="str">
        <f t="shared" ref="AS111" si="1555">IF(BL111="","",AS102)</f>
        <v/>
      </c>
      <c r="AT111" s="51" t="str">
        <f t="shared" ref="AT111" si="1556">IF(BL111="","",AT102)</f>
        <v/>
      </c>
      <c r="AU111" s="51" t="str">
        <f t="shared" ref="AU111" si="1557">IF(BL111="","",AU102)</f>
        <v/>
      </c>
      <c r="AV111" s="51" t="str">
        <f t="shared" ref="AV111" si="1558">IF(BL111="","",AV102)</f>
        <v/>
      </c>
      <c r="AW111" s="51" t="str">
        <f t="shared" ref="AW111" si="1559">IF(BL111="","",AW102)</f>
        <v/>
      </c>
      <c r="AX111" s="51" t="str">
        <f t="shared" ref="AX111" si="1560">IF(BL111="","",AX102)</f>
        <v/>
      </c>
      <c r="AY111" s="51" t="str">
        <f t="shared" ref="AY111" si="1561">IF(BL111="","",AY102)</f>
        <v/>
      </c>
      <c r="AZ111" s="51" t="str">
        <f t="shared" ref="AZ111" si="1562">IF(BL111="","",AZ102)</f>
        <v/>
      </c>
      <c r="BA111" s="51" t="str">
        <f t="shared" ref="BA111" si="1563">IF(BL111="","",BA102)</f>
        <v/>
      </c>
      <c r="BB111" s="51" t="str">
        <f t="shared" ref="BB111" si="1564">IF(BL111="","",BB102)</f>
        <v/>
      </c>
      <c r="BC111" s="51" t="str">
        <f t="shared" ref="BC111" si="1565">IF(BL111="","",BC102)</f>
        <v/>
      </c>
      <c r="BD111" s="51" t="str">
        <f t="shared" ref="BD111" si="1566">IF(BL111="","",BD102)</f>
        <v/>
      </c>
      <c r="BE111" s="51" t="str">
        <f t="shared" ref="BE111" si="1567">IF(BL111="","",BE102)</f>
        <v/>
      </c>
      <c r="BF111" s="51" t="str">
        <f t="shared" ref="BF111" si="1568">IF(BL111="","",BF102)</f>
        <v/>
      </c>
      <c r="BG111" s="51" t="str">
        <f t="shared" ref="BG111" si="1569">IF(BL111="","",BG102)</f>
        <v/>
      </c>
      <c r="BH111" s="51" t="str">
        <f t="shared" ref="BH111" si="1570">IF(BL111="","",BH102)</f>
        <v/>
      </c>
      <c r="BI111" s="51" t="str">
        <f t="shared" ref="BI111" si="1571">IF(BL111="","",BI102)</f>
        <v/>
      </c>
      <c r="BJ111" s="51" t="str">
        <f t="shared" ref="BJ111" si="1572">IF(BL111="","",BJ102)</f>
        <v/>
      </c>
      <c r="BK111" s="51" t="str">
        <f t="shared" ref="BK111" si="1573">IF(BL111="","",BK102)</f>
        <v/>
      </c>
      <c r="BL111" s="51" t="str">
        <f t="shared" ref="BL111" si="1574">IF(K111="","",BL102)</f>
        <v/>
      </c>
      <c r="BN111" s="1">
        <f t="shared" si="1185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1186"/>
        <v>0</v>
      </c>
      <c r="CY111" s="1">
        <f t="shared" ref="CY111" ca="1" si="1575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1265"/>
        <v>-</v>
      </c>
      <c r="DF111" s="1" t="str">
        <f t="shared" ref="DF111" ca="1" si="1576">IF(CY111=1,MAX(DE103:DE111),"-")</f>
        <v>-</v>
      </c>
      <c r="DG111" s="1">
        <f t="shared" si="1266"/>
        <v>9</v>
      </c>
      <c r="DH111" s="51">
        <f ca="1">HLOOKUP(CONCATENATE($CZ111,DH102),'Controle dos padrões'!$AB$96:$BY$116,CY102+1,FALSE)</f>
        <v>0</v>
      </c>
      <c r="DI111" s="1">
        <f t="shared" ca="1" si="456"/>
        <v>0</v>
      </c>
      <c r="DJ111" s="1" t="str">
        <f t="shared" ref="DJ111" ca="1" si="1577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457"/>
        <v>0</v>
      </c>
      <c r="DM111" s="1" t="str">
        <f t="shared" ref="DM111" ca="1" si="1578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579">IF(AR113="","",ROUND(MAX(AR102:AR111)-MIN(AR102:AR111),AV102))</f>
        <v/>
      </c>
      <c r="AS112" s="28" t="str">
        <f t="shared" ref="AS112" si="1580">IF(AR112="","",IF(AR112&gt;0.3,1,0))</f>
        <v/>
      </c>
      <c r="BN112" s="1">
        <f t="shared" si="1185"/>
        <v>19</v>
      </c>
      <c r="CG112" s="28" t="str">
        <f t="shared" si="1186"/>
        <v>0</v>
      </c>
      <c r="CY112" s="1">
        <f t="shared" ref="CY112" ca="1" si="1581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1265"/>
        <v>-</v>
      </c>
      <c r="DF112" s="1" t="str">
        <f t="shared" ref="DF112" ca="1" si="1582">IF(CY112=1,MAX(DE103:DE112),"-")</f>
        <v>-</v>
      </c>
      <c r="DG112" s="1">
        <f t="shared" si="1266"/>
        <v>10</v>
      </c>
      <c r="DH112" s="51">
        <f ca="1">HLOOKUP(CONCATENATE($CZ112,DH102),'Controle dos padrões'!$AB$96:$BY$116,CY102+1,FALSE)</f>
        <v>0</v>
      </c>
      <c r="DI112" s="1">
        <f t="shared" ca="1" si="456"/>
        <v>0</v>
      </c>
      <c r="DJ112" s="1" t="str">
        <f t="shared" ref="DJ112" ca="1" si="1583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457"/>
        <v>0</v>
      </c>
      <c r="DM112" s="1" t="str">
        <f t="shared" ref="DM112" ca="1" si="1584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585">IF(Z102="","",AVERAGE(Z102:Z111))</f>
        <v/>
      </c>
      <c r="AA113" s="51" t="str">
        <f t="shared" si="1585"/>
        <v/>
      </c>
      <c r="AB113" s="51" t="str">
        <f t="shared" si="1585"/>
        <v/>
      </c>
      <c r="AC113" s="51" t="str">
        <f t="shared" si="1585"/>
        <v/>
      </c>
      <c r="AO113" s="51" t="str">
        <f t="shared" ref="AO113" si="1586">IF(AO102="","",AVERAGE(AO102:AO111))</f>
        <v/>
      </c>
      <c r="AP113" s="51" t="str">
        <f t="shared" ref="AP113" si="1587">IFERROR(IF(AP102="","",AVERAGE(AP102:AP111)),"")</f>
        <v/>
      </c>
      <c r="AQ113" s="51" t="str">
        <f t="shared" ref="AQ113:AR113" si="1588">IF(AQ102="","",AVERAGE(AQ102:AQ111))</f>
        <v/>
      </c>
      <c r="AR113" s="51" t="str">
        <f t="shared" si="1588"/>
        <v/>
      </c>
      <c r="BN113" s="1">
        <f t="shared" si="1185"/>
        <v>20</v>
      </c>
      <c r="CG113" s="28" t="str">
        <f t="shared" si="1186"/>
        <v>0</v>
      </c>
      <c r="DA113" s="1">
        <f t="shared" ref="DA113" ca="1" si="1589">MAX(DA103:DA112)</f>
        <v>220</v>
      </c>
    </row>
    <row r="114" spans="1:117" s="192" customFormat="1" hidden="1" x14ac:dyDescent="0.3">
      <c r="CG114" s="194" t="str">
        <f t="shared" si="1186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>BM94+1</f>
        <v>6</v>
      </c>
      <c r="BN115" s="1">
        <v>1</v>
      </c>
      <c r="CG115" s="28" t="str">
        <f t="shared" ref="CG115" si="1590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>BN115+1</f>
        <v>2</v>
      </c>
      <c r="CG116" s="28" t="str">
        <f t="shared" ref="CG116:CG135" si="1591">CG115</f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ref="BN117:BN134" si="1592">BN116+1</f>
        <v>3</v>
      </c>
      <c r="CG117" s="28" t="str">
        <f t="shared" si="1591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593">IF(AP119&lt;=1,0,STDEV(AP123:AP132)/SQRT(AP119))</f>
        <v>0</v>
      </c>
      <c r="AQ118" s="51" t="s">
        <v>621</v>
      </c>
      <c r="BN118" s="1">
        <f t="shared" si="1592"/>
        <v>4</v>
      </c>
      <c r="CG118" s="28" t="str">
        <f t="shared" si="1591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594">BZ128</f>
        <v>#N/A</v>
      </c>
      <c r="AP119" s="51">
        <f t="shared" ref="AP119" si="1595">COUNT(AP123:AP132)</f>
        <v>0</v>
      </c>
      <c r="AQ119" s="51" t="e">
        <f>VLOOKUP(CONCATENATE($A$2,".",BM115),'Evaporação do fluido'!$H$1:$L$84,5,FALSE)</f>
        <v>#VALUE!</v>
      </c>
      <c r="BN119" s="1">
        <f t="shared" si="1592"/>
        <v>5</v>
      </c>
      <c r="CG119" s="28" t="str">
        <f t="shared" si="1591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592"/>
        <v>6</v>
      </c>
      <c r="CG120" s="28" t="str">
        <f t="shared" si="1591"/>
        <v>0</v>
      </c>
      <c r="CZ120" s="1">
        <f>IF(DC122=0,0,IF(DC120&gt;DA134,1,0))</f>
        <v>0</v>
      </c>
      <c r="DA120" s="1" t="s">
        <v>665</v>
      </c>
      <c r="DC120" s="1">
        <f t="shared" ref="DC120" ca="1" si="1596">DC121+DC122</f>
        <v>2.67353</v>
      </c>
      <c r="DD120" s="1">
        <f ca="1">VLOOKUP(AH123,'Unidades de medida'!$I$2:$J$5,2,FALSE)</f>
        <v>1</v>
      </c>
      <c r="DE120" s="1">
        <f t="shared" ref="DE120" ca="1" si="1597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411" t="s">
        <v>295</v>
      </c>
      <c r="AE121" s="411"/>
      <c r="AF121" s="411"/>
      <c r="AG121" s="411"/>
      <c r="AH121" s="411"/>
      <c r="AI121" s="411"/>
      <c r="AJ121" s="411"/>
      <c r="AK121" s="411"/>
      <c r="AL121" s="411"/>
      <c r="AM121" s="411"/>
      <c r="AN121" s="411"/>
      <c r="AO121" s="62" t="s">
        <v>274</v>
      </c>
      <c r="AP121" s="62" t="s">
        <v>279</v>
      </c>
      <c r="AQ121" s="62" t="s">
        <v>280</v>
      </c>
      <c r="AR121" s="412" t="s">
        <v>289</v>
      </c>
      <c r="AS121" s="413" t="s">
        <v>290</v>
      </c>
      <c r="AT121" s="413"/>
      <c r="AU121" s="413"/>
      <c r="AV121" s="413"/>
      <c r="AW121" s="413"/>
      <c r="AX121" s="413"/>
      <c r="AY121" s="413"/>
      <c r="AZ121" s="413"/>
      <c r="BA121" s="413"/>
      <c r="BB121" s="413"/>
      <c r="BC121" s="413"/>
      <c r="BD121" s="413"/>
      <c r="BE121" s="413"/>
      <c r="BF121" s="413"/>
      <c r="BG121" s="413"/>
      <c r="BH121" s="413"/>
      <c r="BI121" s="413"/>
      <c r="BJ121" s="413"/>
      <c r="BK121" s="413"/>
      <c r="BL121" s="413"/>
      <c r="BN121" s="1">
        <f t="shared" si="1592"/>
        <v>7</v>
      </c>
      <c r="CG121" s="28" t="str">
        <f t="shared" si="1591"/>
        <v>0</v>
      </c>
      <c r="DA121" s="1" t="s">
        <v>664</v>
      </c>
      <c r="DC121" s="1">
        <f t="shared" ref="DC121" ca="1" si="1598">$Q$7*DE120</f>
        <v>2.67353</v>
      </c>
      <c r="DD121" s="1">
        <f>VLOOKUP($S$7,'Unidades de medida'!$I$2:$J$5,2,FALSE)</f>
        <v>1</v>
      </c>
      <c r="DE121" s="1">
        <f t="shared" ref="DE121" ca="1" si="1599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18">
        <f>Q101</f>
        <v>0</v>
      </c>
      <c r="R122" s="418"/>
      <c r="S122" s="418"/>
      <c r="T122" s="418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600">G117</f>
        <v>µL</v>
      </c>
      <c r="AQ122" s="63" t="s">
        <v>281</v>
      </c>
      <c r="AR122" s="412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592"/>
        <v>8</v>
      </c>
      <c r="CG122" s="28" t="str">
        <f t="shared" si="1591"/>
        <v>0</v>
      </c>
      <c r="CZ122" s="1" t="s">
        <v>666</v>
      </c>
      <c r="DA122" s="1" t="s">
        <v>667</v>
      </c>
      <c r="DC122" s="1">
        <f t="shared" ref="DC122" si="1601">MAX(AO123:AO132)</f>
        <v>0</v>
      </c>
      <c r="DE122" s="320" t="s">
        <v>668</v>
      </c>
      <c r="DF122" s="320"/>
      <c r="DG122" s="320">
        <f t="shared" ref="DG122" ca="1" si="1602">VLOOKUP(DE121,CZ124:DD133,3,FALSE)</f>
        <v>3.0000000000000001E-5</v>
      </c>
      <c r="DH122" s="320">
        <f t="shared" ref="DH122" ca="1" si="1603">VLOOKUP(DE121,CZ124:DD133,4,FALSE)</f>
        <v>2</v>
      </c>
      <c r="DI122" s="320">
        <f t="shared" ref="DI122" ca="1" si="1604">VLOOKUP(DE121,CZ124:DD133,5,FALSE)</f>
        <v>1000000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>IF(E122="","",FIXED(ROUND(E117-E122,B125),B125,TRUE))</f>
        <v/>
      </c>
      <c r="F123" s="400"/>
      <c r="G123" s="1" t="str">
        <f>G122</f>
        <v/>
      </c>
      <c r="H123" s="51" t="str">
        <f t="shared" ref="H123:H132" si="1605">IF(I123="","",CONCATENATE(BN119-4,"ª"))</f>
        <v/>
      </c>
      <c r="I123" s="402"/>
      <c r="J123" s="402"/>
      <c r="K123" s="402"/>
      <c r="L123" s="402"/>
      <c r="M123" s="60" t="str">
        <f t="shared" ref="M123:M132" si="1606">IF(I123="","","°C")</f>
        <v/>
      </c>
      <c r="Q123" s="411" t="s">
        <v>481</v>
      </c>
      <c r="R123" s="411"/>
      <c r="S123" s="411" t="s">
        <v>482</v>
      </c>
      <c r="T123" s="411"/>
      <c r="Z123" s="51" t="str">
        <f t="shared" ref="Z123:Z132" si="1607">IF(AQ123="","",(1/(AQ123-$AU$5)))</f>
        <v/>
      </c>
      <c r="AA123" s="51" t="str">
        <f t="shared" ref="AA123:AA132" si="1608">IF(AQ123="","",1-($AU$5/$AU$6))</f>
        <v/>
      </c>
      <c r="AB123" s="51" t="str">
        <f t="shared" ref="AB123:AB132" si="1609">IF(AO123="","",(1-($AU$7*(AR123-20))))</f>
        <v/>
      </c>
      <c r="AC123" s="51" t="str">
        <f t="shared" ref="AC123:AC132" si="1610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611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612">IF(AF123="","",IF(AF123&gt;=1,0,LEN(AF123)-2))</f>
        <v>5</v>
      </c>
      <c r="AJ123" s="51">
        <f t="shared" ref="AJ123" ca="1" si="1613">IF($AN123="","",DM123)</f>
        <v>9.9999999996214228E-6</v>
      </c>
      <c r="AK123" s="51">
        <f t="shared" ref="AK123" ca="1" si="1614">IF($AN123="","",DG122)</f>
        <v>3.0000000000000001E-5</v>
      </c>
      <c r="AL123" s="51">
        <f t="shared" ref="AL123:AM123" ca="1" si="1615">IF(AK123="","",DH122)</f>
        <v>2</v>
      </c>
      <c r="AM123" s="51">
        <f t="shared" ca="1" si="1615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616">IF(I123="","",I123/AO120)</f>
        <v/>
      </c>
      <c r="AP123" s="51" t="str">
        <f t="shared" ref="AP123" si="1617">IF(AO123="","",AO123*AC123*AP120)</f>
        <v/>
      </c>
      <c r="AQ123" s="51" t="str">
        <f t="shared" ref="AQ123:AQ132" si="1618">IF(AR123="","",(($AQ$7*AR123^5)+($AQ$6*AR123^4)+($AQ$5*AR123^3)+($AQ$4*AR123^2)+($AQ$3*AR123)+$AQ$2)/1000)</f>
        <v/>
      </c>
      <c r="AR123" s="26" t="str">
        <f t="shared" ref="AR123:AR132" si="1619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620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621">IF(BI123="","",2)</f>
        <v/>
      </c>
      <c r="BK123" s="51" t="str">
        <f t="shared" ref="BK123" si="1622">IF(BJ123="","",1000000)</f>
        <v/>
      </c>
      <c r="BL123" s="51" t="str">
        <f>IF(K123="","",IF(K118="","",VLOOKUP(K118,'Controle dos padrões'!$CV$74:$CW$93,2,FALSE)))</f>
        <v/>
      </c>
      <c r="BN123" s="1">
        <f t="shared" si="1592"/>
        <v>9</v>
      </c>
      <c r="BP123" s="1">
        <f t="shared" ref="BP123" si="1623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624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1591"/>
        <v>0</v>
      </c>
      <c r="CY123" s="1">
        <f ca="1">VLOOKUP(CZ123,'Controle dos padrões'!$CW$97:$CX$116,2,FALSE)</f>
        <v>5</v>
      </c>
      <c r="CZ123" s="1">
        <f t="shared" ref="CZ123" ca="1" si="1625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626">MAX(DF124:DF133)</f>
        <v>1.5E-5</v>
      </c>
      <c r="DH123" s="322" t="s">
        <v>674</v>
      </c>
      <c r="DI123" s="323" t="s">
        <v>675</v>
      </c>
      <c r="DJ123" s="320">
        <f t="shared" ref="DJ123" ca="1" si="1627">MAX(DJ124:DJ133)</f>
        <v>9.9999999996214228E-6</v>
      </c>
      <c r="DK123" s="322" t="s">
        <v>676</v>
      </c>
      <c r="DL123" s="320" t="s">
        <v>677</v>
      </c>
      <c r="DM123" s="320">
        <f t="shared" ref="DM123" ca="1" si="1628">MAX(DM124:DM133)</f>
        <v>9.9999999996214228E-6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R1'!$S$4:$W$163,2,FALSE))</f>
        <v/>
      </c>
      <c r="F124" s="400"/>
      <c r="G124" s="1" t="str">
        <f>G123</f>
        <v/>
      </c>
      <c r="H124" s="51" t="str">
        <f t="shared" si="1605"/>
        <v/>
      </c>
      <c r="I124" s="402"/>
      <c r="J124" s="402"/>
      <c r="K124" s="402"/>
      <c r="L124" s="402"/>
      <c r="M124" s="60" t="str">
        <f t="shared" si="1606"/>
        <v/>
      </c>
      <c r="O124" s="1" t="s">
        <v>477</v>
      </c>
      <c r="Q124" s="29" t="e">
        <f t="shared" ref="Q124" si="1629">HLOOKUP(Q122,BP130:BU132,2,FALSE)</f>
        <v>#N/A</v>
      </c>
      <c r="R124" s="30" t="str">
        <f t="shared" ref="R124" si="1630">G117</f>
        <v>µL</v>
      </c>
      <c r="S124" s="29" t="e">
        <f t="shared" ref="S124" si="1631">HLOOKUP(Q122,BP130:BU132,3,FALSE)</f>
        <v>#N/A</v>
      </c>
      <c r="T124" s="30" t="str">
        <f t="shared" ref="T124" si="1632">G117</f>
        <v>µL</v>
      </c>
      <c r="U124" s="61">
        <f t="shared" ref="U124" si="1633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607"/>
        <v/>
      </c>
      <c r="AA124" s="51" t="str">
        <f t="shared" si="1608"/>
        <v/>
      </c>
      <c r="AB124" s="51" t="str">
        <f t="shared" si="1609"/>
        <v/>
      </c>
      <c r="AC124" s="51" t="str">
        <f t="shared" si="1610"/>
        <v/>
      </c>
      <c r="AD124" s="51" t="str">
        <f t="shared" ref="AD124" si="1634">IF(AN124="","",AD123)</f>
        <v/>
      </c>
      <c r="AE124" s="51" t="str">
        <f t="shared" ref="AE124" si="1635">IF(AN124="","",AE123)</f>
        <v/>
      </c>
      <c r="AF124" s="51" t="str">
        <f t="shared" ref="AF124" si="1636">IF(AN124="","",AF123)</f>
        <v/>
      </c>
      <c r="AG124" s="51" t="str">
        <f t="shared" ref="AG124" si="1637">IF(AN124="","",AG123)</f>
        <v/>
      </c>
      <c r="AH124" s="51" t="str">
        <f t="shared" ref="AH124" si="1638">IF(AN124="","",AH123)</f>
        <v/>
      </c>
      <c r="AI124" s="69" t="str">
        <f t="shared" ref="AI124" si="1639">IF(AN124="","",AI123)</f>
        <v/>
      </c>
      <c r="AJ124" s="51" t="str">
        <f t="shared" ref="AJ124" si="1640">IF(AN124="","",AJ123)</f>
        <v/>
      </c>
      <c r="AK124" s="51" t="str">
        <f t="shared" ref="AK124" si="1641">IF(AN124="","",AK123)</f>
        <v/>
      </c>
      <c r="AL124" s="51" t="str">
        <f t="shared" ref="AL124" si="1642">IF(AN124="","",AL123)</f>
        <v/>
      </c>
      <c r="AM124" s="51" t="str">
        <f t="shared" ref="AM124" si="1643">IF(AN124="","",AM123)</f>
        <v/>
      </c>
      <c r="AN124" s="51" t="str">
        <f t="shared" ref="AN124" si="1644">IF(I124="","",AN123)</f>
        <v/>
      </c>
      <c r="AO124" s="51" t="str">
        <f t="shared" ref="AO124" si="1645">IF(I124="","",I124/AO120)</f>
        <v/>
      </c>
      <c r="AP124" s="51" t="str">
        <f t="shared" ref="AP124" si="1646">IF(AO124="","",AO124*AC124*AP120)</f>
        <v/>
      </c>
      <c r="AQ124" s="51" t="str">
        <f t="shared" si="1618"/>
        <v/>
      </c>
      <c r="AR124" s="26" t="str">
        <f t="shared" si="1619"/>
        <v/>
      </c>
      <c r="AS124" s="51" t="str">
        <f t="shared" ref="AS124" si="1647">IF(BL124="","",AS123)</f>
        <v/>
      </c>
      <c r="AT124" s="51" t="str">
        <f t="shared" ref="AT124" si="1648">IF(BL124="","",AT123)</f>
        <v/>
      </c>
      <c r="AU124" s="51" t="str">
        <f t="shared" ref="AU124" si="1649">IF(BL124="","",AU123)</f>
        <v/>
      </c>
      <c r="AV124" s="51" t="str">
        <f t="shared" ref="AV124" si="1650">IF(BL124="","",AV123)</f>
        <v/>
      </c>
      <c r="AW124" s="51" t="str">
        <f t="shared" ref="AW124" si="1651">IF(BL124="","",AW123)</f>
        <v/>
      </c>
      <c r="AX124" s="51" t="str">
        <f t="shared" ref="AX124" si="1652">IF(BL124="","",AX123)</f>
        <v/>
      </c>
      <c r="AY124" s="51" t="str">
        <f t="shared" ref="AY124" si="1653">IF(BL124="","",AY123)</f>
        <v/>
      </c>
      <c r="AZ124" s="51" t="str">
        <f t="shared" ref="AZ124" si="1654">IF(BL124="","",AZ123)</f>
        <v/>
      </c>
      <c r="BA124" s="51" t="str">
        <f t="shared" ref="BA124" si="1655">IF(BL124="","",BA123)</f>
        <v/>
      </c>
      <c r="BB124" s="51" t="str">
        <f t="shared" ref="BB124" si="1656">IF(BL124="","",BB123)</f>
        <v/>
      </c>
      <c r="BC124" s="51" t="str">
        <f t="shared" ref="BC124" si="1657">IF(BL124="","",BC123)</f>
        <v/>
      </c>
      <c r="BD124" s="51" t="str">
        <f t="shared" ref="BD124" si="1658">IF(BL124="","",BD123)</f>
        <v/>
      </c>
      <c r="BE124" s="51" t="str">
        <f t="shared" ref="BE124" si="1659">IF(BL124="","",BE123)</f>
        <v/>
      </c>
      <c r="BF124" s="51" t="str">
        <f t="shared" ref="BF124" si="1660">IF(BL124="","",BF123)</f>
        <v/>
      </c>
      <c r="BG124" s="51" t="str">
        <f t="shared" ref="BG124" si="1661">IF(BL124="","",BG123)</f>
        <v/>
      </c>
      <c r="BH124" s="51" t="str">
        <f t="shared" ref="BH124" si="1662">IF(BL124="","",BH123)</f>
        <v/>
      </c>
      <c r="BI124" s="51" t="str">
        <f t="shared" ref="BI124" si="1663">IF(BL124="","",BI123)</f>
        <v/>
      </c>
      <c r="BJ124" s="51" t="str">
        <f t="shared" ref="BJ124" si="1664">IF(BL124="","",BJ123)</f>
        <v/>
      </c>
      <c r="BK124" s="51" t="str">
        <f t="shared" ref="BK124" si="1665">IF(BL124="","",BK123)</f>
        <v/>
      </c>
      <c r="BL124" s="51" t="str">
        <f t="shared" ref="BL124" si="1666">IF(K124="","",BL123)</f>
        <v/>
      </c>
      <c r="BN124" s="1">
        <f t="shared" si="1592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667">IF(OR(BZ123&lt;BR124,BZ123&gt;BS124),0,1)</f>
        <v>#VALUE!</v>
      </c>
      <c r="BW124" s="1">
        <f t="shared" ref="BW124:BW126" si="1668">BP124</f>
        <v>1</v>
      </c>
      <c r="BY124" s="1" t="s">
        <v>431</v>
      </c>
      <c r="BZ124" s="1" t="str">
        <f t="shared" ref="BZ124" si="1669">AP134</f>
        <v/>
      </c>
      <c r="CA124" s="1" t="str">
        <f t="shared" ref="CA124" si="1670">AP122</f>
        <v>µL</v>
      </c>
      <c r="CB124" s="1">
        <f>VLOOKUP(CA124,'Unidades de medida'!$A$2:$B$9,2,FALSE)</f>
        <v>1000</v>
      </c>
      <c r="CG124" s="28" t="str">
        <f t="shared" si="1591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671">IF(DB124="-","-",DB124/DC124)</f>
        <v>9.9009900990099013E-6</v>
      </c>
      <c r="DG124" s="1">
        <f t="shared" ref="DG124:DG133" si="1672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673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674">ABS(DK124)</f>
        <v>0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R1'!$S$4:$W$163,5,FALSE),"")</f>
        <v/>
      </c>
      <c r="C125" s="190">
        <f>IF(E118="",0,IF(E118&gt;=1,0,LEN(E118)-2))</f>
        <v>0</v>
      </c>
      <c r="D125" s="68" t="s">
        <v>614</v>
      </c>
      <c r="E125" s="400" t="str">
        <f>IF(E123="","",VLOOKUP(BM115,'Incerteza - R1'!$S$4:$W$163,3,FALSE))</f>
        <v/>
      </c>
      <c r="F125" s="400"/>
      <c r="H125" s="51" t="str">
        <f t="shared" si="1605"/>
        <v/>
      </c>
      <c r="I125" s="402"/>
      <c r="J125" s="402"/>
      <c r="K125" s="402"/>
      <c r="L125" s="402"/>
      <c r="M125" s="60" t="str">
        <f t="shared" si="1606"/>
        <v/>
      </c>
      <c r="O125" s="417" t="s">
        <v>485</v>
      </c>
      <c r="P125" s="417"/>
      <c r="Q125" s="411" t="e">
        <f t="shared" ref="Q125" si="1675">IF(Q124="-","-",IF(U125&lt;=Q124,"Aprovado",IF(U125&gt;Q124,"Reprovado","")))</f>
        <v>#N/A</v>
      </c>
      <c r="R125" s="411"/>
      <c r="S125" s="411" t="e">
        <f t="shared" ref="S125" si="1676">IF(S124="-","-",IF(X125&lt;=S124,"Aprovado",IF(X125&gt;S124,"Reprovado","")))</f>
        <v>#N/A</v>
      </c>
      <c r="T125" s="411"/>
      <c r="U125" s="61" t="e">
        <f t="shared" ref="U125" si="1677">HLOOKUP(U124,V124:W125,2,FALSE)</f>
        <v>#VALUE!</v>
      </c>
      <c r="V125" s="61" t="e">
        <f t="shared" ref="V125" si="1678">ABS(E123*1)</f>
        <v>#VALUE!</v>
      </c>
      <c r="W125" s="61" t="e">
        <f t="shared" ref="W125" si="1679">ABS(E123*1)+(E124*1)</f>
        <v>#VALUE!</v>
      </c>
      <c r="X125" s="61">
        <f t="shared" ref="X125" si="1680">MAX(AP123:AP132)-MIN(AP123:AP132)</f>
        <v>0</v>
      </c>
      <c r="Z125" s="51" t="str">
        <f t="shared" si="1607"/>
        <v/>
      </c>
      <c r="AA125" s="51" t="str">
        <f t="shared" si="1608"/>
        <v/>
      </c>
      <c r="AB125" s="51" t="str">
        <f t="shared" si="1609"/>
        <v/>
      </c>
      <c r="AC125" s="51" t="str">
        <f t="shared" si="1610"/>
        <v/>
      </c>
      <c r="AD125" s="51" t="str">
        <f t="shared" ref="AD125" si="1681">IF(AN125="","",AD123)</f>
        <v/>
      </c>
      <c r="AE125" s="51" t="str">
        <f t="shared" ref="AE125" si="1682">IF(AN125="","",AE123)</f>
        <v/>
      </c>
      <c r="AF125" s="51" t="str">
        <f t="shared" ref="AF125" si="1683">IF(AN125="","",AF123)</f>
        <v/>
      </c>
      <c r="AG125" s="51" t="str">
        <f t="shared" ref="AG125" si="1684">IF(AN125="","",AG123)</f>
        <v/>
      </c>
      <c r="AH125" s="51" t="str">
        <f t="shared" ref="AH125" si="1685">IF(AN125="","",AH123)</f>
        <v/>
      </c>
      <c r="AI125" s="69" t="str">
        <f t="shared" ref="AI125" si="1686">IF(AN125="","",AI123)</f>
        <v/>
      </c>
      <c r="AJ125" s="51" t="str">
        <f t="shared" ref="AJ125" si="1687">IF(AN125="","",AJ123)</f>
        <v/>
      </c>
      <c r="AK125" s="51" t="str">
        <f t="shared" ref="AK125" si="1688">IF(AN125="","",AK123)</f>
        <v/>
      </c>
      <c r="AL125" s="51" t="str">
        <f t="shared" ref="AL125" si="1689">IF(AN125="","",AL123)</f>
        <v/>
      </c>
      <c r="AM125" s="51" t="str">
        <f t="shared" ref="AM125" si="1690">IF(AN125="","",AM123)</f>
        <v/>
      </c>
      <c r="AN125" s="51" t="str">
        <f t="shared" ref="AN125" si="1691">IF(I125="","",AN123)</f>
        <v/>
      </c>
      <c r="AO125" s="51" t="str">
        <f t="shared" ref="AO125" si="1692">IF(I125="","",I125/AO120)</f>
        <v/>
      </c>
      <c r="AP125" s="51" t="str">
        <f t="shared" ref="AP125" si="1693">IF(AO125="","",AO125*AC125*AP120)</f>
        <v/>
      </c>
      <c r="AQ125" s="51" t="str">
        <f t="shared" si="1618"/>
        <v/>
      </c>
      <c r="AR125" s="26" t="str">
        <f t="shared" si="1619"/>
        <v/>
      </c>
      <c r="AS125" s="51" t="str">
        <f t="shared" ref="AS125" si="1694">IF(BL125="","",AS123)</f>
        <v/>
      </c>
      <c r="AT125" s="51" t="str">
        <f t="shared" ref="AT125" si="1695">IF(BL125="","",AT123)</f>
        <v/>
      </c>
      <c r="AU125" s="51" t="str">
        <f t="shared" ref="AU125" si="1696">IF(BL125="","",AU123)</f>
        <v/>
      </c>
      <c r="AV125" s="51" t="str">
        <f t="shared" ref="AV125" si="1697">IF(BL125="","",AV123)</f>
        <v/>
      </c>
      <c r="AW125" s="51" t="str">
        <f t="shared" ref="AW125" si="1698">IF(BL125="","",AW123)</f>
        <v/>
      </c>
      <c r="AX125" s="51" t="str">
        <f t="shared" ref="AX125" si="1699">IF(BL125="","",AX123)</f>
        <v/>
      </c>
      <c r="AY125" s="51" t="str">
        <f t="shared" ref="AY125" si="1700">IF(BL125="","",AY123)</f>
        <v/>
      </c>
      <c r="AZ125" s="51" t="str">
        <f t="shared" ref="AZ125" si="1701">IF(BL125="","",AZ123)</f>
        <v/>
      </c>
      <c r="BA125" s="51" t="str">
        <f t="shared" ref="BA125" si="1702">IF(BL125="","",BA123)</f>
        <v/>
      </c>
      <c r="BB125" s="51" t="str">
        <f t="shared" ref="BB125" si="1703">IF(BL125="","",BB123)</f>
        <v/>
      </c>
      <c r="BC125" s="51" t="str">
        <f t="shared" ref="BC125" si="1704">IF(BL125="","",BC123)</f>
        <v/>
      </c>
      <c r="BD125" s="51" t="str">
        <f t="shared" ref="BD125" si="1705">IF(BL125="","",BD123)</f>
        <v/>
      </c>
      <c r="BE125" s="51" t="str">
        <f t="shared" ref="BE125" si="1706">IF(BL125="","",BE123)</f>
        <v/>
      </c>
      <c r="BF125" s="51" t="str">
        <f t="shared" ref="BF125" si="1707">IF(BL125="","",BF123)</f>
        <v/>
      </c>
      <c r="BG125" s="51" t="str">
        <f t="shared" ref="BG125" si="1708">IF(BL125="","",BG123)</f>
        <v/>
      </c>
      <c r="BH125" s="51" t="str">
        <f t="shared" ref="BH125" si="1709">IF(BL125="","",BH123)</f>
        <v/>
      </c>
      <c r="BI125" s="51" t="str">
        <f t="shared" ref="BI125" si="1710">IF(BL125="","",BI123)</f>
        <v/>
      </c>
      <c r="BJ125" s="51" t="str">
        <f t="shared" ref="BJ125" si="1711">IF(BL125="","",BJ123)</f>
        <v/>
      </c>
      <c r="BK125" s="51" t="str">
        <f t="shared" ref="BK125" si="1712">IF(BL125="","",BK123)</f>
        <v/>
      </c>
      <c r="BL125" s="51" t="str">
        <f t="shared" ref="BL125" si="1713">IF(K125="","",BL123)</f>
        <v/>
      </c>
      <c r="BN125" s="1">
        <f t="shared" si="1592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714">IF(OR(BZ123&lt;BR125,BZ123&gt;BS125),0,1)</f>
        <v>#VALUE!</v>
      </c>
      <c r="BW125" s="1">
        <f t="shared" si="1668"/>
        <v>2</v>
      </c>
      <c r="CB125" s="1">
        <f t="shared" ref="CB125" si="1715">CB123/CB124</f>
        <v>1E-3</v>
      </c>
      <c r="CG125" s="28" t="str">
        <f t="shared" si="1591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671"/>
        <v>1.0000000000000001E-5</v>
      </c>
      <c r="DG125" s="1">
        <f t="shared" si="1672"/>
        <v>2</v>
      </c>
      <c r="DH125" s="51">
        <f ca="1">HLOOKUP(CONCATENATE($CZ125,DH123),'Controle dos padrões'!$AB$96:$BY$116,CY123+1,FALSE)</f>
        <v>0</v>
      </c>
      <c r="DI125" s="1">
        <f t="shared" ca="1" si="1673"/>
        <v>0</v>
      </c>
      <c r="DK125" s="51">
        <f ca="1">HLOOKUP(CONCATENATE($CZ125,DK123),'Controle dos padrões'!$AB$96:$CI$116,CY123+1,FALSE)</f>
        <v>0</v>
      </c>
      <c r="DL125" s="1">
        <f t="shared" ca="1" si="1674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R1'!$S$4:$W$163,4,FALSE))</f>
        <v/>
      </c>
      <c r="F126" s="400"/>
      <c r="H126" s="51" t="str">
        <f t="shared" si="1605"/>
        <v/>
      </c>
      <c r="I126" s="402"/>
      <c r="J126" s="402"/>
      <c r="K126" s="402"/>
      <c r="L126" s="402"/>
      <c r="M126" s="60" t="str">
        <f t="shared" si="1606"/>
        <v/>
      </c>
      <c r="Z126" s="51" t="str">
        <f t="shared" si="1607"/>
        <v/>
      </c>
      <c r="AA126" s="51" t="str">
        <f t="shared" si="1608"/>
        <v/>
      </c>
      <c r="AB126" s="51" t="str">
        <f t="shared" si="1609"/>
        <v/>
      </c>
      <c r="AC126" s="51" t="str">
        <f t="shared" si="1610"/>
        <v/>
      </c>
      <c r="AD126" s="51" t="str">
        <f t="shared" ref="AD126" si="1716">IF(AN126="","",AD123)</f>
        <v/>
      </c>
      <c r="AE126" s="51" t="str">
        <f t="shared" ref="AE126" si="1717">IF(AN126="","",AE123)</f>
        <v/>
      </c>
      <c r="AF126" s="51" t="str">
        <f t="shared" ref="AF126" si="1718">IF(AN126="","",AF123)</f>
        <v/>
      </c>
      <c r="AG126" s="51" t="str">
        <f t="shared" ref="AG126" si="1719">IF(AN126="","",AG123)</f>
        <v/>
      </c>
      <c r="AH126" s="51" t="str">
        <f t="shared" ref="AH126" si="1720">IF(AN126="","",AH123)</f>
        <v/>
      </c>
      <c r="AI126" s="69" t="str">
        <f t="shared" ref="AI126" si="1721">IF(AN126="","",AI123)</f>
        <v/>
      </c>
      <c r="AJ126" s="51" t="str">
        <f t="shared" ref="AJ126" si="1722">IF(AN126="","",AJ123)</f>
        <v/>
      </c>
      <c r="AK126" s="51" t="str">
        <f t="shared" ref="AK126" si="1723">IF(AN126="","",AK123)</f>
        <v/>
      </c>
      <c r="AL126" s="51" t="str">
        <f t="shared" ref="AL126" si="1724">IF(AN126="","",AL123)</f>
        <v/>
      </c>
      <c r="AM126" s="51" t="str">
        <f t="shared" ref="AM126" si="1725">IF(AN126="","",AM123)</f>
        <v/>
      </c>
      <c r="AN126" s="51" t="str">
        <f t="shared" ref="AN126" si="1726">IF(I126="","",AN123)</f>
        <v/>
      </c>
      <c r="AO126" s="51" t="str">
        <f t="shared" ref="AO126" si="1727">IF(I126="","",I126/AO120)</f>
        <v/>
      </c>
      <c r="AP126" s="51" t="str">
        <f t="shared" ref="AP126" si="1728">IF(AO126="","",AO126*AC126*AP120)</f>
        <v/>
      </c>
      <c r="AQ126" s="51" t="str">
        <f t="shared" si="1618"/>
        <v/>
      </c>
      <c r="AR126" s="26" t="str">
        <f t="shared" si="1619"/>
        <v/>
      </c>
      <c r="AS126" s="51" t="str">
        <f t="shared" ref="AS126" si="1729">IF(BL126="","",AS123)</f>
        <v/>
      </c>
      <c r="AT126" s="51" t="str">
        <f t="shared" ref="AT126" si="1730">IF(BL126="","",AT123)</f>
        <v/>
      </c>
      <c r="AU126" s="51" t="str">
        <f t="shared" ref="AU126" si="1731">IF(BL126="","",AU123)</f>
        <v/>
      </c>
      <c r="AV126" s="51" t="str">
        <f t="shared" ref="AV126" si="1732">IF(BL126="","",AV123)</f>
        <v/>
      </c>
      <c r="AW126" s="51" t="str">
        <f t="shared" ref="AW126" si="1733">IF(BL126="","",AW123)</f>
        <v/>
      </c>
      <c r="AX126" s="51" t="str">
        <f t="shared" ref="AX126" si="1734">IF(BL126="","",AX123)</f>
        <v/>
      </c>
      <c r="AY126" s="51" t="str">
        <f t="shared" ref="AY126" si="1735">IF(BL126="","",AY123)</f>
        <v/>
      </c>
      <c r="AZ126" s="51" t="str">
        <f t="shared" ref="AZ126" si="1736">IF(BL126="","",AZ123)</f>
        <v/>
      </c>
      <c r="BA126" s="51" t="str">
        <f t="shared" ref="BA126" si="1737">IF(BL126="","",BA123)</f>
        <v/>
      </c>
      <c r="BB126" s="51" t="str">
        <f t="shared" ref="BB126" si="1738">IF(BL126="","",BB123)</f>
        <v/>
      </c>
      <c r="BC126" s="51" t="str">
        <f t="shared" ref="BC126" si="1739">IF(BL126="","",BC123)</f>
        <v/>
      </c>
      <c r="BD126" s="51" t="str">
        <f t="shared" ref="BD126" si="1740">IF(BL126="","",BD123)</f>
        <v/>
      </c>
      <c r="BE126" s="51" t="str">
        <f t="shared" ref="BE126" si="1741">IF(BL126="","",BE123)</f>
        <v/>
      </c>
      <c r="BF126" s="51" t="str">
        <f t="shared" ref="BF126" si="1742">IF(BL126="","",BF123)</f>
        <v/>
      </c>
      <c r="BG126" s="51" t="str">
        <f t="shared" ref="BG126" si="1743">IF(BL126="","",BG123)</f>
        <v/>
      </c>
      <c r="BH126" s="51" t="str">
        <f t="shared" ref="BH126" si="1744">IF(BL126="","",BH123)</f>
        <v/>
      </c>
      <c r="BI126" s="51" t="str">
        <f t="shared" ref="BI126" si="1745">IF(BL126="","",BI123)</f>
        <v/>
      </c>
      <c r="BJ126" s="51" t="str">
        <f t="shared" ref="BJ126" si="1746">IF(BL126="","",BJ123)</f>
        <v/>
      </c>
      <c r="BK126" s="51" t="str">
        <f t="shared" ref="BK126" si="1747">IF(BL126="","",BK123)</f>
        <v/>
      </c>
      <c r="BL126" s="51" t="str">
        <f t="shared" ref="BL126" si="1748">IF(K126="","",BL123)</f>
        <v/>
      </c>
      <c r="BN126" s="1">
        <f t="shared" si="1592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749">IF(OR(BZ123&lt;BR126,BZ123&gt;BS126),0,1)</f>
        <v>#VALUE!</v>
      </c>
      <c r="BW126" s="1">
        <f t="shared" si="1668"/>
        <v>3</v>
      </c>
      <c r="BY126" s="51" t="s">
        <v>39</v>
      </c>
      <c r="BZ126" s="51" t="e">
        <f t="shared" ref="BZ126" si="1750">VLOOKUP(VLOOKUP(1,BV124:BW126,2,FALSE),BP124:BU126,5,FALSE)</f>
        <v>#N/A</v>
      </c>
      <c r="CA126" s="51" t="e">
        <f t="shared" ref="CA126" si="175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1591"/>
        <v>0</v>
      </c>
      <c r="CY126" s="1">
        <f t="shared" ref="CY126" ca="1" si="175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671"/>
        <v>1.5E-5</v>
      </c>
      <c r="DF126" s="1">
        <f t="shared" ref="DF126" ca="1" si="1753">IF(CY126=1,MAX(DE124:DE126),"-")</f>
        <v>1.5E-5</v>
      </c>
      <c r="DG126" s="1">
        <f t="shared" si="1672"/>
        <v>3</v>
      </c>
      <c r="DH126" s="51">
        <f ca="1">HLOOKUP(CONCATENATE($CZ126,DH123),'Controle dos padrões'!$AB$96:$BY$116,CY123+1,FALSE)</f>
        <v>9.9999999996214228E-6</v>
      </c>
      <c r="DI126" s="1">
        <f t="shared" ca="1" si="1673"/>
        <v>9.9999999996214228E-6</v>
      </c>
      <c r="DJ126" s="1">
        <f t="shared" ref="DJ126" ca="1" si="175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674"/>
        <v>9.9999999996214228E-6</v>
      </c>
      <c r="DM126" s="1">
        <f t="shared" ref="DM126" ca="1" si="1755">IF(CY126=1,MAX(DL124:DL126),"-")</f>
        <v>9.9999999996214228E-6</v>
      </c>
    </row>
    <row r="127" spans="1:117" hidden="1" x14ac:dyDescent="0.3">
      <c r="A127" s="61" t="str">
        <f>CONCATENATE(BM115,".",BN127)</f>
        <v>6.13</v>
      </c>
      <c r="H127" s="51" t="str">
        <f t="shared" si="1605"/>
        <v/>
      </c>
      <c r="I127" s="402"/>
      <c r="J127" s="402"/>
      <c r="K127" s="402"/>
      <c r="L127" s="402"/>
      <c r="M127" s="60" t="str">
        <f t="shared" si="1606"/>
        <v/>
      </c>
      <c r="O127" s="1" t="str">
        <f t="shared" ref="O127" si="1756">IF(Q122=BU130,"Critério cliente :","")</f>
        <v/>
      </c>
      <c r="R127" s="408"/>
      <c r="S127" s="410"/>
      <c r="T127" s="195"/>
      <c r="Z127" s="51" t="str">
        <f t="shared" si="1607"/>
        <v/>
      </c>
      <c r="AA127" s="51" t="str">
        <f t="shared" si="1608"/>
        <v/>
      </c>
      <c r="AB127" s="51" t="str">
        <f t="shared" si="1609"/>
        <v/>
      </c>
      <c r="AC127" s="51" t="str">
        <f t="shared" si="1610"/>
        <v/>
      </c>
      <c r="AD127" s="51" t="str">
        <f t="shared" ref="AD127" si="1757">IF(AN127="","",AD123)</f>
        <v/>
      </c>
      <c r="AE127" s="51" t="str">
        <f t="shared" ref="AE127" si="1758">IF(AN127="","",AE123)</f>
        <v/>
      </c>
      <c r="AF127" s="51" t="str">
        <f t="shared" ref="AF127" si="1759">IF(AN127="","",AF123)</f>
        <v/>
      </c>
      <c r="AG127" s="51" t="str">
        <f t="shared" ref="AG127" si="1760">IF(AN127="","",AG123)</f>
        <v/>
      </c>
      <c r="AH127" s="51" t="str">
        <f t="shared" ref="AH127" si="1761">IF(AN127="","",AH123)</f>
        <v/>
      </c>
      <c r="AI127" s="69" t="str">
        <f t="shared" ref="AI127" si="1762">IF(AN127="","",AI123)</f>
        <v/>
      </c>
      <c r="AJ127" s="51" t="str">
        <f t="shared" ref="AJ127" si="1763">IF(AN127="","",AJ123)</f>
        <v/>
      </c>
      <c r="AK127" s="51" t="str">
        <f t="shared" ref="AK127" si="1764">IF(AN127="","",AK123)</f>
        <v/>
      </c>
      <c r="AL127" s="51" t="str">
        <f t="shared" ref="AL127" si="1765">IF(AN127="","",AL123)</f>
        <v/>
      </c>
      <c r="AM127" s="51" t="str">
        <f t="shared" ref="AM127" si="1766">IF(AN127="","",AM123)</f>
        <v/>
      </c>
      <c r="AN127" s="51" t="str">
        <f t="shared" ref="AN127" si="1767">IF(I127="","",AN123)</f>
        <v/>
      </c>
      <c r="AO127" s="51" t="str">
        <f t="shared" ref="AO127" si="1768">IF(I127="","",I127/AO120)</f>
        <v/>
      </c>
      <c r="AP127" s="51" t="str">
        <f t="shared" ref="AP127" si="1769">IF(AO127="","",AO127*AC127*AP120)</f>
        <v/>
      </c>
      <c r="AQ127" s="51" t="str">
        <f t="shared" si="1618"/>
        <v/>
      </c>
      <c r="AR127" s="26" t="str">
        <f t="shared" si="1619"/>
        <v/>
      </c>
      <c r="AS127" s="51" t="str">
        <f t="shared" ref="AS127" si="1770">IF(BL127="","",AS123)</f>
        <v/>
      </c>
      <c r="AT127" s="51" t="str">
        <f t="shared" ref="AT127" si="1771">IF(BL127="","",AT123)</f>
        <v/>
      </c>
      <c r="AU127" s="51" t="str">
        <f t="shared" ref="AU127" si="1772">IF(BL127="","",AU123)</f>
        <v/>
      </c>
      <c r="AV127" s="51" t="str">
        <f t="shared" ref="AV127" si="1773">IF(BL127="","",AV123)</f>
        <v/>
      </c>
      <c r="AW127" s="51" t="str">
        <f t="shared" ref="AW127" si="1774">IF(BL127="","",AW123)</f>
        <v/>
      </c>
      <c r="AX127" s="51" t="str">
        <f t="shared" ref="AX127" si="1775">IF(BL127="","",AX123)</f>
        <v/>
      </c>
      <c r="AY127" s="51" t="str">
        <f t="shared" ref="AY127" si="1776">IF(BL127="","",AY123)</f>
        <v/>
      </c>
      <c r="AZ127" s="51" t="str">
        <f t="shared" ref="AZ127" si="1777">IF(BL127="","",AZ123)</f>
        <v/>
      </c>
      <c r="BA127" s="51" t="str">
        <f t="shared" ref="BA127" si="1778">IF(BL127="","",BA123)</f>
        <v/>
      </c>
      <c r="BB127" s="51" t="str">
        <f t="shared" ref="BB127" si="1779">IF(BL127="","",BB123)</f>
        <v/>
      </c>
      <c r="BC127" s="51" t="str">
        <f t="shared" ref="BC127" si="1780">IF(BL127="","",BC123)</f>
        <v/>
      </c>
      <c r="BD127" s="51" t="str">
        <f t="shared" ref="BD127" si="1781">IF(BL127="","",BD123)</f>
        <v/>
      </c>
      <c r="BE127" s="51" t="str">
        <f t="shared" ref="BE127" si="1782">IF(BL127="","",BE123)</f>
        <v/>
      </c>
      <c r="BF127" s="51" t="str">
        <f t="shared" ref="BF127" si="1783">IF(BL127="","",BF123)</f>
        <v/>
      </c>
      <c r="BG127" s="51" t="str">
        <f t="shared" ref="BG127" si="1784">IF(BL127="","",BG123)</f>
        <v/>
      </c>
      <c r="BH127" s="51" t="str">
        <f t="shared" ref="BH127" si="1785">IF(BL127="","",BH123)</f>
        <v/>
      </c>
      <c r="BI127" s="51" t="str">
        <f t="shared" ref="BI127" si="1786">IF(BL127="","",BI123)</f>
        <v/>
      </c>
      <c r="BJ127" s="51" t="str">
        <f t="shared" ref="BJ127" si="1787">IF(BL127="","",BJ123)</f>
        <v/>
      </c>
      <c r="BK127" s="51" t="str">
        <f t="shared" ref="BK127" si="1788">IF(BL127="","",BK123)</f>
        <v/>
      </c>
      <c r="BL127" s="51" t="str">
        <f t="shared" ref="BL127" si="1789">IF(K127="","",BL123)</f>
        <v/>
      </c>
      <c r="BN127" s="1">
        <f t="shared" si="1592"/>
        <v>13</v>
      </c>
      <c r="CB127" s="1" t="e">
        <f t="shared" ref="CB127" si="1790">CB124/CB126</f>
        <v>#N/A</v>
      </c>
      <c r="CG127" s="28" t="str">
        <f t="shared" si="1591"/>
        <v>0</v>
      </c>
      <c r="CY127" s="1">
        <f t="shared" ref="CY127" ca="1" si="179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671"/>
        <v>7.4999999999999993E-5</v>
      </c>
      <c r="DF127" s="1" t="str">
        <f t="shared" ref="DF127" ca="1" si="1792">IF(CY127=1,MAX(DE124:DE127),"-")</f>
        <v>-</v>
      </c>
      <c r="DG127" s="1">
        <f t="shared" si="1672"/>
        <v>4</v>
      </c>
      <c r="DH127" s="51">
        <f ca="1">HLOOKUP(CONCATENATE($CZ127,DH123),'Controle dos padrões'!$AB$96:$BY$116,CY123+1,FALSE)</f>
        <v>1.0000000003174137E-5</v>
      </c>
      <c r="DI127" s="1">
        <f t="shared" ca="1" si="1673"/>
        <v>1.0000000003174137E-5</v>
      </c>
      <c r="DJ127" s="1" t="str">
        <f t="shared" ref="DJ127" ca="1" si="179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674"/>
        <v>0</v>
      </c>
      <c r="DM127" s="1" t="str">
        <f t="shared" ref="DM127" ca="1" si="179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605"/>
        <v/>
      </c>
      <c r="I128" s="402"/>
      <c r="J128" s="402"/>
      <c r="K128" s="402"/>
      <c r="L128" s="402"/>
      <c r="M128" s="60" t="str">
        <f t="shared" si="1606"/>
        <v/>
      </c>
      <c r="O128" s="1" t="str">
        <f t="shared" ref="O128" si="1795">IF(OR(K118="",K123=""),"","Temp. média corrigida:")</f>
        <v/>
      </c>
      <c r="S128" s="400" t="str">
        <f>IF(OR(K118="",K123=""),"",IF(COUNT(K123:L132)&lt;1,"",CONCATENATE(FIXED(AR134,AV123)," ",M123)))</f>
        <v/>
      </c>
      <c r="T128" s="400"/>
      <c r="Z128" s="51" t="str">
        <f t="shared" si="1607"/>
        <v/>
      </c>
      <c r="AA128" s="51" t="str">
        <f t="shared" si="1608"/>
        <v/>
      </c>
      <c r="AB128" s="51" t="str">
        <f t="shared" si="1609"/>
        <v/>
      </c>
      <c r="AC128" s="51" t="str">
        <f t="shared" si="1610"/>
        <v/>
      </c>
      <c r="AD128" s="51" t="str">
        <f t="shared" ref="AD128" si="1796">IF(AN128="","",AD123)</f>
        <v/>
      </c>
      <c r="AE128" s="51" t="str">
        <f t="shared" ref="AE128" si="1797">IF(AN128="","",AE123)</f>
        <v/>
      </c>
      <c r="AF128" s="51" t="str">
        <f t="shared" ref="AF128" si="1798">IF(AN128="","",AF123)</f>
        <v/>
      </c>
      <c r="AG128" s="51" t="str">
        <f t="shared" ref="AG128" si="1799">IF(AN128="","",AG123)</f>
        <v/>
      </c>
      <c r="AH128" s="51" t="str">
        <f t="shared" ref="AH128" si="1800">IF(AN128="","",AH123)</f>
        <v/>
      </c>
      <c r="AI128" s="69" t="str">
        <f t="shared" ref="AI128" si="1801">IF(AN128="","",AI123)</f>
        <v/>
      </c>
      <c r="AJ128" s="51" t="str">
        <f t="shared" ref="AJ128" si="1802">IF(AN128="","",AJ123)</f>
        <v/>
      </c>
      <c r="AK128" s="51" t="str">
        <f t="shared" ref="AK128" si="1803">IF(AN128="","",AK123)</f>
        <v/>
      </c>
      <c r="AL128" s="51" t="str">
        <f t="shared" ref="AL128" si="1804">IF(AN128="","",AL123)</f>
        <v/>
      </c>
      <c r="AM128" s="51" t="str">
        <f t="shared" ref="AM128" si="1805">IF(AN128="","",AM123)</f>
        <v/>
      </c>
      <c r="AN128" s="51" t="str">
        <f t="shared" ref="AN128" si="1806">IF(I128="","",AN123)</f>
        <v/>
      </c>
      <c r="AO128" s="51" t="str">
        <f t="shared" ref="AO128" si="1807">IF(I128="","",I128/AO120)</f>
        <v/>
      </c>
      <c r="AP128" s="51" t="str">
        <f t="shared" ref="AP128" si="1808">IF(AO128="","",AO128*AC128*AP120)</f>
        <v/>
      </c>
      <c r="AQ128" s="51" t="str">
        <f t="shared" si="1618"/>
        <v/>
      </c>
      <c r="AR128" s="26" t="str">
        <f t="shared" si="1619"/>
        <v/>
      </c>
      <c r="AS128" s="51" t="str">
        <f t="shared" ref="AS128" si="1809">IF(BL128="","",AS123)</f>
        <v/>
      </c>
      <c r="AT128" s="51" t="str">
        <f t="shared" ref="AT128" si="1810">IF(BL128="","",AT123)</f>
        <v/>
      </c>
      <c r="AU128" s="51" t="str">
        <f t="shared" ref="AU128" si="1811">IF(BL128="","",AU123)</f>
        <v/>
      </c>
      <c r="AV128" s="51" t="str">
        <f t="shared" ref="AV128" si="1812">IF(BL128="","",AV123)</f>
        <v/>
      </c>
      <c r="AW128" s="51" t="str">
        <f t="shared" ref="AW128" si="1813">IF(BL128="","",AW123)</f>
        <v/>
      </c>
      <c r="AX128" s="51" t="str">
        <f t="shared" ref="AX128" si="1814">IF(BL128="","",AX123)</f>
        <v/>
      </c>
      <c r="AY128" s="51" t="str">
        <f t="shared" ref="AY128" si="1815">IF(BL128="","",AY123)</f>
        <v/>
      </c>
      <c r="AZ128" s="51" t="str">
        <f t="shared" ref="AZ128" si="1816">IF(BL128="","",AZ123)</f>
        <v/>
      </c>
      <c r="BA128" s="51" t="str">
        <f t="shared" ref="BA128" si="1817">IF(BL128="","",BA123)</f>
        <v/>
      </c>
      <c r="BB128" s="51" t="str">
        <f t="shared" ref="BB128" si="1818">IF(BL128="","",BB123)</f>
        <v/>
      </c>
      <c r="BC128" s="51" t="str">
        <f t="shared" ref="BC128" si="1819">IF(BL128="","",BC123)</f>
        <v/>
      </c>
      <c r="BD128" s="51" t="str">
        <f t="shared" ref="BD128" si="1820">IF(BL128="","",BD123)</f>
        <v/>
      </c>
      <c r="BE128" s="51" t="str">
        <f t="shared" ref="BE128" si="1821">IF(BL128="","",BE123)</f>
        <v/>
      </c>
      <c r="BF128" s="51" t="str">
        <f t="shared" ref="BF128" si="1822">IF(BL128="","",BF123)</f>
        <v/>
      </c>
      <c r="BG128" s="51" t="str">
        <f t="shared" ref="BG128" si="1823">IF(BL128="","",BG123)</f>
        <v/>
      </c>
      <c r="BH128" s="51" t="str">
        <f t="shared" ref="BH128" si="1824">IF(BL128="","",BH123)</f>
        <v/>
      </c>
      <c r="BI128" s="51" t="str">
        <f t="shared" ref="BI128" si="1825">IF(BL128="","",BI123)</f>
        <v/>
      </c>
      <c r="BJ128" s="51" t="str">
        <f t="shared" ref="BJ128" si="1826">IF(BL128="","",BJ123)</f>
        <v/>
      </c>
      <c r="BK128" s="51" t="str">
        <f t="shared" ref="BK128" si="1827">IF(BL128="","",BK123)</f>
        <v/>
      </c>
      <c r="BL128" s="51" t="str">
        <f t="shared" ref="BL128" si="1828">IF(K128="","",BL123)</f>
        <v/>
      </c>
      <c r="BN128" s="1">
        <f t="shared" si="1592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829">CA124</f>
        <v>µL</v>
      </c>
      <c r="CG128" s="28" t="str">
        <f t="shared" si="1591"/>
        <v>0</v>
      </c>
      <c r="CY128" s="1">
        <f t="shared" ref="CY128" ca="1" si="183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671"/>
        <v>2.0000000000000001E-4</v>
      </c>
      <c r="DF128" s="1" t="str">
        <f t="shared" ref="DF128" ca="1" si="1831">IF(CY128=1,MAX(DE124:DE128),"-")</f>
        <v>-</v>
      </c>
      <c r="DG128" s="1">
        <f t="shared" si="1672"/>
        <v>5</v>
      </c>
      <c r="DH128" s="51">
        <f ca="1">HLOOKUP(CONCATENATE($CZ128,DH123),'Controle dos padrões'!$AB$96:$BY$116,CY123+1,FALSE)</f>
        <v>-1.0000000000331966E-4</v>
      </c>
      <c r="DI128" s="1">
        <f t="shared" ca="1" si="1673"/>
        <v>1.0000000000331966E-4</v>
      </c>
      <c r="DJ128" s="1" t="str">
        <f t="shared" ref="DJ128" ca="1" si="183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674"/>
        <v>1.0000000000331966E-4</v>
      </c>
      <c r="DM128" s="1" t="str">
        <f t="shared" ref="DM128" ca="1" si="183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605"/>
        <v/>
      </c>
      <c r="I129" s="402"/>
      <c r="J129" s="402"/>
      <c r="K129" s="402"/>
      <c r="L129" s="402"/>
      <c r="M129" s="60" t="str">
        <f t="shared" si="1606"/>
        <v/>
      </c>
      <c r="O129" s="1" t="str">
        <f t="shared" ref="O129" si="183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607"/>
        <v/>
      </c>
      <c r="AA129" s="51" t="str">
        <f t="shared" si="1608"/>
        <v/>
      </c>
      <c r="AB129" s="51" t="str">
        <f t="shared" si="1609"/>
        <v/>
      </c>
      <c r="AC129" s="51" t="str">
        <f t="shared" si="1610"/>
        <v/>
      </c>
      <c r="AD129" s="51" t="str">
        <f t="shared" ref="AD129" si="1835">IF(AN129="","",AD123)</f>
        <v/>
      </c>
      <c r="AE129" s="51" t="str">
        <f t="shared" ref="AE129" si="1836">IF(AN129="","",AE123)</f>
        <v/>
      </c>
      <c r="AF129" s="51" t="str">
        <f t="shared" ref="AF129" si="1837">IF(AN129="","",AF123)</f>
        <v/>
      </c>
      <c r="AG129" s="51" t="str">
        <f t="shared" ref="AG129" si="1838">IF(AN129="","",AG123)</f>
        <v/>
      </c>
      <c r="AH129" s="51" t="str">
        <f t="shared" ref="AH129" si="1839">IF(AN129="","",AH123)</f>
        <v/>
      </c>
      <c r="AI129" s="69" t="str">
        <f t="shared" ref="AI129" si="1840">IF(AN129="","",AI123)</f>
        <v/>
      </c>
      <c r="AJ129" s="51" t="str">
        <f t="shared" ref="AJ129" si="1841">IF(AN129="","",AJ123)</f>
        <v/>
      </c>
      <c r="AK129" s="51" t="str">
        <f t="shared" ref="AK129" si="1842">IF(AN129="","",AK123)</f>
        <v/>
      </c>
      <c r="AL129" s="51" t="str">
        <f t="shared" ref="AL129" si="1843">IF(AN129="","",AL123)</f>
        <v/>
      </c>
      <c r="AM129" s="51" t="str">
        <f t="shared" ref="AM129" si="1844">IF(AN129="","",AM123)</f>
        <v/>
      </c>
      <c r="AN129" s="51" t="str">
        <f t="shared" ref="AN129" si="1845">IF(I129="","",AN123)</f>
        <v/>
      </c>
      <c r="AO129" s="51" t="str">
        <f t="shared" ref="AO129" si="1846">IF(I129="","",I129/AO120)</f>
        <v/>
      </c>
      <c r="AP129" s="51" t="str">
        <f t="shared" ref="AP129" si="1847">IF(AO129="","",AO129*AC129*AP120)</f>
        <v/>
      </c>
      <c r="AQ129" s="51" t="str">
        <f t="shared" si="1618"/>
        <v/>
      </c>
      <c r="AR129" s="26" t="str">
        <f t="shared" si="1619"/>
        <v/>
      </c>
      <c r="AS129" s="51" t="str">
        <f t="shared" ref="AS129" si="1848">IF(BL129="","",AS123)</f>
        <v/>
      </c>
      <c r="AT129" s="51" t="str">
        <f t="shared" ref="AT129" si="1849">IF(BL129="","",AT123)</f>
        <v/>
      </c>
      <c r="AU129" s="51" t="str">
        <f t="shared" ref="AU129" si="1850">IF(BL129="","",AU123)</f>
        <v/>
      </c>
      <c r="AV129" s="51" t="str">
        <f t="shared" ref="AV129" si="1851">IF(BL129="","",AV123)</f>
        <v/>
      </c>
      <c r="AW129" s="51" t="str">
        <f t="shared" ref="AW129" si="1852">IF(BL129="","",AW123)</f>
        <v/>
      </c>
      <c r="AX129" s="51" t="str">
        <f t="shared" ref="AX129" si="1853">IF(BL129="","",AX123)</f>
        <v/>
      </c>
      <c r="AY129" s="51" t="str">
        <f t="shared" ref="AY129" si="1854">IF(BL129="","",AY123)</f>
        <v/>
      </c>
      <c r="AZ129" s="51" t="str">
        <f t="shared" ref="AZ129" si="1855">IF(BL129="","",AZ123)</f>
        <v/>
      </c>
      <c r="BA129" s="51" t="str">
        <f t="shared" ref="BA129" si="1856">IF(BL129="","",BA123)</f>
        <v/>
      </c>
      <c r="BB129" s="51" t="str">
        <f t="shared" ref="BB129" si="1857">IF(BL129="","",BB123)</f>
        <v/>
      </c>
      <c r="BC129" s="51" t="str">
        <f t="shared" ref="BC129" si="1858">IF(BL129="","",BC123)</f>
        <v/>
      </c>
      <c r="BD129" s="51" t="str">
        <f t="shared" ref="BD129" si="1859">IF(BL129="","",BD123)</f>
        <v/>
      </c>
      <c r="BE129" s="51" t="str">
        <f t="shared" ref="BE129" si="1860">IF(BL129="","",BE123)</f>
        <v/>
      </c>
      <c r="BF129" s="51" t="str">
        <f t="shared" ref="BF129" si="1861">IF(BL129="","",BF123)</f>
        <v/>
      </c>
      <c r="BG129" s="51" t="str">
        <f t="shared" ref="BG129" si="1862">IF(BL129="","",BG123)</f>
        <v/>
      </c>
      <c r="BH129" s="51" t="str">
        <f t="shared" ref="BH129" si="1863">IF(BL129="","",BH123)</f>
        <v/>
      </c>
      <c r="BI129" s="51" t="str">
        <f t="shared" ref="BI129" si="1864">IF(BL129="","",BI123)</f>
        <v/>
      </c>
      <c r="BJ129" s="51" t="str">
        <f t="shared" ref="BJ129" si="1865">IF(BL129="","",BJ123)</f>
        <v/>
      </c>
      <c r="BK129" s="51" t="str">
        <f t="shared" ref="BK129" si="1866">IF(BL129="","",BK123)</f>
        <v/>
      </c>
      <c r="BL129" s="51" t="str">
        <f t="shared" ref="BL129" si="1867">IF(K129="","",BL123)</f>
        <v/>
      </c>
      <c r="BN129" s="1">
        <f t="shared" si="1592"/>
        <v>15</v>
      </c>
      <c r="CG129" s="28" t="str">
        <f t="shared" si="1591"/>
        <v>0</v>
      </c>
      <c r="CY129" s="1">
        <f t="shared" ref="CY129" ca="1" si="186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671"/>
        <v>2.5000000000000001E-4</v>
      </c>
      <c r="DF129" s="1" t="str">
        <f t="shared" ref="DF129" ca="1" si="1869">IF(CY129=1,MAX(DE124:DE129),"-")</f>
        <v>-</v>
      </c>
      <c r="DG129" s="1">
        <f t="shared" si="1672"/>
        <v>6</v>
      </c>
      <c r="DH129" s="51">
        <f ca="1">HLOOKUP(CONCATENATE($CZ129,DH123),'Controle dos padrões'!$AB$96:$BY$116,CY123+1,FALSE)</f>
        <v>-1.0000000000331966E-4</v>
      </c>
      <c r="DI129" s="1">
        <f t="shared" ca="1" si="1673"/>
        <v>1.0000000000331966E-4</v>
      </c>
      <c r="DJ129" s="1" t="str">
        <f t="shared" ref="DJ129" ca="1" si="187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674"/>
        <v>1.0000000000331966E-4</v>
      </c>
      <c r="DM129" s="1" t="str">
        <f t="shared" ref="DM129" ca="1" si="187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605"/>
        <v/>
      </c>
      <c r="I130" s="402"/>
      <c r="J130" s="402"/>
      <c r="K130" s="402"/>
      <c r="L130" s="402"/>
      <c r="M130" s="60" t="str">
        <f t="shared" si="1606"/>
        <v/>
      </c>
      <c r="Z130" s="51" t="str">
        <f t="shared" si="1607"/>
        <v/>
      </c>
      <c r="AA130" s="51" t="str">
        <f t="shared" si="1608"/>
        <v/>
      </c>
      <c r="AB130" s="51" t="str">
        <f t="shared" si="1609"/>
        <v/>
      </c>
      <c r="AC130" s="51" t="str">
        <f t="shared" si="1610"/>
        <v/>
      </c>
      <c r="AD130" s="51" t="str">
        <f t="shared" ref="AD130" si="1872">IF(AN130="","",AD123)</f>
        <v/>
      </c>
      <c r="AE130" s="51" t="str">
        <f t="shared" ref="AE130" si="1873">IF(AN130="","",AE123)</f>
        <v/>
      </c>
      <c r="AF130" s="51" t="str">
        <f t="shared" ref="AF130" si="1874">IF(AN130="","",AF123)</f>
        <v/>
      </c>
      <c r="AG130" s="51" t="str">
        <f t="shared" ref="AG130" si="1875">IF(AN130="","",AG123)</f>
        <v/>
      </c>
      <c r="AH130" s="51" t="str">
        <f t="shared" ref="AH130" si="1876">IF(AN130="","",AH123)</f>
        <v/>
      </c>
      <c r="AI130" s="69" t="str">
        <f t="shared" ref="AI130" si="1877">IF(AN130="","",AI123)</f>
        <v/>
      </c>
      <c r="AJ130" s="51" t="str">
        <f t="shared" ref="AJ130" si="1878">IF(AN130="","",AJ123)</f>
        <v/>
      </c>
      <c r="AK130" s="51" t="str">
        <f t="shared" ref="AK130" si="1879">IF(AN130="","",AK123)</f>
        <v/>
      </c>
      <c r="AL130" s="51" t="str">
        <f t="shared" ref="AL130" si="1880">IF(AN130="","",AL123)</f>
        <v/>
      </c>
      <c r="AM130" s="51" t="str">
        <f t="shared" ref="AM130" si="1881">IF(AN130="","",AM123)</f>
        <v/>
      </c>
      <c r="AN130" s="51" t="str">
        <f t="shared" ref="AN130" si="1882">IF(I130="","",AN123)</f>
        <v/>
      </c>
      <c r="AO130" s="51" t="str">
        <f t="shared" ref="AO130" si="1883">IF(I130="","",I130/AO120)</f>
        <v/>
      </c>
      <c r="AP130" s="51" t="str">
        <f t="shared" ref="AP130" si="1884">IF(AO130="","",AO130*AC130*AP120)</f>
        <v/>
      </c>
      <c r="AQ130" s="51" t="str">
        <f t="shared" si="1618"/>
        <v/>
      </c>
      <c r="AR130" s="26" t="str">
        <f t="shared" si="1619"/>
        <v/>
      </c>
      <c r="AS130" s="51" t="str">
        <f t="shared" ref="AS130" si="1885">IF(BL130="","",AS123)</f>
        <v/>
      </c>
      <c r="AT130" s="51" t="str">
        <f t="shared" ref="AT130" si="1886">IF(BL130="","",AT123)</f>
        <v/>
      </c>
      <c r="AU130" s="51" t="str">
        <f t="shared" ref="AU130" si="1887">IF(BL130="","",AU123)</f>
        <v/>
      </c>
      <c r="AV130" s="51" t="str">
        <f t="shared" ref="AV130" si="1888">IF(BL130="","",AV123)</f>
        <v/>
      </c>
      <c r="AW130" s="51" t="str">
        <f t="shared" ref="AW130" si="1889">IF(BL130="","",AW123)</f>
        <v/>
      </c>
      <c r="AX130" s="51" t="str">
        <f t="shared" ref="AX130" si="1890">IF(BL130="","",AX123)</f>
        <v/>
      </c>
      <c r="AY130" s="51" t="str">
        <f t="shared" ref="AY130" si="1891">IF(BL130="","",AY123)</f>
        <v/>
      </c>
      <c r="AZ130" s="51" t="str">
        <f t="shared" ref="AZ130" si="1892">IF(BL130="","",AZ123)</f>
        <v/>
      </c>
      <c r="BA130" s="51" t="str">
        <f t="shared" ref="BA130" si="1893">IF(BL130="","",BA123)</f>
        <v/>
      </c>
      <c r="BB130" s="51" t="str">
        <f t="shared" ref="BB130" si="1894">IF(BL130="","",BB123)</f>
        <v/>
      </c>
      <c r="BC130" s="51" t="str">
        <f t="shared" ref="BC130" si="1895">IF(BL130="","",BC123)</f>
        <v/>
      </c>
      <c r="BD130" s="51" t="str">
        <f t="shared" ref="BD130" si="1896">IF(BL130="","",BD123)</f>
        <v/>
      </c>
      <c r="BE130" s="51" t="str">
        <f t="shared" ref="BE130" si="1897">IF(BL130="","",BE123)</f>
        <v/>
      </c>
      <c r="BF130" s="51" t="str">
        <f t="shared" ref="BF130" si="1898">IF(BL130="","",BF123)</f>
        <v/>
      </c>
      <c r="BG130" s="51" t="str">
        <f t="shared" ref="BG130" si="1899">IF(BL130="","",BG123)</f>
        <v/>
      </c>
      <c r="BH130" s="51" t="str">
        <f t="shared" ref="BH130" si="1900">IF(BL130="","",BH123)</f>
        <v/>
      </c>
      <c r="BI130" s="51" t="str">
        <f t="shared" ref="BI130" si="1901">IF(BL130="","",BI123)</f>
        <v/>
      </c>
      <c r="BJ130" s="51" t="str">
        <f t="shared" ref="BJ130" si="1902">IF(BL130="","",BJ123)</f>
        <v/>
      </c>
      <c r="BK130" s="51" t="str">
        <f t="shared" ref="BK130" si="1903">IF(BL130="","",BK123)</f>
        <v/>
      </c>
      <c r="BL130" s="51" t="str">
        <f t="shared" ref="BL130" si="1904">IF(K130="","",BL123)</f>
        <v/>
      </c>
      <c r="BN130" s="1">
        <f t="shared" si="1592"/>
        <v>16</v>
      </c>
      <c r="BP130" s="1" t="s">
        <v>483</v>
      </c>
      <c r="BQ130" s="1" t="str">
        <f>IF($J$4&lt;&gt;"","-","8665-2 - Micropipeta Mono")</f>
        <v>8665-2 - Micropipeta Mono</v>
      </c>
      <c r="BR130" s="1" t="str">
        <f>IF($J$4&lt;&gt;"","-","8665-2 - Micropipeta Multi")</f>
        <v>8665-2 - Micropipeta Multi</v>
      </c>
      <c r="BS130" s="1" t="str">
        <f>IF($J$4&lt;&gt;"","-","8665-3 - Bureta Auto")</f>
        <v>8665-3 - Bureta Auto</v>
      </c>
      <c r="BT130" s="1" t="str">
        <f>IF($J$4&lt;&gt;"","-","8665-3 - Bureta Manual")</f>
        <v>8665-3 - Bureta Manual</v>
      </c>
      <c r="BU130" s="1" t="s">
        <v>484</v>
      </c>
      <c r="BV130" s="1">
        <f t="shared" ref="BV130" si="1905">IF(BU130=Q122,1,0)</f>
        <v>0</v>
      </c>
      <c r="CG130" s="28" t="str">
        <f t="shared" si="1591"/>
        <v>0</v>
      </c>
      <c r="CY130" s="1">
        <f t="shared" ref="CY130" ca="1" si="190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671"/>
        <v>4.0000000000000002E-4</v>
      </c>
      <c r="DF130" s="1" t="str">
        <f t="shared" ref="DF130" ca="1" si="1907">IF(CY130=1,MAX(DE124:DE130),"-")</f>
        <v>-</v>
      </c>
      <c r="DG130" s="1">
        <f t="shared" si="1672"/>
        <v>7</v>
      </c>
      <c r="DH130" s="51">
        <f ca="1">HLOOKUP(CONCATENATE($CZ130,DH123),'Controle dos padrões'!$AB$96:$BY$116,CY123+1,FALSE)</f>
        <v>2.0000000000663931E-4</v>
      </c>
      <c r="DI130" s="1">
        <f t="shared" ca="1" si="1673"/>
        <v>2.0000000000663931E-4</v>
      </c>
      <c r="DJ130" s="1" t="str">
        <f t="shared" ref="DJ130" ca="1" si="190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674"/>
        <v>1.0000000000331966E-4</v>
      </c>
      <c r="DM130" s="1" t="str">
        <f t="shared" ref="DM130" ca="1" si="190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605"/>
        <v/>
      </c>
      <c r="I131" s="402"/>
      <c r="J131" s="402"/>
      <c r="K131" s="402"/>
      <c r="L131" s="402"/>
      <c r="M131" s="60" t="str">
        <f t="shared" si="1606"/>
        <v/>
      </c>
      <c r="Z131" s="51" t="str">
        <f t="shared" si="1607"/>
        <v/>
      </c>
      <c r="AA131" s="51" t="str">
        <f t="shared" si="1608"/>
        <v/>
      </c>
      <c r="AB131" s="51" t="str">
        <f t="shared" si="1609"/>
        <v/>
      </c>
      <c r="AC131" s="51" t="str">
        <f t="shared" si="1610"/>
        <v/>
      </c>
      <c r="AD131" s="51" t="str">
        <f t="shared" ref="AD131" si="1910">IF(AN131="","",AD123)</f>
        <v/>
      </c>
      <c r="AE131" s="51" t="str">
        <f t="shared" ref="AE131" si="1911">IF(AN131="","",AE123)</f>
        <v/>
      </c>
      <c r="AF131" s="51" t="str">
        <f t="shared" ref="AF131" si="1912">IF(AN131="","",AF123)</f>
        <v/>
      </c>
      <c r="AG131" s="51" t="str">
        <f t="shared" ref="AG131" si="1913">IF(AN131="","",AG123)</f>
        <v/>
      </c>
      <c r="AH131" s="51" t="str">
        <f t="shared" ref="AH131" si="1914">IF(AN131="","",AH123)</f>
        <v/>
      </c>
      <c r="AI131" s="69" t="str">
        <f t="shared" ref="AI131" si="1915">IF(AN131="","",AI123)</f>
        <v/>
      </c>
      <c r="AJ131" s="51" t="str">
        <f t="shared" ref="AJ131" si="1916">IF(AN131="","",AJ123)</f>
        <v/>
      </c>
      <c r="AK131" s="51" t="str">
        <f t="shared" ref="AK131" si="1917">IF(AN131="","",AK123)</f>
        <v/>
      </c>
      <c r="AL131" s="51" t="str">
        <f t="shared" ref="AL131" si="1918">IF(AN131="","",AL123)</f>
        <v/>
      </c>
      <c r="AM131" s="51" t="str">
        <f t="shared" ref="AM131" si="1919">IF(AN131="","",AM123)</f>
        <v/>
      </c>
      <c r="AN131" s="51" t="str">
        <f t="shared" ref="AN131" si="1920">IF(I131="","",AN123)</f>
        <v/>
      </c>
      <c r="AO131" s="51" t="str">
        <f t="shared" ref="AO131" si="1921">IF(I131="","",I131/AO120)</f>
        <v/>
      </c>
      <c r="AP131" s="51" t="str">
        <f t="shared" ref="AP131" si="1922">IF(AO131="","",AO131*AC131*AP120)</f>
        <v/>
      </c>
      <c r="AQ131" s="51" t="str">
        <f t="shared" si="1618"/>
        <v/>
      </c>
      <c r="AR131" s="26" t="str">
        <f t="shared" si="1619"/>
        <v/>
      </c>
      <c r="AS131" s="51" t="str">
        <f t="shared" ref="AS131" si="1923">IF(BL131="","",AS123)</f>
        <v/>
      </c>
      <c r="AT131" s="51" t="str">
        <f t="shared" ref="AT131" si="1924">IF(BL131="","",AT123)</f>
        <v/>
      </c>
      <c r="AU131" s="51" t="str">
        <f t="shared" ref="AU131" si="1925">IF(BL131="","",AU123)</f>
        <v/>
      </c>
      <c r="AV131" s="51" t="str">
        <f t="shared" ref="AV131" si="1926">IF(BL131="","",AV123)</f>
        <v/>
      </c>
      <c r="AW131" s="51" t="str">
        <f t="shared" ref="AW131" si="1927">IF(BL131="","",AW123)</f>
        <v/>
      </c>
      <c r="AX131" s="51" t="str">
        <f t="shared" ref="AX131" si="1928">IF(BL131="","",AX123)</f>
        <v/>
      </c>
      <c r="AY131" s="51" t="str">
        <f t="shared" ref="AY131" si="1929">IF(BL131="","",AY123)</f>
        <v/>
      </c>
      <c r="AZ131" s="51" t="str">
        <f t="shared" ref="AZ131" si="1930">IF(BL131="","",AZ123)</f>
        <v/>
      </c>
      <c r="BA131" s="51" t="str">
        <f t="shared" ref="BA131" si="1931">IF(BL131="","",BA123)</f>
        <v/>
      </c>
      <c r="BB131" s="51" t="str">
        <f t="shared" ref="BB131" si="1932">IF(BL131="","",BB123)</f>
        <v/>
      </c>
      <c r="BC131" s="51" t="str">
        <f t="shared" ref="BC131" si="1933">IF(BL131="","",BC123)</f>
        <v/>
      </c>
      <c r="BD131" s="51" t="str">
        <f t="shared" ref="BD131" si="1934">IF(BL131="","",BD123)</f>
        <v/>
      </c>
      <c r="BE131" s="51" t="str">
        <f t="shared" ref="BE131" si="1935">IF(BL131="","",BE123)</f>
        <v/>
      </c>
      <c r="BF131" s="51" t="str">
        <f t="shared" ref="BF131" si="1936">IF(BL131="","",BF123)</f>
        <v/>
      </c>
      <c r="BG131" s="51" t="str">
        <f t="shared" ref="BG131" si="1937">IF(BL131="","",BG123)</f>
        <v/>
      </c>
      <c r="BH131" s="51" t="str">
        <f t="shared" ref="BH131" si="1938">IF(BL131="","",BH123)</f>
        <v/>
      </c>
      <c r="BI131" s="51" t="str">
        <f t="shared" ref="BI131" si="1939">IF(BL131="","",BI123)</f>
        <v/>
      </c>
      <c r="BJ131" s="51" t="str">
        <f t="shared" ref="BJ131" si="1940">IF(BL131="","",BJ123)</f>
        <v/>
      </c>
      <c r="BK131" s="51" t="str">
        <f t="shared" ref="BK131" si="1941">IF(BL131="","",BK123)</f>
        <v/>
      </c>
      <c r="BL131" s="51" t="str">
        <f t="shared" ref="BL131" si="1942">IF(K131="","",BL123)</f>
        <v/>
      </c>
      <c r="BN131" s="1">
        <f t="shared" si="1592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943">IF(T127="","-",IF(T127="%",E117*R127/100,R127))</f>
        <v>-</v>
      </c>
      <c r="CG131" s="28" t="str">
        <f t="shared" si="1591"/>
        <v>0</v>
      </c>
      <c r="CY131" s="1">
        <f t="shared" ref="CY131" ca="1" si="194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671"/>
        <v>-</v>
      </c>
      <c r="DF131" s="1" t="str">
        <f t="shared" ref="DF131" ca="1" si="1945">IF(CY131=1,MAX(DE124:DE131),"-")</f>
        <v>-</v>
      </c>
      <c r="DG131" s="1">
        <f t="shared" si="1672"/>
        <v>8</v>
      </c>
      <c r="DH131" s="51">
        <f ca="1">HLOOKUP(CONCATENATE($CZ131,DH123),'Controle dos padrões'!$AB$96:$BY$116,CY123+1,FALSE)</f>
        <v>0</v>
      </c>
      <c r="DI131" s="1">
        <f t="shared" ca="1" si="1673"/>
        <v>0</v>
      </c>
      <c r="DJ131" s="1" t="str">
        <f t="shared" ref="DJ131" ca="1" si="194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674"/>
        <v>0</v>
      </c>
      <c r="DM131" s="1" t="str">
        <f t="shared" ref="DM131" ca="1" si="194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605"/>
        <v/>
      </c>
      <c r="I132" s="402"/>
      <c r="J132" s="402"/>
      <c r="K132" s="402"/>
      <c r="L132" s="402"/>
      <c r="M132" s="60" t="str">
        <f t="shared" si="1606"/>
        <v/>
      </c>
      <c r="Z132" s="51" t="str">
        <f t="shared" si="1607"/>
        <v/>
      </c>
      <c r="AA132" s="51" t="str">
        <f t="shared" si="1608"/>
        <v/>
      </c>
      <c r="AB132" s="51" t="str">
        <f t="shared" si="1609"/>
        <v/>
      </c>
      <c r="AC132" s="51" t="str">
        <f t="shared" si="1610"/>
        <v/>
      </c>
      <c r="AD132" s="51" t="str">
        <f t="shared" ref="AD132" si="1948">IF(AN132="","",AD123)</f>
        <v/>
      </c>
      <c r="AE132" s="51" t="str">
        <f t="shared" ref="AE132" si="1949">IF(AN132="","",AE123)</f>
        <v/>
      </c>
      <c r="AF132" s="51" t="str">
        <f t="shared" ref="AF132" si="1950">IF(AN132="","",AF123)</f>
        <v/>
      </c>
      <c r="AG132" s="51" t="str">
        <f t="shared" ref="AG132" si="1951">IF(AN132="","",AG123)</f>
        <v/>
      </c>
      <c r="AH132" s="51" t="str">
        <f t="shared" ref="AH132" si="1952">IF(AN132="","",AH123)</f>
        <v/>
      </c>
      <c r="AI132" s="69" t="str">
        <f t="shared" ref="AI132" si="1953">IF(AN132="","",AI123)</f>
        <v/>
      </c>
      <c r="AJ132" s="51" t="str">
        <f t="shared" ref="AJ132" si="1954">IF(AN132="","",AJ123)</f>
        <v/>
      </c>
      <c r="AK132" s="51" t="str">
        <f t="shared" ref="AK132" si="1955">IF(AN132="","",AK123)</f>
        <v/>
      </c>
      <c r="AL132" s="51" t="str">
        <f t="shared" ref="AL132" si="1956">IF(AN132="","",AL123)</f>
        <v/>
      </c>
      <c r="AM132" s="51" t="str">
        <f t="shared" ref="AM132" si="1957">IF(AN132="","",AM123)</f>
        <v/>
      </c>
      <c r="AN132" s="51" t="str">
        <f t="shared" ref="AN132" si="1958">IF(I132="","",AN123)</f>
        <v/>
      </c>
      <c r="AO132" s="51" t="str">
        <f t="shared" ref="AO132" si="1959">IF(I132="","",I132/AO120)</f>
        <v/>
      </c>
      <c r="AP132" s="51" t="str">
        <f t="shared" ref="AP132" si="1960">IF(AO132="","",AO132*AC132*AP120)</f>
        <v/>
      </c>
      <c r="AQ132" s="51" t="str">
        <f t="shared" si="1618"/>
        <v/>
      </c>
      <c r="AR132" s="26" t="str">
        <f t="shared" si="1619"/>
        <v/>
      </c>
      <c r="AS132" s="51" t="str">
        <f t="shared" ref="AS132" si="1961">IF(BL132="","",AS123)</f>
        <v/>
      </c>
      <c r="AT132" s="51" t="str">
        <f t="shared" ref="AT132" si="1962">IF(BL132="","",AT123)</f>
        <v/>
      </c>
      <c r="AU132" s="51" t="str">
        <f t="shared" ref="AU132" si="1963">IF(BL132="","",AU123)</f>
        <v/>
      </c>
      <c r="AV132" s="51" t="str">
        <f t="shared" ref="AV132" si="1964">IF(BL132="","",AV123)</f>
        <v/>
      </c>
      <c r="AW132" s="51" t="str">
        <f t="shared" ref="AW132" si="1965">IF(BL132="","",AW123)</f>
        <v/>
      </c>
      <c r="AX132" s="51" t="str">
        <f t="shared" ref="AX132" si="1966">IF(BL132="","",AX123)</f>
        <v/>
      </c>
      <c r="AY132" s="51" t="str">
        <f t="shared" ref="AY132" si="1967">IF(BL132="","",AY123)</f>
        <v/>
      </c>
      <c r="AZ132" s="51" t="str">
        <f t="shared" ref="AZ132" si="1968">IF(BL132="","",AZ123)</f>
        <v/>
      </c>
      <c r="BA132" s="51" t="str">
        <f t="shared" ref="BA132" si="1969">IF(BL132="","",BA123)</f>
        <v/>
      </c>
      <c r="BB132" s="51" t="str">
        <f t="shared" ref="BB132" si="1970">IF(BL132="","",BB123)</f>
        <v/>
      </c>
      <c r="BC132" s="51" t="str">
        <f t="shared" ref="BC132" si="1971">IF(BL132="","",BC123)</f>
        <v/>
      </c>
      <c r="BD132" s="51" t="str">
        <f t="shared" ref="BD132" si="1972">IF(BL132="","",BD123)</f>
        <v/>
      </c>
      <c r="BE132" s="51" t="str">
        <f t="shared" ref="BE132" si="1973">IF(BL132="","",BE123)</f>
        <v/>
      </c>
      <c r="BF132" s="51" t="str">
        <f t="shared" ref="BF132" si="1974">IF(BL132="","",BF123)</f>
        <v/>
      </c>
      <c r="BG132" s="51" t="str">
        <f t="shared" ref="BG132" si="1975">IF(BL132="","",BG123)</f>
        <v/>
      </c>
      <c r="BH132" s="51" t="str">
        <f t="shared" ref="BH132" si="1976">IF(BL132="","",BH123)</f>
        <v/>
      </c>
      <c r="BI132" s="51" t="str">
        <f t="shared" ref="BI132" si="1977">IF(BL132="","",BI123)</f>
        <v/>
      </c>
      <c r="BJ132" s="51" t="str">
        <f t="shared" ref="BJ132" si="1978">IF(BL132="","",BJ123)</f>
        <v/>
      </c>
      <c r="BK132" s="51" t="str">
        <f t="shared" ref="BK132" si="1979">IF(BL132="","",BK123)</f>
        <v/>
      </c>
      <c r="BL132" s="51" t="str">
        <f t="shared" ref="BL132" si="1980">IF(K132="","",BL123)</f>
        <v/>
      </c>
      <c r="BN132" s="1">
        <f t="shared" si="1592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1591"/>
        <v>0</v>
      </c>
      <c r="CY132" s="1">
        <f t="shared" ref="CY132" ca="1" si="198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671"/>
        <v>-</v>
      </c>
      <c r="DF132" s="1" t="str">
        <f t="shared" ref="DF132" ca="1" si="1982">IF(CY132=1,MAX(DE124:DE132),"-")</f>
        <v>-</v>
      </c>
      <c r="DG132" s="1">
        <f t="shared" si="1672"/>
        <v>9</v>
      </c>
      <c r="DH132" s="51">
        <f ca="1">HLOOKUP(CONCATENATE($CZ132,DH123),'Controle dos padrões'!$AB$96:$BY$116,CY123+1,FALSE)</f>
        <v>0</v>
      </c>
      <c r="DI132" s="1">
        <f t="shared" ca="1" si="1673"/>
        <v>0</v>
      </c>
      <c r="DJ132" s="1" t="str">
        <f t="shared" ref="DJ132" ca="1" si="198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674"/>
        <v>0</v>
      </c>
      <c r="DM132" s="1" t="str">
        <f t="shared" ref="DM132" ca="1" si="198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985">IF(AR134="","",ROUND(MAX(AR123:AR132)-MIN(AR123:AR132),AV123))</f>
        <v/>
      </c>
      <c r="AS133" s="28" t="str">
        <f t="shared" ref="AS133" si="1986">IF(AR133="","",IF(AR133&gt;0.3,1,0))</f>
        <v/>
      </c>
      <c r="BN133" s="1">
        <f t="shared" si="1592"/>
        <v>19</v>
      </c>
      <c r="CG133" s="28" t="str">
        <f t="shared" si="1591"/>
        <v>0</v>
      </c>
      <c r="CY133" s="1">
        <f t="shared" ref="CY133" ca="1" si="198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671"/>
        <v>-</v>
      </c>
      <c r="DF133" s="1" t="str">
        <f t="shared" ref="DF133" ca="1" si="1988">IF(CY133=1,MAX(DE124:DE133),"-")</f>
        <v>-</v>
      </c>
      <c r="DG133" s="1">
        <f t="shared" si="1672"/>
        <v>10</v>
      </c>
      <c r="DH133" s="51">
        <f ca="1">HLOOKUP(CONCATENATE($CZ133,DH123),'Controle dos padrões'!$AB$96:$BY$116,CY123+1,FALSE)</f>
        <v>0</v>
      </c>
      <c r="DI133" s="1">
        <f t="shared" ca="1" si="1673"/>
        <v>0</v>
      </c>
      <c r="DJ133" s="1" t="str">
        <f t="shared" ref="DJ133" ca="1" si="198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674"/>
        <v>0</v>
      </c>
      <c r="DM133" s="1" t="str">
        <f t="shared" ref="DM133" ca="1" si="199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991">IF(Z123="","",AVERAGE(Z123:Z132))</f>
        <v/>
      </c>
      <c r="AA134" s="51" t="str">
        <f t="shared" si="1991"/>
        <v/>
      </c>
      <c r="AB134" s="51" t="str">
        <f t="shared" si="1991"/>
        <v/>
      </c>
      <c r="AC134" s="51" t="str">
        <f t="shared" si="1991"/>
        <v/>
      </c>
      <c r="AO134" s="51" t="str">
        <f t="shared" ref="AO134" si="1992">IF(AO123="","",AVERAGE(AO123:AO132))</f>
        <v/>
      </c>
      <c r="AP134" s="51" t="str">
        <f t="shared" ref="AP134" si="1993">IFERROR(IF(AP123="","",AVERAGE(AP123:AP132)),"")</f>
        <v/>
      </c>
      <c r="AQ134" s="51" t="str">
        <f t="shared" ref="AQ134:AR134" si="1994">IF(AQ123="","",AVERAGE(AQ123:AQ132))</f>
        <v/>
      </c>
      <c r="AR134" s="51" t="str">
        <f t="shared" si="1994"/>
        <v/>
      </c>
      <c r="BN134" s="1">
        <f t="shared" si="1592"/>
        <v>20</v>
      </c>
      <c r="CG134" s="28" t="str">
        <f t="shared" si="1591"/>
        <v>0</v>
      </c>
      <c r="DA134" s="1">
        <f t="shared" ref="DA134" ca="1" si="1995">MAX(DA124:DA133)</f>
        <v>220</v>
      </c>
    </row>
    <row r="135" spans="1:117" s="192" customFormat="1" hidden="1" x14ac:dyDescent="0.3">
      <c r="CG135" s="194" t="str">
        <f t="shared" si="1591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>BM115+1</f>
        <v>7</v>
      </c>
      <c r="BN136" s="1">
        <v>1</v>
      </c>
      <c r="CG136" s="28" t="str">
        <f t="shared" ref="CG136" si="1996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>BN136+1</f>
        <v>2</v>
      </c>
      <c r="CG137" s="28" t="str">
        <f t="shared" ref="CG137:CG156" si="1997">CG136</f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ref="BN138:BN155" si="1998">BN137+1</f>
        <v>3</v>
      </c>
      <c r="CG138" s="28" t="str">
        <f t="shared" si="1997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999">IF(AP140&lt;=1,0,STDEV(AP144:AP153)/SQRT(AP140))</f>
        <v>0</v>
      </c>
      <c r="AQ139" s="51" t="s">
        <v>621</v>
      </c>
      <c r="BN139" s="1">
        <f t="shared" si="1998"/>
        <v>4</v>
      </c>
      <c r="CG139" s="28" t="str">
        <f t="shared" si="1997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2000">BZ149</f>
        <v>#N/A</v>
      </c>
      <c r="AP140" s="51">
        <f t="shared" ref="AP140" si="2001">COUNT(AP144:AP153)</f>
        <v>0</v>
      </c>
      <c r="AQ140" s="51" t="e">
        <f>VLOOKUP(CONCATENATE($A$2,".",BM136),'Evaporação do fluido'!$H$1:$L$84,5,FALSE)</f>
        <v>#VALUE!</v>
      </c>
      <c r="BN140" s="1">
        <f t="shared" si="1998"/>
        <v>5</v>
      </c>
      <c r="CG140" s="28" t="str">
        <f t="shared" si="1997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998"/>
        <v>6</v>
      </c>
      <c r="CG141" s="28" t="str">
        <f t="shared" si="1997"/>
        <v>0</v>
      </c>
      <c r="CZ141" s="1">
        <f>IF(DC143=0,0,IF(DC141&gt;DA155,1,0))</f>
        <v>0</v>
      </c>
      <c r="DA141" s="1" t="s">
        <v>665</v>
      </c>
      <c r="DC141" s="1">
        <f t="shared" ref="DC141" ca="1" si="2002">DC142+DC143</f>
        <v>2.67353</v>
      </c>
      <c r="DD141" s="1">
        <f ca="1">VLOOKUP(AH144,'Unidades de medida'!$I$2:$J$5,2,FALSE)</f>
        <v>1</v>
      </c>
      <c r="DE141" s="1">
        <f t="shared" ref="DE141" ca="1" si="2003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411" t="s">
        <v>295</v>
      </c>
      <c r="AE142" s="411"/>
      <c r="AF142" s="411"/>
      <c r="AG142" s="411"/>
      <c r="AH142" s="411"/>
      <c r="AI142" s="411"/>
      <c r="AJ142" s="411"/>
      <c r="AK142" s="411"/>
      <c r="AL142" s="411"/>
      <c r="AM142" s="411"/>
      <c r="AN142" s="411"/>
      <c r="AO142" s="62" t="s">
        <v>274</v>
      </c>
      <c r="AP142" s="62" t="s">
        <v>279</v>
      </c>
      <c r="AQ142" s="62" t="s">
        <v>280</v>
      </c>
      <c r="AR142" s="412" t="s">
        <v>289</v>
      </c>
      <c r="AS142" s="413" t="s">
        <v>290</v>
      </c>
      <c r="AT142" s="413"/>
      <c r="AU142" s="413"/>
      <c r="AV142" s="413"/>
      <c r="AW142" s="413"/>
      <c r="AX142" s="413"/>
      <c r="AY142" s="413"/>
      <c r="AZ142" s="413"/>
      <c r="BA142" s="413"/>
      <c r="BB142" s="413"/>
      <c r="BC142" s="413"/>
      <c r="BD142" s="413"/>
      <c r="BE142" s="413"/>
      <c r="BF142" s="413"/>
      <c r="BG142" s="413"/>
      <c r="BH142" s="413"/>
      <c r="BI142" s="413"/>
      <c r="BJ142" s="413"/>
      <c r="BK142" s="413"/>
      <c r="BL142" s="413"/>
      <c r="BN142" s="1">
        <f t="shared" si="1998"/>
        <v>7</v>
      </c>
      <c r="CG142" s="28" t="str">
        <f t="shared" si="1997"/>
        <v>0</v>
      </c>
      <c r="DA142" s="1" t="s">
        <v>664</v>
      </c>
      <c r="DC142" s="1">
        <f t="shared" ref="DC142" ca="1" si="2004">$Q$7*DE141</f>
        <v>2.67353</v>
      </c>
      <c r="DD142" s="1">
        <f>VLOOKUP($S$7,'Unidades de medida'!$I$2:$J$5,2,FALSE)</f>
        <v>1</v>
      </c>
      <c r="DE142" s="1">
        <f t="shared" ref="DE142" ca="1" si="2005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18">
        <f>Q122</f>
        <v>0</v>
      </c>
      <c r="R143" s="418"/>
      <c r="S143" s="418"/>
      <c r="T143" s="418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2006">G138</f>
        <v>µL</v>
      </c>
      <c r="AQ143" s="63" t="s">
        <v>281</v>
      </c>
      <c r="AR143" s="412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998"/>
        <v>8</v>
      </c>
      <c r="CG143" s="28" t="str">
        <f t="shared" si="1997"/>
        <v>0</v>
      </c>
      <c r="CZ143" s="1" t="s">
        <v>666</v>
      </c>
      <c r="DA143" s="1" t="s">
        <v>667</v>
      </c>
      <c r="DC143" s="1">
        <f t="shared" ref="DC143" si="2007">MAX(AO144:AO153)</f>
        <v>0</v>
      </c>
      <c r="DE143" s="320" t="s">
        <v>668</v>
      </c>
      <c r="DF143" s="320"/>
      <c r="DG143" s="320">
        <f t="shared" ref="DG143" ca="1" si="2008">VLOOKUP(DE142,CZ145:DD154,3,FALSE)</f>
        <v>3.0000000000000001E-5</v>
      </c>
      <c r="DH143" s="320">
        <f t="shared" ref="DH143" ca="1" si="2009">VLOOKUP(DE142,CZ145:DD154,4,FALSE)</f>
        <v>2</v>
      </c>
      <c r="DI143" s="320">
        <f t="shared" ref="DI143" ca="1" si="2010">VLOOKUP(DE142,CZ145:DD154,5,FALSE)</f>
        <v>1000000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>IF(E143="","",FIXED(ROUND(E138-E143,B146),B146,TRUE))</f>
        <v/>
      </c>
      <c r="F144" s="400"/>
      <c r="G144" s="1" t="str">
        <f>G143</f>
        <v/>
      </c>
      <c r="H144" s="51" t="str">
        <f t="shared" ref="H144:H153" si="2011">IF(I144="","",CONCATENATE(BN140-4,"ª"))</f>
        <v/>
      </c>
      <c r="I144" s="402"/>
      <c r="J144" s="402"/>
      <c r="K144" s="402"/>
      <c r="L144" s="402"/>
      <c r="M144" s="60" t="str">
        <f t="shared" ref="M144:M153" si="2012">IF(I144="","","°C")</f>
        <v/>
      </c>
      <c r="Q144" s="411" t="s">
        <v>481</v>
      </c>
      <c r="R144" s="411"/>
      <c r="S144" s="411" t="s">
        <v>482</v>
      </c>
      <c r="T144" s="411"/>
      <c r="Z144" s="51" t="str">
        <f t="shared" ref="Z144:Z153" si="2013">IF(AQ144="","",(1/(AQ144-$AU$5)))</f>
        <v/>
      </c>
      <c r="AA144" s="51" t="str">
        <f t="shared" ref="AA144:AA153" si="2014">IF(AQ144="","",1-($AU$5/$AU$6))</f>
        <v/>
      </c>
      <c r="AB144" s="51" t="str">
        <f t="shared" ref="AB144:AB153" si="2015">IF(AO144="","",(1-($AU$7*(AR144-20))))</f>
        <v/>
      </c>
      <c r="AC144" s="51" t="str">
        <f t="shared" ref="AC144:AC153" si="2016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2017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2018">IF(AF144="","",IF(AF144&gt;=1,0,LEN(AF144)-2))</f>
        <v>5</v>
      </c>
      <c r="AJ144" s="51">
        <f t="shared" ref="AJ144" ca="1" si="2019">IF($AN144="","",DM144)</f>
        <v>9.9999999996214228E-6</v>
      </c>
      <c r="AK144" s="51">
        <f t="shared" ref="AK144" ca="1" si="2020">IF($AN144="","",DG143)</f>
        <v>3.0000000000000001E-5</v>
      </c>
      <c r="AL144" s="51">
        <f t="shared" ref="AL144:AM144" ca="1" si="2021">IF(AK144="","",DH143)</f>
        <v>2</v>
      </c>
      <c r="AM144" s="51">
        <f t="shared" ca="1" si="2021"/>
        <v>1000000</v>
      </c>
      <c r="AN144" s="51">
        <f ca="1">IF(K138="","",IF(K138="","",VLOOKUP(K138,'Controle dos padrões'!$CV$97:$CW$116,2,FALSE)))</f>
        <v>9</v>
      </c>
      <c r="AO144" s="51" t="str">
        <f t="shared" ref="AO144" si="2022">IF(I144="","",I144/AO141)</f>
        <v/>
      </c>
      <c r="AP144" s="51" t="str">
        <f t="shared" ref="AP144" si="2023">IF(AO144="","",AO144*AC144*AP141)</f>
        <v/>
      </c>
      <c r="AQ144" s="51" t="str">
        <f t="shared" ref="AQ144:AQ153" si="2024">IF(AR144="","",(($AQ$7*AR144^5)+($AQ$6*AR144^4)+($AQ$5*AR144^3)+($AQ$4*AR144^2)+($AQ$3*AR144)+$AQ$2)/1000)</f>
        <v/>
      </c>
      <c r="AR144" s="26" t="str">
        <f t="shared" ref="AR144:AR153" si="2025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2026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2027">IF(BI144="","",2)</f>
        <v/>
      </c>
      <c r="BK144" s="51" t="str">
        <f t="shared" ref="BK144" si="2028">IF(BJ144="","",1000000)</f>
        <v/>
      </c>
      <c r="BL144" s="51" t="str">
        <f>IF(K144="","",IF(K139="","",VLOOKUP(K139,'Controle dos padrões'!$CV$74:$CW$93,2,FALSE)))</f>
        <v/>
      </c>
      <c r="BN144" s="1">
        <f t="shared" si="1998"/>
        <v>9</v>
      </c>
      <c r="BP144" s="1">
        <f t="shared" ref="BP144" si="2029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2030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1997"/>
        <v>0</v>
      </c>
      <c r="CY144" s="1">
        <f ca="1">VLOOKUP(CZ144,'Controle dos padrões'!$CW$97:$CX$116,2,FALSE)</f>
        <v>5</v>
      </c>
      <c r="CZ144" s="1">
        <f t="shared" ref="CZ144" ca="1" si="2031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2032">MAX(DF145:DF154)</f>
        <v>1.5E-5</v>
      </c>
      <c r="DH144" s="322" t="s">
        <v>674</v>
      </c>
      <c r="DI144" s="323" t="s">
        <v>675</v>
      </c>
      <c r="DJ144" s="320">
        <f t="shared" ref="DJ144" ca="1" si="2033">MAX(DJ145:DJ154)</f>
        <v>9.9999999996214228E-6</v>
      </c>
      <c r="DK144" s="322" t="s">
        <v>676</v>
      </c>
      <c r="DL144" s="320" t="s">
        <v>677</v>
      </c>
      <c r="DM144" s="320">
        <f t="shared" ref="DM144" ca="1" si="2034">MAX(DM145:DM154)</f>
        <v>9.9999999996214228E-6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R1'!$S$4:$W$163,2,FALSE))</f>
        <v/>
      </c>
      <c r="F145" s="400"/>
      <c r="G145" s="1" t="str">
        <f>G144</f>
        <v/>
      </c>
      <c r="H145" s="51" t="str">
        <f t="shared" si="2011"/>
        <v/>
      </c>
      <c r="I145" s="402"/>
      <c r="J145" s="402"/>
      <c r="K145" s="402"/>
      <c r="L145" s="402"/>
      <c r="M145" s="60" t="str">
        <f t="shared" si="2012"/>
        <v/>
      </c>
      <c r="O145" s="1" t="s">
        <v>477</v>
      </c>
      <c r="Q145" s="29" t="e">
        <f t="shared" ref="Q145" si="2035">HLOOKUP(Q143,BP151:BU153,2,FALSE)</f>
        <v>#N/A</v>
      </c>
      <c r="R145" s="30" t="str">
        <f t="shared" ref="R145" si="2036">G138</f>
        <v>µL</v>
      </c>
      <c r="S145" s="29" t="e">
        <f t="shared" ref="S145" si="2037">HLOOKUP(Q143,BP151:BU153,3,FALSE)</f>
        <v>#N/A</v>
      </c>
      <c r="T145" s="30" t="str">
        <f t="shared" ref="T145" si="2038">G138</f>
        <v>µL</v>
      </c>
      <c r="U145" s="61">
        <f t="shared" ref="U145" si="2039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2013"/>
        <v/>
      </c>
      <c r="AA145" s="51" t="str">
        <f t="shared" si="2014"/>
        <v/>
      </c>
      <c r="AB145" s="51" t="str">
        <f t="shared" si="2015"/>
        <v/>
      </c>
      <c r="AC145" s="51" t="str">
        <f t="shared" si="2016"/>
        <v/>
      </c>
      <c r="AD145" s="51" t="str">
        <f t="shared" ref="AD145" si="2040">IF(AN145="","",AD144)</f>
        <v/>
      </c>
      <c r="AE145" s="51" t="str">
        <f t="shared" ref="AE145" si="2041">IF(AN145="","",AE144)</f>
        <v/>
      </c>
      <c r="AF145" s="51" t="str">
        <f t="shared" ref="AF145" si="2042">IF(AN145="","",AF144)</f>
        <v/>
      </c>
      <c r="AG145" s="51" t="str">
        <f t="shared" ref="AG145" si="2043">IF(AN145="","",AG144)</f>
        <v/>
      </c>
      <c r="AH145" s="51" t="str">
        <f t="shared" ref="AH145" si="2044">IF(AN145="","",AH144)</f>
        <v/>
      </c>
      <c r="AI145" s="69" t="str">
        <f t="shared" ref="AI145" si="2045">IF(AN145="","",AI144)</f>
        <v/>
      </c>
      <c r="AJ145" s="51" t="str">
        <f t="shared" ref="AJ145" si="2046">IF(AN145="","",AJ144)</f>
        <v/>
      </c>
      <c r="AK145" s="51" t="str">
        <f t="shared" ref="AK145" si="2047">IF(AN145="","",AK144)</f>
        <v/>
      </c>
      <c r="AL145" s="51" t="str">
        <f t="shared" ref="AL145" si="2048">IF(AN145="","",AL144)</f>
        <v/>
      </c>
      <c r="AM145" s="51" t="str">
        <f t="shared" ref="AM145" si="2049">IF(AN145="","",AM144)</f>
        <v/>
      </c>
      <c r="AN145" s="51" t="str">
        <f t="shared" ref="AN145" si="2050">IF(I145="","",AN144)</f>
        <v/>
      </c>
      <c r="AO145" s="51" t="str">
        <f t="shared" ref="AO145" si="2051">IF(I145="","",I145/AO141)</f>
        <v/>
      </c>
      <c r="AP145" s="51" t="str">
        <f t="shared" ref="AP145" si="2052">IF(AO145="","",AO145*AC145*AP141)</f>
        <v/>
      </c>
      <c r="AQ145" s="51" t="str">
        <f t="shared" si="2024"/>
        <v/>
      </c>
      <c r="AR145" s="26" t="str">
        <f t="shared" si="2025"/>
        <v/>
      </c>
      <c r="AS145" s="51" t="str">
        <f t="shared" ref="AS145" si="2053">IF(BL145="","",AS144)</f>
        <v/>
      </c>
      <c r="AT145" s="51" t="str">
        <f t="shared" ref="AT145" si="2054">IF(BL145="","",AT144)</f>
        <v/>
      </c>
      <c r="AU145" s="51" t="str">
        <f t="shared" ref="AU145" si="2055">IF(BL145="","",AU144)</f>
        <v/>
      </c>
      <c r="AV145" s="51" t="str">
        <f t="shared" ref="AV145" si="2056">IF(BL145="","",AV144)</f>
        <v/>
      </c>
      <c r="AW145" s="51" t="str">
        <f t="shared" ref="AW145" si="2057">IF(BL145="","",AW144)</f>
        <v/>
      </c>
      <c r="AX145" s="51" t="str">
        <f t="shared" ref="AX145" si="2058">IF(BL145="","",AX144)</f>
        <v/>
      </c>
      <c r="AY145" s="51" t="str">
        <f t="shared" ref="AY145" si="2059">IF(BL145="","",AY144)</f>
        <v/>
      </c>
      <c r="AZ145" s="51" t="str">
        <f t="shared" ref="AZ145" si="2060">IF(BL145="","",AZ144)</f>
        <v/>
      </c>
      <c r="BA145" s="51" t="str">
        <f t="shared" ref="BA145" si="2061">IF(BL145="","",BA144)</f>
        <v/>
      </c>
      <c r="BB145" s="51" t="str">
        <f t="shared" ref="BB145" si="2062">IF(BL145="","",BB144)</f>
        <v/>
      </c>
      <c r="BC145" s="51" t="str">
        <f t="shared" ref="BC145" si="2063">IF(BL145="","",BC144)</f>
        <v/>
      </c>
      <c r="BD145" s="51" t="str">
        <f t="shared" ref="BD145" si="2064">IF(BL145="","",BD144)</f>
        <v/>
      </c>
      <c r="BE145" s="51" t="str">
        <f t="shared" ref="BE145" si="2065">IF(BL145="","",BE144)</f>
        <v/>
      </c>
      <c r="BF145" s="51" t="str">
        <f t="shared" ref="BF145" si="2066">IF(BL145="","",BF144)</f>
        <v/>
      </c>
      <c r="BG145" s="51" t="str">
        <f t="shared" ref="BG145" si="2067">IF(BL145="","",BG144)</f>
        <v/>
      </c>
      <c r="BH145" s="51" t="str">
        <f t="shared" ref="BH145" si="2068">IF(BL145="","",BH144)</f>
        <v/>
      </c>
      <c r="BI145" s="51" t="str">
        <f t="shared" ref="BI145" si="2069">IF(BL145="","",BI144)</f>
        <v/>
      </c>
      <c r="BJ145" s="51" t="str">
        <f t="shared" ref="BJ145" si="2070">IF(BL145="","",BJ144)</f>
        <v/>
      </c>
      <c r="BK145" s="51" t="str">
        <f t="shared" ref="BK145" si="2071">IF(BL145="","",BK144)</f>
        <v/>
      </c>
      <c r="BL145" s="51" t="str">
        <f t="shared" ref="BL145" si="2072">IF(K145="","",BL144)</f>
        <v/>
      </c>
      <c r="BN145" s="1">
        <f t="shared" si="1998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2073">IF(OR(BZ144&lt;BR145,BZ144&gt;BS145),0,1)</f>
        <v>#VALUE!</v>
      </c>
      <c r="BW145" s="1">
        <f t="shared" ref="BW145:BW147" si="2074">BP145</f>
        <v>1</v>
      </c>
      <c r="BY145" s="1" t="s">
        <v>431</v>
      </c>
      <c r="BZ145" s="1" t="str">
        <f t="shared" ref="BZ145" si="2075">AP155</f>
        <v/>
      </c>
      <c r="CA145" s="1" t="str">
        <f t="shared" ref="CA145" si="2076">AP143</f>
        <v>µL</v>
      </c>
      <c r="CB145" s="1">
        <f>VLOOKUP(CA145,'Unidades de medida'!$A$2:$B$9,2,FALSE)</f>
        <v>1000</v>
      </c>
      <c r="CG145" s="28" t="str">
        <f t="shared" si="1997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2077">IF(DB145="-","-",DB145/DC145)</f>
        <v>9.9009900990099013E-6</v>
      </c>
      <c r="DG145" s="1">
        <f t="shared" ref="DG145:DG154" si="2078">CZ145</f>
        <v>1</v>
      </c>
      <c r="DH145" s="51">
        <f ca="1">HLOOKUP(CONCATENATE($CZ145,DH144),'Controle dos padrões'!$AB$96:$BY$116,CY144+1,FALSE)</f>
        <v>0</v>
      </c>
      <c r="DI145" s="1">
        <f t="shared" ref="DI145" ca="1" si="2079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2080">ABS(DK145)</f>
        <v>0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R1'!$S$4:$W$163,5,FALSE),"")</f>
        <v/>
      </c>
      <c r="C146" s="190">
        <f>IF(E139="",0,IF(E139&gt;=1,0,LEN(E139)-2))</f>
        <v>0</v>
      </c>
      <c r="D146" s="68" t="s">
        <v>614</v>
      </c>
      <c r="E146" s="400" t="str">
        <f>IF(E144="","",VLOOKUP(BM136,'Incerteza - R1'!$S$4:$W$163,3,FALSE))</f>
        <v/>
      </c>
      <c r="F146" s="400"/>
      <c r="H146" s="51" t="str">
        <f t="shared" si="2011"/>
        <v/>
      </c>
      <c r="I146" s="402"/>
      <c r="J146" s="402"/>
      <c r="K146" s="402"/>
      <c r="L146" s="402"/>
      <c r="M146" s="60" t="str">
        <f t="shared" si="2012"/>
        <v/>
      </c>
      <c r="O146" s="417" t="s">
        <v>485</v>
      </c>
      <c r="P146" s="417"/>
      <c r="Q146" s="411" t="e">
        <f t="shared" ref="Q146" si="2081">IF(Q145="-","-",IF(U146&lt;=Q145,"Aprovado",IF(U146&gt;Q145,"Reprovado","")))</f>
        <v>#N/A</v>
      </c>
      <c r="R146" s="411"/>
      <c r="S146" s="411" t="e">
        <f t="shared" ref="S146" si="2082">IF(S145="-","-",IF(X146&lt;=S145,"Aprovado",IF(X146&gt;S145,"Reprovado","")))</f>
        <v>#N/A</v>
      </c>
      <c r="T146" s="411"/>
      <c r="U146" s="61" t="e">
        <f t="shared" ref="U146" si="2083">HLOOKUP(U145,V145:W146,2,FALSE)</f>
        <v>#VALUE!</v>
      </c>
      <c r="V146" s="61" t="e">
        <f t="shared" ref="V146" si="2084">ABS(E144*1)</f>
        <v>#VALUE!</v>
      </c>
      <c r="W146" s="61" t="e">
        <f t="shared" ref="W146" si="2085">ABS(E144*1)+(E145*1)</f>
        <v>#VALUE!</v>
      </c>
      <c r="X146" s="61">
        <f t="shared" ref="X146" si="2086">MAX(AP144:AP153)-MIN(AP144:AP153)</f>
        <v>0</v>
      </c>
      <c r="Z146" s="51" t="str">
        <f t="shared" si="2013"/>
        <v/>
      </c>
      <c r="AA146" s="51" t="str">
        <f t="shared" si="2014"/>
        <v/>
      </c>
      <c r="AB146" s="51" t="str">
        <f t="shared" si="2015"/>
        <v/>
      </c>
      <c r="AC146" s="51" t="str">
        <f t="shared" si="2016"/>
        <v/>
      </c>
      <c r="AD146" s="51" t="str">
        <f t="shared" ref="AD146" si="2087">IF(AN146="","",AD144)</f>
        <v/>
      </c>
      <c r="AE146" s="51" t="str">
        <f t="shared" ref="AE146" si="2088">IF(AN146="","",AE144)</f>
        <v/>
      </c>
      <c r="AF146" s="51" t="str">
        <f t="shared" ref="AF146" si="2089">IF(AN146="","",AF144)</f>
        <v/>
      </c>
      <c r="AG146" s="51" t="str">
        <f t="shared" ref="AG146" si="2090">IF(AN146="","",AG144)</f>
        <v/>
      </c>
      <c r="AH146" s="51" t="str">
        <f t="shared" ref="AH146" si="2091">IF(AN146="","",AH144)</f>
        <v/>
      </c>
      <c r="AI146" s="69" t="str">
        <f t="shared" ref="AI146" si="2092">IF(AN146="","",AI144)</f>
        <v/>
      </c>
      <c r="AJ146" s="51" t="str">
        <f t="shared" ref="AJ146" si="2093">IF(AN146="","",AJ144)</f>
        <v/>
      </c>
      <c r="AK146" s="51" t="str">
        <f t="shared" ref="AK146" si="2094">IF(AN146="","",AK144)</f>
        <v/>
      </c>
      <c r="AL146" s="51" t="str">
        <f t="shared" ref="AL146" si="2095">IF(AN146="","",AL144)</f>
        <v/>
      </c>
      <c r="AM146" s="51" t="str">
        <f t="shared" ref="AM146" si="2096">IF(AN146="","",AM144)</f>
        <v/>
      </c>
      <c r="AN146" s="51" t="str">
        <f t="shared" ref="AN146" si="2097">IF(I146="","",AN144)</f>
        <v/>
      </c>
      <c r="AO146" s="51" t="str">
        <f t="shared" ref="AO146" si="2098">IF(I146="","",I146/AO141)</f>
        <v/>
      </c>
      <c r="AP146" s="51" t="str">
        <f t="shared" ref="AP146" si="2099">IF(AO146="","",AO146*AC146*AP141)</f>
        <v/>
      </c>
      <c r="AQ146" s="51" t="str">
        <f t="shared" si="2024"/>
        <v/>
      </c>
      <c r="AR146" s="26" t="str">
        <f t="shared" si="2025"/>
        <v/>
      </c>
      <c r="AS146" s="51" t="str">
        <f t="shared" ref="AS146" si="2100">IF(BL146="","",AS144)</f>
        <v/>
      </c>
      <c r="AT146" s="51" t="str">
        <f t="shared" ref="AT146" si="2101">IF(BL146="","",AT144)</f>
        <v/>
      </c>
      <c r="AU146" s="51" t="str">
        <f t="shared" ref="AU146" si="2102">IF(BL146="","",AU144)</f>
        <v/>
      </c>
      <c r="AV146" s="51" t="str">
        <f t="shared" ref="AV146" si="2103">IF(BL146="","",AV144)</f>
        <v/>
      </c>
      <c r="AW146" s="51" t="str">
        <f t="shared" ref="AW146" si="2104">IF(BL146="","",AW144)</f>
        <v/>
      </c>
      <c r="AX146" s="51" t="str">
        <f t="shared" ref="AX146" si="2105">IF(BL146="","",AX144)</f>
        <v/>
      </c>
      <c r="AY146" s="51" t="str">
        <f t="shared" ref="AY146" si="2106">IF(BL146="","",AY144)</f>
        <v/>
      </c>
      <c r="AZ146" s="51" t="str">
        <f t="shared" ref="AZ146" si="2107">IF(BL146="","",AZ144)</f>
        <v/>
      </c>
      <c r="BA146" s="51" t="str">
        <f t="shared" ref="BA146" si="2108">IF(BL146="","",BA144)</f>
        <v/>
      </c>
      <c r="BB146" s="51" t="str">
        <f t="shared" ref="BB146" si="2109">IF(BL146="","",BB144)</f>
        <v/>
      </c>
      <c r="BC146" s="51" t="str">
        <f t="shared" ref="BC146" si="2110">IF(BL146="","",BC144)</f>
        <v/>
      </c>
      <c r="BD146" s="51" t="str">
        <f t="shared" ref="BD146" si="2111">IF(BL146="","",BD144)</f>
        <v/>
      </c>
      <c r="BE146" s="51" t="str">
        <f t="shared" ref="BE146" si="2112">IF(BL146="","",BE144)</f>
        <v/>
      </c>
      <c r="BF146" s="51" t="str">
        <f t="shared" ref="BF146" si="2113">IF(BL146="","",BF144)</f>
        <v/>
      </c>
      <c r="BG146" s="51" t="str">
        <f t="shared" ref="BG146" si="2114">IF(BL146="","",BG144)</f>
        <v/>
      </c>
      <c r="BH146" s="51" t="str">
        <f t="shared" ref="BH146" si="2115">IF(BL146="","",BH144)</f>
        <v/>
      </c>
      <c r="BI146" s="51" t="str">
        <f t="shared" ref="BI146" si="2116">IF(BL146="","",BI144)</f>
        <v/>
      </c>
      <c r="BJ146" s="51" t="str">
        <f t="shared" ref="BJ146" si="2117">IF(BL146="","",BJ144)</f>
        <v/>
      </c>
      <c r="BK146" s="51" t="str">
        <f t="shared" ref="BK146" si="2118">IF(BL146="","",BK144)</f>
        <v/>
      </c>
      <c r="BL146" s="51" t="str">
        <f t="shared" ref="BL146" si="2119">IF(K146="","",BL144)</f>
        <v/>
      </c>
      <c r="BN146" s="1">
        <f t="shared" si="1998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2120">IF(OR(BZ144&lt;BR146,BZ144&gt;BS146),0,1)</f>
        <v>#VALUE!</v>
      </c>
      <c r="BW146" s="1">
        <f t="shared" si="2074"/>
        <v>2</v>
      </c>
      <c r="CB146" s="1">
        <f t="shared" ref="CB146" si="2121">CB144/CB145</f>
        <v>1E-3</v>
      </c>
      <c r="CG146" s="28" t="str">
        <f t="shared" si="1997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2077"/>
        <v>1.0000000000000001E-5</v>
      </c>
      <c r="DG146" s="1">
        <f t="shared" si="2078"/>
        <v>2</v>
      </c>
      <c r="DH146" s="51">
        <f ca="1">HLOOKUP(CONCATENATE($CZ146,DH144),'Controle dos padrões'!$AB$96:$BY$116,CY144+1,FALSE)</f>
        <v>0</v>
      </c>
      <c r="DI146" s="1">
        <f t="shared" ca="1" si="1673"/>
        <v>0</v>
      </c>
      <c r="DK146" s="51">
        <f ca="1">HLOOKUP(CONCATENATE($CZ146,DK144),'Controle dos padrões'!$AB$96:$CI$116,CY144+1,FALSE)</f>
        <v>0</v>
      </c>
      <c r="DL146" s="1">
        <f t="shared" ca="1" si="1674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R1'!$S$4:$W$163,4,FALSE))</f>
        <v/>
      </c>
      <c r="F147" s="400"/>
      <c r="H147" s="51" t="str">
        <f t="shared" si="2011"/>
        <v/>
      </c>
      <c r="I147" s="402"/>
      <c r="J147" s="402"/>
      <c r="K147" s="402"/>
      <c r="L147" s="402"/>
      <c r="M147" s="60" t="str">
        <f t="shared" si="2012"/>
        <v/>
      </c>
      <c r="Z147" s="51" t="str">
        <f t="shared" si="2013"/>
        <v/>
      </c>
      <c r="AA147" s="51" t="str">
        <f t="shared" si="2014"/>
        <v/>
      </c>
      <c r="AB147" s="51" t="str">
        <f t="shared" si="2015"/>
        <v/>
      </c>
      <c r="AC147" s="51" t="str">
        <f t="shared" si="2016"/>
        <v/>
      </c>
      <c r="AD147" s="51" t="str">
        <f t="shared" ref="AD147" si="2122">IF(AN147="","",AD144)</f>
        <v/>
      </c>
      <c r="AE147" s="51" t="str">
        <f t="shared" ref="AE147" si="2123">IF(AN147="","",AE144)</f>
        <v/>
      </c>
      <c r="AF147" s="51" t="str">
        <f t="shared" ref="AF147" si="2124">IF(AN147="","",AF144)</f>
        <v/>
      </c>
      <c r="AG147" s="51" t="str">
        <f t="shared" ref="AG147" si="2125">IF(AN147="","",AG144)</f>
        <v/>
      </c>
      <c r="AH147" s="51" t="str">
        <f t="shared" ref="AH147" si="2126">IF(AN147="","",AH144)</f>
        <v/>
      </c>
      <c r="AI147" s="69" t="str">
        <f t="shared" ref="AI147" si="2127">IF(AN147="","",AI144)</f>
        <v/>
      </c>
      <c r="AJ147" s="51" t="str">
        <f t="shared" ref="AJ147" si="2128">IF(AN147="","",AJ144)</f>
        <v/>
      </c>
      <c r="AK147" s="51" t="str">
        <f t="shared" ref="AK147" si="2129">IF(AN147="","",AK144)</f>
        <v/>
      </c>
      <c r="AL147" s="51" t="str">
        <f t="shared" ref="AL147" si="2130">IF(AN147="","",AL144)</f>
        <v/>
      </c>
      <c r="AM147" s="51" t="str">
        <f t="shared" ref="AM147" si="2131">IF(AN147="","",AM144)</f>
        <v/>
      </c>
      <c r="AN147" s="51" t="str">
        <f t="shared" ref="AN147" si="2132">IF(I147="","",AN144)</f>
        <v/>
      </c>
      <c r="AO147" s="51" t="str">
        <f t="shared" ref="AO147" si="2133">IF(I147="","",I147/AO141)</f>
        <v/>
      </c>
      <c r="AP147" s="51" t="str">
        <f t="shared" ref="AP147" si="2134">IF(AO147="","",AO147*AC147*AP141)</f>
        <v/>
      </c>
      <c r="AQ147" s="51" t="str">
        <f t="shared" si="2024"/>
        <v/>
      </c>
      <c r="AR147" s="26" t="str">
        <f t="shared" si="2025"/>
        <v/>
      </c>
      <c r="AS147" s="51" t="str">
        <f t="shared" ref="AS147" si="2135">IF(BL147="","",AS144)</f>
        <v/>
      </c>
      <c r="AT147" s="51" t="str">
        <f t="shared" ref="AT147" si="2136">IF(BL147="","",AT144)</f>
        <v/>
      </c>
      <c r="AU147" s="51" t="str">
        <f t="shared" ref="AU147" si="2137">IF(BL147="","",AU144)</f>
        <v/>
      </c>
      <c r="AV147" s="51" t="str">
        <f t="shared" ref="AV147" si="2138">IF(BL147="","",AV144)</f>
        <v/>
      </c>
      <c r="AW147" s="51" t="str">
        <f t="shared" ref="AW147" si="2139">IF(BL147="","",AW144)</f>
        <v/>
      </c>
      <c r="AX147" s="51" t="str">
        <f t="shared" ref="AX147" si="2140">IF(BL147="","",AX144)</f>
        <v/>
      </c>
      <c r="AY147" s="51" t="str">
        <f t="shared" ref="AY147" si="2141">IF(BL147="","",AY144)</f>
        <v/>
      </c>
      <c r="AZ147" s="51" t="str">
        <f t="shared" ref="AZ147" si="2142">IF(BL147="","",AZ144)</f>
        <v/>
      </c>
      <c r="BA147" s="51" t="str">
        <f t="shared" ref="BA147" si="2143">IF(BL147="","",BA144)</f>
        <v/>
      </c>
      <c r="BB147" s="51" t="str">
        <f t="shared" ref="BB147" si="2144">IF(BL147="","",BB144)</f>
        <v/>
      </c>
      <c r="BC147" s="51" t="str">
        <f t="shared" ref="BC147" si="2145">IF(BL147="","",BC144)</f>
        <v/>
      </c>
      <c r="BD147" s="51" t="str">
        <f t="shared" ref="BD147" si="2146">IF(BL147="","",BD144)</f>
        <v/>
      </c>
      <c r="BE147" s="51" t="str">
        <f t="shared" ref="BE147" si="2147">IF(BL147="","",BE144)</f>
        <v/>
      </c>
      <c r="BF147" s="51" t="str">
        <f t="shared" ref="BF147" si="2148">IF(BL147="","",BF144)</f>
        <v/>
      </c>
      <c r="BG147" s="51" t="str">
        <f t="shared" ref="BG147" si="2149">IF(BL147="","",BG144)</f>
        <v/>
      </c>
      <c r="BH147" s="51" t="str">
        <f t="shared" ref="BH147" si="2150">IF(BL147="","",BH144)</f>
        <v/>
      </c>
      <c r="BI147" s="51" t="str">
        <f t="shared" ref="BI147" si="2151">IF(BL147="","",BI144)</f>
        <v/>
      </c>
      <c r="BJ147" s="51" t="str">
        <f t="shared" ref="BJ147" si="2152">IF(BL147="","",BJ144)</f>
        <v/>
      </c>
      <c r="BK147" s="51" t="str">
        <f t="shared" ref="BK147" si="2153">IF(BL147="","",BK144)</f>
        <v/>
      </c>
      <c r="BL147" s="51" t="str">
        <f t="shared" ref="BL147" si="2154">IF(K147="","",BL144)</f>
        <v/>
      </c>
      <c r="BN147" s="1">
        <f t="shared" si="1998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2155">IF(OR(BZ144&lt;BR147,BZ144&gt;BS147),0,1)</f>
        <v>#VALUE!</v>
      </c>
      <c r="BW147" s="1">
        <f t="shared" si="2074"/>
        <v>3</v>
      </c>
      <c r="BY147" s="51" t="s">
        <v>39</v>
      </c>
      <c r="BZ147" s="51" t="e">
        <f t="shared" ref="BZ147" si="2156">VLOOKUP(VLOOKUP(1,BV145:BW147,2,FALSE),BP145:BU147,5,FALSE)</f>
        <v>#N/A</v>
      </c>
      <c r="CA147" s="51" t="e">
        <f t="shared" ref="CA147" si="2157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1997"/>
        <v>0</v>
      </c>
      <c r="CY147" s="1">
        <f t="shared" ref="CY147" ca="1" si="2158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2077"/>
        <v>1.5E-5</v>
      </c>
      <c r="DF147" s="1">
        <f t="shared" ref="DF147" ca="1" si="2159">IF(CY147=1,MAX(DE145:DE147),"-")</f>
        <v>1.5E-5</v>
      </c>
      <c r="DG147" s="1">
        <f t="shared" si="2078"/>
        <v>3</v>
      </c>
      <c r="DH147" s="51">
        <f ca="1">HLOOKUP(CONCATENATE($CZ147,DH144),'Controle dos padrões'!$AB$96:$BY$116,CY144+1,FALSE)</f>
        <v>9.9999999996214228E-6</v>
      </c>
      <c r="DI147" s="1">
        <f t="shared" ca="1" si="1673"/>
        <v>9.9999999996214228E-6</v>
      </c>
      <c r="DJ147" s="1">
        <f t="shared" ref="DJ147" ca="1" si="2160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674"/>
        <v>9.9999999996214228E-6</v>
      </c>
      <c r="DM147" s="1">
        <f t="shared" ref="DM147" ca="1" si="2161">IF(CY147=1,MAX(DL145:DL147),"-")</f>
        <v>9.9999999996214228E-6</v>
      </c>
    </row>
    <row r="148" spans="1:117" hidden="1" x14ac:dyDescent="0.3">
      <c r="A148" s="61" t="str">
        <f>CONCATENATE(BM136,".",BN148)</f>
        <v>7.13</v>
      </c>
      <c r="H148" s="51" t="str">
        <f t="shared" si="2011"/>
        <v/>
      </c>
      <c r="I148" s="402"/>
      <c r="J148" s="402"/>
      <c r="K148" s="402"/>
      <c r="L148" s="402"/>
      <c r="M148" s="60" t="str">
        <f t="shared" si="2012"/>
        <v/>
      </c>
      <c r="O148" s="1" t="str">
        <f t="shared" ref="O148" si="2162">IF(Q143=BU151,"Critério cliente :","")</f>
        <v/>
      </c>
      <c r="R148" s="408"/>
      <c r="S148" s="410"/>
      <c r="T148" s="195"/>
      <c r="Z148" s="51" t="str">
        <f t="shared" si="2013"/>
        <v/>
      </c>
      <c r="AA148" s="51" t="str">
        <f t="shared" si="2014"/>
        <v/>
      </c>
      <c r="AB148" s="51" t="str">
        <f t="shared" si="2015"/>
        <v/>
      </c>
      <c r="AC148" s="51" t="str">
        <f t="shared" si="2016"/>
        <v/>
      </c>
      <c r="AD148" s="51" t="str">
        <f t="shared" ref="AD148" si="2163">IF(AN148="","",AD144)</f>
        <v/>
      </c>
      <c r="AE148" s="51" t="str">
        <f t="shared" ref="AE148" si="2164">IF(AN148="","",AE144)</f>
        <v/>
      </c>
      <c r="AF148" s="51" t="str">
        <f t="shared" ref="AF148" si="2165">IF(AN148="","",AF144)</f>
        <v/>
      </c>
      <c r="AG148" s="51" t="str">
        <f t="shared" ref="AG148" si="2166">IF(AN148="","",AG144)</f>
        <v/>
      </c>
      <c r="AH148" s="51" t="str">
        <f t="shared" ref="AH148" si="2167">IF(AN148="","",AH144)</f>
        <v/>
      </c>
      <c r="AI148" s="69" t="str">
        <f t="shared" ref="AI148" si="2168">IF(AN148="","",AI144)</f>
        <v/>
      </c>
      <c r="AJ148" s="51" t="str">
        <f t="shared" ref="AJ148" si="2169">IF(AN148="","",AJ144)</f>
        <v/>
      </c>
      <c r="AK148" s="51" t="str">
        <f t="shared" ref="AK148" si="2170">IF(AN148="","",AK144)</f>
        <v/>
      </c>
      <c r="AL148" s="51" t="str">
        <f t="shared" ref="AL148" si="2171">IF(AN148="","",AL144)</f>
        <v/>
      </c>
      <c r="AM148" s="51" t="str">
        <f t="shared" ref="AM148" si="2172">IF(AN148="","",AM144)</f>
        <v/>
      </c>
      <c r="AN148" s="51" t="str">
        <f t="shared" ref="AN148" si="2173">IF(I148="","",AN144)</f>
        <v/>
      </c>
      <c r="AO148" s="51" t="str">
        <f t="shared" ref="AO148" si="2174">IF(I148="","",I148/AO141)</f>
        <v/>
      </c>
      <c r="AP148" s="51" t="str">
        <f t="shared" ref="AP148" si="2175">IF(AO148="","",AO148*AC148*AP141)</f>
        <v/>
      </c>
      <c r="AQ148" s="51" t="str">
        <f t="shared" si="2024"/>
        <v/>
      </c>
      <c r="AR148" s="26" t="str">
        <f t="shared" si="2025"/>
        <v/>
      </c>
      <c r="AS148" s="51" t="str">
        <f t="shared" ref="AS148" si="2176">IF(BL148="","",AS144)</f>
        <v/>
      </c>
      <c r="AT148" s="51" t="str">
        <f t="shared" ref="AT148" si="2177">IF(BL148="","",AT144)</f>
        <v/>
      </c>
      <c r="AU148" s="51" t="str">
        <f t="shared" ref="AU148" si="2178">IF(BL148="","",AU144)</f>
        <v/>
      </c>
      <c r="AV148" s="51" t="str">
        <f t="shared" ref="AV148" si="2179">IF(BL148="","",AV144)</f>
        <v/>
      </c>
      <c r="AW148" s="51" t="str">
        <f t="shared" ref="AW148" si="2180">IF(BL148="","",AW144)</f>
        <v/>
      </c>
      <c r="AX148" s="51" t="str">
        <f t="shared" ref="AX148" si="2181">IF(BL148="","",AX144)</f>
        <v/>
      </c>
      <c r="AY148" s="51" t="str">
        <f t="shared" ref="AY148" si="2182">IF(BL148="","",AY144)</f>
        <v/>
      </c>
      <c r="AZ148" s="51" t="str">
        <f t="shared" ref="AZ148" si="2183">IF(BL148="","",AZ144)</f>
        <v/>
      </c>
      <c r="BA148" s="51" t="str">
        <f t="shared" ref="BA148" si="2184">IF(BL148="","",BA144)</f>
        <v/>
      </c>
      <c r="BB148" s="51" t="str">
        <f t="shared" ref="BB148" si="2185">IF(BL148="","",BB144)</f>
        <v/>
      </c>
      <c r="BC148" s="51" t="str">
        <f t="shared" ref="BC148" si="2186">IF(BL148="","",BC144)</f>
        <v/>
      </c>
      <c r="BD148" s="51" t="str">
        <f t="shared" ref="BD148" si="2187">IF(BL148="","",BD144)</f>
        <v/>
      </c>
      <c r="BE148" s="51" t="str">
        <f t="shared" ref="BE148" si="2188">IF(BL148="","",BE144)</f>
        <v/>
      </c>
      <c r="BF148" s="51" t="str">
        <f t="shared" ref="BF148" si="2189">IF(BL148="","",BF144)</f>
        <v/>
      </c>
      <c r="BG148" s="51" t="str">
        <f t="shared" ref="BG148" si="2190">IF(BL148="","",BG144)</f>
        <v/>
      </c>
      <c r="BH148" s="51" t="str">
        <f t="shared" ref="BH148" si="2191">IF(BL148="","",BH144)</f>
        <v/>
      </c>
      <c r="BI148" s="51" t="str">
        <f t="shared" ref="BI148" si="2192">IF(BL148="","",BI144)</f>
        <v/>
      </c>
      <c r="BJ148" s="51" t="str">
        <f t="shared" ref="BJ148" si="2193">IF(BL148="","",BJ144)</f>
        <v/>
      </c>
      <c r="BK148" s="51" t="str">
        <f t="shared" ref="BK148" si="2194">IF(BL148="","",BK144)</f>
        <v/>
      </c>
      <c r="BL148" s="51" t="str">
        <f t="shared" ref="BL148" si="2195">IF(K148="","",BL144)</f>
        <v/>
      </c>
      <c r="BN148" s="1">
        <f t="shared" si="1998"/>
        <v>13</v>
      </c>
      <c r="CB148" s="1" t="e">
        <f t="shared" ref="CB148" si="2196">CB145/CB147</f>
        <v>#N/A</v>
      </c>
      <c r="CG148" s="28" t="str">
        <f t="shared" si="1997"/>
        <v>0</v>
      </c>
      <c r="CY148" s="1">
        <f t="shared" ref="CY148" ca="1" si="2197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2077"/>
        <v>7.4999999999999993E-5</v>
      </c>
      <c r="DF148" s="1" t="str">
        <f t="shared" ref="DF148" ca="1" si="2198">IF(CY148=1,MAX(DE145:DE148),"-")</f>
        <v>-</v>
      </c>
      <c r="DG148" s="1">
        <f t="shared" si="2078"/>
        <v>4</v>
      </c>
      <c r="DH148" s="51">
        <f ca="1">HLOOKUP(CONCATENATE($CZ148,DH144),'Controle dos padrões'!$AB$96:$BY$116,CY144+1,FALSE)</f>
        <v>1.0000000003174137E-5</v>
      </c>
      <c r="DI148" s="1">
        <f t="shared" ca="1" si="1673"/>
        <v>1.0000000003174137E-5</v>
      </c>
      <c r="DJ148" s="1" t="str">
        <f t="shared" ref="DJ148" ca="1" si="2199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674"/>
        <v>0</v>
      </c>
      <c r="DM148" s="1" t="str">
        <f t="shared" ref="DM148" ca="1" si="2200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2011"/>
        <v/>
      </c>
      <c r="I149" s="402"/>
      <c r="J149" s="402"/>
      <c r="K149" s="402"/>
      <c r="L149" s="402"/>
      <c r="M149" s="60" t="str">
        <f t="shared" si="2012"/>
        <v/>
      </c>
      <c r="O149" s="1" t="str">
        <f t="shared" ref="O149" si="2201">IF(OR(K139="",K144=""),"","Temp. média corrigida:")</f>
        <v/>
      </c>
      <c r="S149" s="400" t="str">
        <f>IF(OR(K139="",K144=""),"",IF(COUNT(K144:L153)&lt;1,"",CONCATENATE(FIXED(AR155,AV144)," ",M144)))</f>
        <v/>
      </c>
      <c r="T149" s="400"/>
      <c r="Z149" s="51" t="str">
        <f t="shared" si="2013"/>
        <v/>
      </c>
      <c r="AA149" s="51" t="str">
        <f t="shared" si="2014"/>
        <v/>
      </c>
      <c r="AB149" s="51" t="str">
        <f t="shared" si="2015"/>
        <v/>
      </c>
      <c r="AC149" s="51" t="str">
        <f t="shared" si="2016"/>
        <v/>
      </c>
      <c r="AD149" s="51" t="str">
        <f t="shared" ref="AD149" si="2202">IF(AN149="","",AD144)</f>
        <v/>
      </c>
      <c r="AE149" s="51" t="str">
        <f t="shared" ref="AE149" si="2203">IF(AN149="","",AE144)</f>
        <v/>
      </c>
      <c r="AF149" s="51" t="str">
        <f t="shared" ref="AF149" si="2204">IF(AN149="","",AF144)</f>
        <v/>
      </c>
      <c r="AG149" s="51" t="str">
        <f t="shared" ref="AG149" si="2205">IF(AN149="","",AG144)</f>
        <v/>
      </c>
      <c r="AH149" s="51" t="str">
        <f t="shared" ref="AH149" si="2206">IF(AN149="","",AH144)</f>
        <v/>
      </c>
      <c r="AI149" s="69" t="str">
        <f t="shared" ref="AI149" si="2207">IF(AN149="","",AI144)</f>
        <v/>
      </c>
      <c r="AJ149" s="51" t="str">
        <f t="shared" ref="AJ149" si="2208">IF(AN149="","",AJ144)</f>
        <v/>
      </c>
      <c r="AK149" s="51" t="str">
        <f t="shared" ref="AK149" si="2209">IF(AN149="","",AK144)</f>
        <v/>
      </c>
      <c r="AL149" s="51" t="str">
        <f t="shared" ref="AL149" si="2210">IF(AN149="","",AL144)</f>
        <v/>
      </c>
      <c r="AM149" s="51" t="str">
        <f t="shared" ref="AM149" si="2211">IF(AN149="","",AM144)</f>
        <v/>
      </c>
      <c r="AN149" s="51" t="str">
        <f t="shared" ref="AN149" si="2212">IF(I149="","",AN144)</f>
        <v/>
      </c>
      <c r="AO149" s="51" t="str">
        <f t="shared" ref="AO149" si="2213">IF(I149="","",I149/AO141)</f>
        <v/>
      </c>
      <c r="AP149" s="51" t="str">
        <f t="shared" ref="AP149" si="2214">IF(AO149="","",AO149*AC149*AP141)</f>
        <v/>
      </c>
      <c r="AQ149" s="51" t="str">
        <f t="shared" si="2024"/>
        <v/>
      </c>
      <c r="AR149" s="26" t="str">
        <f t="shared" si="2025"/>
        <v/>
      </c>
      <c r="AS149" s="51" t="str">
        <f t="shared" ref="AS149" si="2215">IF(BL149="","",AS144)</f>
        <v/>
      </c>
      <c r="AT149" s="51" t="str">
        <f t="shared" ref="AT149" si="2216">IF(BL149="","",AT144)</f>
        <v/>
      </c>
      <c r="AU149" s="51" t="str">
        <f t="shared" ref="AU149" si="2217">IF(BL149="","",AU144)</f>
        <v/>
      </c>
      <c r="AV149" s="51" t="str">
        <f t="shared" ref="AV149" si="2218">IF(BL149="","",AV144)</f>
        <v/>
      </c>
      <c r="AW149" s="51" t="str">
        <f t="shared" ref="AW149" si="2219">IF(BL149="","",AW144)</f>
        <v/>
      </c>
      <c r="AX149" s="51" t="str">
        <f t="shared" ref="AX149" si="2220">IF(BL149="","",AX144)</f>
        <v/>
      </c>
      <c r="AY149" s="51" t="str">
        <f t="shared" ref="AY149" si="2221">IF(BL149="","",AY144)</f>
        <v/>
      </c>
      <c r="AZ149" s="51" t="str">
        <f t="shared" ref="AZ149" si="2222">IF(BL149="","",AZ144)</f>
        <v/>
      </c>
      <c r="BA149" s="51" t="str">
        <f t="shared" ref="BA149" si="2223">IF(BL149="","",BA144)</f>
        <v/>
      </c>
      <c r="BB149" s="51" t="str">
        <f t="shared" ref="BB149" si="2224">IF(BL149="","",BB144)</f>
        <v/>
      </c>
      <c r="BC149" s="51" t="str">
        <f t="shared" ref="BC149" si="2225">IF(BL149="","",BC144)</f>
        <v/>
      </c>
      <c r="BD149" s="51" t="str">
        <f t="shared" ref="BD149" si="2226">IF(BL149="","",BD144)</f>
        <v/>
      </c>
      <c r="BE149" s="51" t="str">
        <f t="shared" ref="BE149" si="2227">IF(BL149="","",BE144)</f>
        <v/>
      </c>
      <c r="BF149" s="51" t="str">
        <f t="shared" ref="BF149" si="2228">IF(BL149="","",BF144)</f>
        <v/>
      </c>
      <c r="BG149" s="51" t="str">
        <f t="shared" ref="BG149" si="2229">IF(BL149="","",BG144)</f>
        <v/>
      </c>
      <c r="BH149" s="51" t="str">
        <f t="shared" ref="BH149" si="2230">IF(BL149="","",BH144)</f>
        <v/>
      </c>
      <c r="BI149" s="51" t="str">
        <f t="shared" ref="BI149" si="2231">IF(BL149="","",BI144)</f>
        <v/>
      </c>
      <c r="BJ149" s="51" t="str">
        <f t="shared" ref="BJ149" si="2232">IF(BL149="","",BJ144)</f>
        <v/>
      </c>
      <c r="BK149" s="51" t="str">
        <f t="shared" ref="BK149" si="2233">IF(BL149="","",BK144)</f>
        <v/>
      </c>
      <c r="BL149" s="51" t="str">
        <f t="shared" ref="BL149" si="2234">IF(K149="","",BL144)</f>
        <v/>
      </c>
      <c r="BN149" s="1">
        <f t="shared" si="1998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2235">CA145</f>
        <v>µL</v>
      </c>
      <c r="CG149" s="28" t="str">
        <f t="shared" si="1997"/>
        <v>0</v>
      </c>
      <c r="CY149" s="1">
        <f t="shared" ref="CY149" ca="1" si="2236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2077"/>
        <v>2.0000000000000001E-4</v>
      </c>
      <c r="DF149" s="1" t="str">
        <f t="shared" ref="DF149" ca="1" si="2237">IF(CY149=1,MAX(DE145:DE149),"-")</f>
        <v>-</v>
      </c>
      <c r="DG149" s="1">
        <f t="shared" si="2078"/>
        <v>5</v>
      </c>
      <c r="DH149" s="51">
        <f ca="1">HLOOKUP(CONCATENATE($CZ149,DH144),'Controle dos padrões'!$AB$96:$BY$116,CY144+1,FALSE)</f>
        <v>-1.0000000000331966E-4</v>
      </c>
      <c r="DI149" s="1">
        <f t="shared" ca="1" si="1673"/>
        <v>1.0000000000331966E-4</v>
      </c>
      <c r="DJ149" s="1" t="str">
        <f t="shared" ref="DJ149" ca="1" si="2238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674"/>
        <v>1.0000000000331966E-4</v>
      </c>
      <c r="DM149" s="1" t="str">
        <f t="shared" ref="DM149" ca="1" si="2239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2011"/>
        <v/>
      </c>
      <c r="I150" s="402"/>
      <c r="J150" s="402"/>
      <c r="K150" s="402"/>
      <c r="L150" s="402"/>
      <c r="M150" s="60" t="str">
        <f t="shared" si="2012"/>
        <v/>
      </c>
      <c r="O150" s="1" t="str">
        <f t="shared" ref="O150" si="2240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2013"/>
        <v/>
      </c>
      <c r="AA150" s="51" t="str">
        <f t="shared" si="2014"/>
        <v/>
      </c>
      <c r="AB150" s="51" t="str">
        <f t="shared" si="2015"/>
        <v/>
      </c>
      <c r="AC150" s="51" t="str">
        <f t="shared" si="2016"/>
        <v/>
      </c>
      <c r="AD150" s="51" t="str">
        <f t="shared" ref="AD150" si="2241">IF(AN150="","",AD144)</f>
        <v/>
      </c>
      <c r="AE150" s="51" t="str">
        <f t="shared" ref="AE150" si="2242">IF(AN150="","",AE144)</f>
        <v/>
      </c>
      <c r="AF150" s="51" t="str">
        <f t="shared" ref="AF150" si="2243">IF(AN150="","",AF144)</f>
        <v/>
      </c>
      <c r="AG150" s="51" t="str">
        <f t="shared" ref="AG150" si="2244">IF(AN150="","",AG144)</f>
        <v/>
      </c>
      <c r="AH150" s="51" t="str">
        <f t="shared" ref="AH150" si="2245">IF(AN150="","",AH144)</f>
        <v/>
      </c>
      <c r="AI150" s="69" t="str">
        <f t="shared" ref="AI150" si="2246">IF(AN150="","",AI144)</f>
        <v/>
      </c>
      <c r="AJ150" s="51" t="str">
        <f t="shared" ref="AJ150" si="2247">IF(AN150="","",AJ144)</f>
        <v/>
      </c>
      <c r="AK150" s="51" t="str">
        <f t="shared" ref="AK150" si="2248">IF(AN150="","",AK144)</f>
        <v/>
      </c>
      <c r="AL150" s="51" t="str">
        <f t="shared" ref="AL150" si="2249">IF(AN150="","",AL144)</f>
        <v/>
      </c>
      <c r="AM150" s="51" t="str">
        <f t="shared" ref="AM150" si="2250">IF(AN150="","",AM144)</f>
        <v/>
      </c>
      <c r="AN150" s="51" t="str">
        <f t="shared" ref="AN150" si="2251">IF(I150="","",AN144)</f>
        <v/>
      </c>
      <c r="AO150" s="51" t="str">
        <f t="shared" ref="AO150" si="2252">IF(I150="","",I150/AO141)</f>
        <v/>
      </c>
      <c r="AP150" s="51" t="str">
        <f t="shared" ref="AP150" si="2253">IF(AO150="","",AO150*AC150*AP141)</f>
        <v/>
      </c>
      <c r="AQ150" s="51" t="str">
        <f t="shared" si="2024"/>
        <v/>
      </c>
      <c r="AR150" s="26" t="str">
        <f t="shared" si="2025"/>
        <v/>
      </c>
      <c r="AS150" s="51" t="str">
        <f t="shared" ref="AS150" si="2254">IF(BL150="","",AS144)</f>
        <v/>
      </c>
      <c r="AT150" s="51" t="str">
        <f t="shared" ref="AT150" si="2255">IF(BL150="","",AT144)</f>
        <v/>
      </c>
      <c r="AU150" s="51" t="str">
        <f t="shared" ref="AU150" si="2256">IF(BL150="","",AU144)</f>
        <v/>
      </c>
      <c r="AV150" s="51" t="str">
        <f t="shared" ref="AV150" si="2257">IF(BL150="","",AV144)</f>
        <v/>
      </c>
      <c r="AW150" s="51" t="str">
        <f t="shared" ref="AW150" si="2258">IF(BL150="","",AW144)</f>
        <v/>
      </c>
      <c r="AX150" s="51" t="str">
        <f t="shared" ref="AX150" si="2259">IF(BL150="","",AX144)</f>
        <v/>
      </c>
      <c r="AY150" s="51" t="str">
        <f t="shared" ref="AY150" si="2260">IF(BL150="","",AY144)</f>
        <v/>
      </c>
      <c r="AZ150" s="51" t="str">
        <f t="shared" ref="AZ150" si="2261">IF(BL150="","",AZ144)</f>
        <v/>
      </c>
      <c r="BA150" s="51" t="str">
        <f t="shared" ref="BA150" si="2262">IF(BL150="","",BA144)</f>
        <v/>
      </c>
      <c r="BB150" s="51" t="str">
        <f t="shared" ref="BB150" si="2263">IF(BL150="","",BB144)</f>
        <v/>
      </c>
      <c r="BC150" s="51" t="str">
        <f t="shared" ref="BC150" si="2264">IF(BL150="","",BC144)</f>
        <v/>
      </c>
      <c r="BD150" s="51" t="str">
        <f t="shared" ref="BD150" si="2265">IF(BL150="","",BD144)</f>
        <v/>
      </c>
      <c r="BE150" s="51" t="str">
        <f t="shared" ref="BE150" si="2266">IF(BL150="","",BE144)</f>
        <v/>
      </c>
      <c r="BF150" s="51" t="str">
        <f t="shared" ref="BF150" si="2267">IF(BL150="","",BF144)</f>
        <v/>
      </c>
      <c r="BG150" s="51" t="str">
        <f t="shared" ref="BG150" si="2268">IF(BL150="","",BG144)</f>
        <v/>
      </c>
      <c r="BH150" s="51" t="str">
        <f t="shared" ref="BH150" si="2269">IF(BL150="","",BH144)</f>
        <v/>
      </c>
      <c r="BI150" s="51" t="str">
        <f t="shared" ref="BI150" si="2270">IF(BL150="","",BI144)</f>
        <v/>
      </c>
      <c r="BJ150" s="51" t="str">
        <f t="shared" ref="BJ150" si="2271">IF(BL150="","",BJ144)</f>
        <v/>
      </c>
      <c r="BK150" s="51" t="str">
        <f t="shared" ref="BK150" si="2272">IF(BL150="","",BK144)</f>
        <v/>
      </c>
      <c r="BL150" s="51" t="str">
        <f t="shared" ref="BL150" si="2273">IF(K150="","",BL144)</f>
        <v/>
      </c>
      <c r="BN150" s="1">
        <f t="shared" si="1998"/>
        <v>15</v>
      </c>
      <c r="CG150" s="28" t="str">
        <f t="shared" si="1997"/>
        <v>0</v>
      </c>
      <c r="CY150" s="1">
        <f t="shared" ref="CY150" ca="1" si="2274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2077"/>
        <v>2.5000000000000001E-4</v>
      </c>
      <c r="DF150" s="1" t="str">
        <f t="shared" ref="DF150" ca="1" si="2275">IF(CY150=1,MAX(DE145:DE150),"-")</f>
        <v>-</v>
      </c>
      <c r="DG150" s="1">
        <f t="shared" si="2078"/>
        <v>6</v>
      </c>
      <c r="DH150" s="51">
        <f ca="1">HLOOKUP(CONCATENATE($CZ150,DH144),'Controle dos padrões'!$AB$96:$BY$116,CY144+1,FALSE)</f>
        <v>-1.0000000000331966E-4</v>
      </c>
      <c r="DI150" s="1">
        <f t="shared" ca="1" si="1673"/>
        <v>1.0000000000331966E-4</v>
      </c>
      <c r="DJ150" s="1" t="str">
        <f t="shared" ref="DJ150" ca="1" si="2276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674"/>
        <v>1.0000000000331966E-4</v>
      </c>
      <c r="DM150" s="1" t="str">
        <f t="shared" ref="DM150" ca="1" si="2277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2011"/>
        <v/>
      </c>
      <c r="I151" s="402"/>
      <c r="J151" s="402"/>
      <c r="K151" s="402"/>
      <c r="L151" s="402"/>
      <c r="M151" s="60" t="str">
        <f t="shared" si="2012"/>
        <v/>
      </c>
      <c r="Z151" s="51" t="str">
        <f t="shared" si="2013"/>
        <v/>
      </c>
      <c r="AA151" s="51" t="str">
        <f t="shared" si="2014"/>
        <v/>
      </c>
      <c r="AB151" s="51" t="str">
        <f t="shared" si="2015"/>
        <v/>
      </c>
      <c r="AC151" s="51" t="str">
        <f t="shared" si="2016"/>
        <v/>
      </c>
      <c r="AD151" s="51" t="str">
        <f t="shared" ref="AD151" si="2278">IF(AN151="","",AD144)</f>
        <v/>
      </c>
      <c r="AE151" s="51" t="str">
        <f t="shared" ref="AE151" si="2279">IF(AN151="","",AE144)</f>
        <v/>
      </c>
      <c r="AF151" s="51" t="str">
        <f t="shared" ref="AF151" si="2280">IF(AN151="","",AF144)</f>
        <v/>
      </c>
      <c r="AG151" s="51" t="str">
        <f t="shared" ref="AG151" si="2281">IF(AN151="","",AG144)</f>
        <v/>
      </c>
      <c r="AH151" s="51" t="str">
        <f t="shared" ref="AH151" si="2282">IF(AN151="","",AH144)</f>
        <v/>
      </c>
      <c r="AI151" s="69" t="str">
        <f t="shared" ref="AI151" si="2283">IF(AN151="","",AI144)</f>
        <v/>
      </c>
      <c r="AJ151" s="51" t="str">
        <f t="shared" ref="AJ151" si="2284">IF(AN151="","",AJ144)</f>
        <v/>
      </c>
      <c r="AK151" s="51" t="str">
        <f t="shared" ref="AK151" si="2285">IF(AN151="","",AK144)</f>
        <v/>
      </c>
      <c r="AL151" s="51" t="str">
        <f t="shared" ref="AL151" si="2286">IF(AN151="","",AL144)</f>
        <v/>
      </c>
      <c r="AM151" s="51" t="str">
        <f t="shared" ref="AM151" si="2287">IF(AN151="","",AM144)</f>
        <v/>
      </c>
      <c r="AN151" s="51" t="str">
        <f t="shared" ref="AN151" si="2288">IF(I151="","",AN144)</f>
        <v/>
      </c>
      <c r="AO151" s="51" t="str">
        <f t="shared" ref="AO151" si="2289">IF(I151="","",I151/AO141)</f>
        <v/>
      </c>
      <c r="AP151" s="51" t="str">
        <f t="shared" ref="AP151" si="2290">IF(AO151="","",AO151*AC151*AP141)</f>
        <v/>
      </c>
      <c r="AQ151" s="51" t="str">
        <f t="shared" si="2024"/>
        <v/>
      </c>
      <c r="AR151" s="26" t="str">
        <f t="shared" si="2025"/>
        <v/>
      </c>
      <c r="AS151" s="51" t="str">
        <f t="shared" ref="AS151" si="2291">IF(BL151="","",AS144)</f>
        <v/>
      </c>
      <c r="AT151" s="51" t="str">
        <f t="shared" ref="AT151" si="2292">IF(BL151="","",AT144)</f>
        <v/>
      </c>
      <c r="AU151" s="51" t="str">
        <f t="shared" ref="AU151" si="2293">IF(BL151="","",AU144)</f>
        <v/>
      </c>
      <c r="AV151" s="51" t="str">
        <f t="shared" ref="AV151" si="2294">IF(BL151="","",AV144)</f>
        <v/>
      </c>
      <c r="AW151" s="51" t="str">
        <f t="shared" ref="AW151" si="2295">IF(BL151="","",AW144)</f>
        <v/>
      </c>
      <c r="AX151" s="51" t="str">
        <f t="shared" ref="AX151" si="2296">IF(BL151="","",AX144)</f>
        <v/>
      </c>
      <c r="AY151" s="51" t="str">
        <f t="shared" ref="AY151" si="2297">IF(BL151="","",AY144)</f>
        <v/>
      </c>
      <c r="AZ151" s="51" t="str">
        <f t="shared" ref="AZ151" si="2298">IF(BL151="","",AZ144)</f>
        <v/>
      </c>
      <c r="BA151" s="51" t="str">
        <f t="shared" ref="BA151" si="2299">IF(BL151="","",BA144)</f>
        <v/>
      </c>
      <c r="BB151" s="51" t="str">
        <f t="shared" ref="BB151" si="2300">IF(BL151="","",BB144)</f>
        <v/>
      </c>
      <c r="BC151" s="51" t="str">
        <f t="shared" ref="BC151" si="2301">IF(BL151="","",BC144)</f>
        <v/>
      </c>
      <c r="BD151" s="51" t="str">
        <f t="shared" ref="BD151" si="2302">IF(BL151="","",BD144)</f>
        <v/>
      </c>
      <c r="BE151" s="51" t="str">
        <f t="shared" ref="BE151" si="2303">IF(BL151="","",BE144)</f>
        <v/>
      </c>
      <c r="BF151" s="51" t="str">
        <f t="shared" ref="BF151" si="2304">IF(BL151="","",BF144)</f>
        <v/>
      </c>
      <c r="BG151" s="51" t="str">
        <f t="shared" ref="BG151" si="2305">IF(BL151="","",BG144)</f>
        <v/>
      </c>
      <c r="BH151" s="51" t="str">
        <f t="shared" ref="BH151" si="2306">IF(BL151="","",BH144)</f>
        <v/>
      </c>
      <c r="BI151" s="51" t="str">
        <f t="shared" ref="BI151" si="2307">IF(BL151="","",BI144)</f>
        <v/>
      </c>
      <c r="BJ151" s="51" t="str">
        <f t="shared" ref="BJ151" si="2308">IF(BL151="","",BJ144)</f>
        <v/>
      </c>
      <c r="BK151" s="51" t="str">
        <f t="shared" ref="BK151" si="2309">IF(BL151="","",BK144)</f>
        <v/>
      </c>
      <c r="BL151" s="51" t="str">
        <f t="shared" ref="BL151" si="2310">IF(K151="","",BL144)</f>
        <v/>
      </c>
      <c r="BN151" s="1">
        <f t="shared" si="1998"/>
        <v>16</v>
      </c>
      <c r="BP151" s="1" t="s">
        <v>483</v>
      </c>
      <c r="BQ151" s="1" t="str">
        <f>IF($J$4&lt;&gt;"","-","8665-2 - Micropipeta Mono")</f>
        <v>8665-2 - Micropipeta Mono</v>
      </c>
      <c r="BR151" s="1" t="str">
        <f>IF($J$4&lt;&gt;"","-","8665-2 - Micropipeta Multi")</f>
        <v>8665-2 - Micropipeta Multi</v>
      </c>
      <c r="BS151" s="1" t="str">
        <f>IF($J$4&lt;&gt;"","-","8665-3 - Bureta Auto")</f>
        <v>8665-3 - Bureta Auto</v>
      </c>
      <c r="BT151" s="1" t="str">
        <f>IF($J$4&lt;&gt;"","-","8665-3 - Bureta Manual")</f>
        <v>8665-3 - Bureta Manual</v>
      </c>
      <c r="BU151" s="1" t="s">
        <v>484</v>
      </c>
      <c r="BV151" s="1">
        <f t="shared" ref="BV151" si="2311">IF(BU151=Q143,1,0)</f>
        <v>0</v>
      </c>
      <c r="CG151" s="28" t="str">
        <f t="shared" si="1997"/>
        <v>0</v>
      </c>
      <c r="CY151" s="1">
        <f t="shared" ref="CY151" ca="1" si="2312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2077"/>
        <v>4.0000000000000002E-4</v>
      </c>
      <c r="DF151" s="1" t="str">
        <f t="shared" ref="DF151" ca="1" si="2313">IF(CY151=1,MAX(DE145:DE151),"-")</f>
        <v>-</v>
      </c>
      <c r="DG151" s="1">
        <f t="shared" si="2078"/>
        <v>7</v>
      </c>
      <c r="DH151" s="51">
        <f ca="1">HLOOKUP(CONCATENATE($CZ151,DH144),'Controle dos padrões'!$AB$96:$BY$116,CY144+1,FALSE)</f>
        <v>2.0000000000663931E-4</v>
      </c>
      <c r="DI151" s="1">
        <f t="shared" ca="1" si="1673"/>
        <v>2.0000000000663931E-4</v>
      </c>
      <c r="DJ151" s="1" t="str">
        <f t="shared" ref="DJ151" ca="1" si="2314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674"/>
        <v>1.0000000000331966E-4</v>
      </c>
      <c r="DM151" s="1" t="str">
        <f t="shared" ref="DM151" ca="1" si="2315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2011"/>
        <v/>
      </c>
      <c r="I152" s="402"/>
      <c r="J152" s="402"/>
      <c r="K152" s="402"/>
      <c r="L152" s="402"/>
      <c r="M152" s="60" t="str">
        <f t="shared" si="2012"/>
        <v/>
      </c>
      <c r="Z152" s="51" t="str">
        <f t="shared" si="2013"/>
        <v/>
      </c>
      <c r="AA152" s="51" t="str">
        <f t="shared" si="2014"/>
        <v/>
      </c>
      <c r="AB152" s="51" t="str">
        <f t="shared" si="2015"/>
        <v/>
      </c>
      <c r="AC152" s="51" t="str">
        <f t="shared" si="2016"/>
        <v/>
      </c>
      <c r="AD152" s="51" t="str">
        <f t="shared" ref="AD152" si="2316">IF(AN152="","",AD144)</f>
        <v/>
      </c>
      <c r="AE152" s="51" t="str">
        <f t="shared" ref="AE152" si="2317">IF(AN152="","",AE144)</f>
        <v/>
      </c>
      <c r="AF152" s="51" t="str">
        <f t="shared" ref="AF152" si="2318">IF(AN152="","",AF144)</f>
        <v/>
      </c>
      <c r="AG152" s="51" t="str">
        <f t="shared" ref="AG152" si="2319">IF(AN152="","",AG144)</f>
        <v/>
      </c>
      <c r="AH152" s="51" t="str">
        <f t="shared" ref="AH152" si="2320">IF(AN152="","",AH144)</f>
        <v/>
      </c>
      <c r="AI152" s="69" t="str">
        <f t="shared" ref="AI152" si="2321">IF(AN152="","",AI144)</f>
        <v/>
      </c>
      <c r="AJ152" s="51" t="str">
        <f t="shared" ref="AJ152" si="2322">IF(AN152="","",AJ144)</f>
        <v/>
      </c>
      <c r="AK152" s="51" t="str">
        <f t="shared" ref="AK152" si="2323">IF(AN152="","",AK144)</f>
        <v/>
      </c>
      <c r="AL152" s="51" t="str">
        <f t="shared" ref="AL152" si="2324">IF(AN152="","",AL144)</f>
        <v/>
      </c>
      <c r="AM152" s="51" t="str">
        <f t="shared" ref="AM152" si="2325">IF(AN152="","",AM144)</f>
        <v/>
      </c>
      <c r="AN152" s="51" t="str">
        <f t="shared" ref="AN152" si="2326">IF(I152="","",AN144)</f>
        <v/>
      </c>
      <c r="AO152" s="51" t="str">
        <f t="shared" ref="AO152" si="2327">IF(I152="","",I152/AO141)</f>
        <v/>
      </c>
      <c r="AP152" s="51" t="str">
        <f t="shared" ref="AP152" si="2328">IF(AO152="","",AO152*AC152*AP141)</f>
        <v/>
      </c>
      <c r="AQ152" s="51" t="str">
        <f t="shared" si="2024"/>
        <v/>
      </c>
      <c r="AR152" s="26" t="str">
        <f t="shared" si="2025"/>
        <v/>
      </c>
      <c r="AS152" s="51" t="str">
        <f t="shared" ref="AS152" si="2329">IF(BL152="","",AS144)</f>
        <v/>
      </c>
      <c r="AT152" s="51" t="str">
        <f t="shared" ref="AT152" si="2330">IF(BL152="","",AT144)</f>
        <v/>
      </c>
      <c r="AU152" s="51" t="str">
        <f t="shared" ref="AU152" si="2331">IF(BL152="","",AU144)</f>
        <v/>
      </c>
      <c r="AV152" s="51" t="str">
        <f t="shared" ref="AV152" si="2332">IF(BL152="","",AV144)</f>
        <v/>
      </c>
      <c r="AW152" s="51" t="str">
        <f t="shared" ref="AW152" si="2333">IF(BL152="","",AW144)</f>
        <v/>
      </c>
      <c r="AX152" s="51" t="str">
        <f t="shared" ref="AX152" si="2334">IF(BL152="","",AX144)</f>
        <v/>
      </c>
      <c r="AY152" s="51" t="str">
        <f t="shared" ref="AY152" si="2335">IF(BL152="","",AY144)</f>
        <v/>
      </c>
      <c r="AZ152" s="51" t="str">
        <f t="shared" ref="AZ152" si="2336">IF(BL152="","",AZ144)</f>
        <v/>
      </c>
      <c r="BA152" s="51" t="str">
        <f t="shared" ref="BA152" si="2337">IF(BL152="","",BA144)</f>
        <v/>
      </c>
      <c r="BB152" s="51" t="str">
        <f t="shared" ref="BB152" si="2338">IF(BL152="","",BB144)</f>
        <v/>
      </c>
      <c r="BC152" s="51" t="str">
        <f t="shared" ref="BC152" si="2339">IF(BL152="","",BC144)</f>
        <v/>
      </c>
      <c r="BD152" s="51" t="str">
        <f t="shared" ref="BD152" si="2340">IF(BL152="","",BD144)</f>
        <v/>
      </c>
      <c r="BE152" s="51" t="str">
        <f t="shared" ref="BE152" si="2341">IF(BL152="","",BE144)</f>
        <v/>
      </c>
      <c r="BF152" s="51" t="str">
        <f t="shared" ref="BF152" si="2342">IF(BL152="","",BF144)</f>
        <v/>
      </c>
      <c r="BG152" s="51" t="str">
        <f t="shared" ref="BG152" si="2343">IF(BL152="","",BG144)</f>
        <v/>
      </c>
      <c r="BH152" s="51" t="str">
        <f t="shared" ref="BH152" si="2344">IF(BL152="","",BH144)</f>
        <v/>
      </c>
      <c r="BI152" s="51" t="str">
        <f t="shared" ref="BI152" si="2345">IF(BL152="","",BI144)</f>
        <v/>
      </c>
      <c r="BJ152" s="51" t="str">
        <f t="shared" ref="BJ152" si="2346">IF(BL152="","",BJ144)</f>
        <v/>
      </c>
      <c r="BK152" s="51" t="str">
        <f t="shared" ref="BK152" si="2347">IF(BL152="","",BK144)</f>
        <v/>
      </c>
      <c r="BL152" s="51" t="str">
        <f t="shared" ref="BL152" si="2348">IF(K152="","",BL144)</f>
        <v/>
      </c>
      <c r="BN152" s="1">
        <f t="shared" si="1998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349">IF(T148="","-",IF(T148="%",E138*R148/100,R148))</f>
        <v>-</v>
      </c>
      <c r="CG152" s="28" t="str">
        <f t="shared" si="1997"/>
        <v>0</v>
      </c>
      <c r="CY152" s="1">
        <f t="shared" ref="CY152" ca="1" si="2350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2077"/>
        <v>-</v>
      </c>
      <c r="DF152" s="1" t="str">
        <f t="shared" ref="DF152" ca="1" si="2351">IF(CY152=1,MAX(DE145:DE152),"-")</f>
        <v>-</v>
      </c>
      <c r="DG152" s="1">
        <f t="shared" si="2078"/>
        <v>8</v>
      </c>
      <c r="DH152" s="51">
        <f ca="1">HLOOKUP(CONCATENATE($CZ152,DH144),'Controle dos padrões'!$AB$96:$BY$116,CY144+1,FALSE)</f>
        <v>0</v>
      </c>
      <c r="DI152" s="1">
        <f t="shared" ca="1" si="1673"/>
        <v>0</v>
      </c>
      <c r="DJ152" s="1" t="str">
        <f t="shared" ref="DJ152" ca="1" si="2352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674"/>
        <v>0</v>
      </c>
      <c r="DM152" s="1" t="str">
        <f t="shared" ref="DM152" ca="1" si="2353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2011"/>
        <v/>
      </c>
      <c r="I153" s="402"/>
      <c r="J153" s="402"/>
      <c r="K153" s="402"/>
      <c r="L153" s="402"/>
      <c r="M153" s="60" t="str">
        <f t="shared" si="2012"/>
        <v/>
      </c>
      <c r="Z153" s="51" t="str">
        <f t="shared" si="2013"/>
        <v/>
      </c>
      <c r="AA153" s="51" t="str">
        <f t="shared" si="2014"/>
        <v/>
      </c>
      <c r="AB153" s="51" t="str">
        <f t="shared" si="2015"/>
        <v/>
      </c>
      <c r="AC153" s="51" t="str">
        <f t="shared" si="2016"/>
        <v/>
      </c>
      <c r="AD153" s="51" t="str">
        <f t="shared" ref="AD153" si="2354">IF(AN153="","",AD144)</f>
        <v/>
      </c>
      <c r="AE153" s="51" t="str">
        <f t="shared" ref="AE153" si="2355">IF(AN153="","",AE144)</f>
        <v/>
      </c>
      <c r="AF153" s="51" t="str">
        <f t="shared" ref="AF153" si="2356">IF(AN153="","",AF144)</f>
        <v/>
      </c>
      <c r="AG153" s="51" t="str">
        <f t="shared" ref="AG153" si="2357">IF(AN153="","",AG144)</f>
        <v/>
      </c>
      <c r="AH153" s="51" t="str">
        <f t="shared" ref="AH153" si="2358">IF(AN153="","",AH144)</f>
        <v/>
      </c>
      <c r="AI153" s="69" t="str">
        <f t="shared" ref="AI153" si="2359">IF(AN153="","",AI144)</f>
        <v/>
      </c>
      <c r="AJ153" s="51" t="str">
        <f t="shared" ref="AJ153" si="2360">IF(AN153="","",AJ144)</f>
        <v/>
      </c>
      <c r="AK153" s="51" t="str">
        <f t="shared" ref="AK153" si="2361">IF(AN153="","",AK144)</f>
        <v/>
      </c>
      <c r="AL153" s="51" t="str">
        <f t="shared" ref="AL153" si="2362">IF(AN153="","",AL144)</f>
        <v/>
      </c>
      <c r="AM153" s="51" t="str">
        <f t="shared" ref="AM153" si="2363">IF(AN153="","",AM144)</f>
        <v/>
      </c>
      <c r="AN153" s="51" t="str">
        <f t="shared" ref="AN153" si="2364">IF(I153="","",AN144)</f>
        <v/>
      </c>
      <c r="AO153" s="51" t="str">
        <f t="shared" ref="AO153" si="2365">IF(I153="","",I153/AO141)</f>
        <v/>
      </c>
      <c r="AP153" s="51" t="str">
        <f t="shared" ref="AP153" si="2366">IF(AO153="","",AO153*AC153*AP141)</f>
        <v/>
      </c>
      <c r="AQ153" s="51" t="str">
        <f t="shared" si="2024"/>
        <v/>
      </c>
      <c r="AR153" s="26" t="str">
        <f t="shared" si="2025"/>
        <v/>
      </c>
      <c r="AS153" s="51" t="str">
        <f t="shared" ref="AS153" si="2367">IF(BL153="","",AS144)</f>
        <v/>
      </c>
      <c r="AT153" s="51" t="str">
        <f t="shared" ref="AT153" si="2368">IF(BL153="","",AT144)</f>
        <v/>
      </c>
      <c r="AU153" s="51" t="str">
        <f t="shared" ref="AU153" si="2369">IF(BL153="","",AU144)</f>
        <v/>
      </c>
      <c r="AV153" s="51" t="str">
        <f t="shared" ref="AV153" si="2370">IF(BL153="","",AV144)</f>
        <v/>
      </c>
      <c r="AW153" s="51" t="str">
        <f t="shared" ref="AW153" si="2371">IF(BL153="","",AW144)</f>
        <v/>
      </c>
      <c r="AX153" s="51" t="str">
        <f t="shared" ref="AX153" si="2372">IF(BL153="","",AX144)</f>
        <v/>
      </c>
      <c r="AY153" s="51" t="str">
        <f t="shared" ref="AY153" si="2373">IF(BL153="","",AY144)</f>
        <v/>
      </c>
      <c r="AZ153" s="51" t="str">
        <f t="shared" ref="AZ153" si="2374">IF(BL153="","",AZ144)</f>
        <v/>
      </c>
      <c r="BA153" s="51" t="str">
        <f t="shared" ref="BA153" si="2375">IF(BL153="","",BA144)</f>
        <v/>
      </c>
      <c r="BB153" s="51" t="str">
        <f t="shared" ref="BB153" si="2376">IF(BL153="","",BB144)</f>
        <v/>
      </c>
      <c r="BC153" s="51" t="str">
        <f t="shared" ref="BC153" si="2377">IF(BL153="","",BC144)</f>
        <v/>
      </c>
      <c r="BD153" s="51" t="str">
        <f t="shared" ref="BD153" si="2378">IF(BL153="","",BD144)</f>
        <v/>
      </c>
      <c r="BE153" s="51" t="str">
        <f t="shared" ref="BE153" si="2379">IF(BL153="","",BE144)</f>
        <v/>
      </c>
      <c r="BF153" s="51" t="str">
        <f t="shared" ref="BF153" si="2380">IF(BL153="","",BF144)</f>
        <v/>
      </c>
      <c r="BG153" s="51" t="str">
        <f t="shared" ref="BG153" si="2381">IF(BL153="","",BG144)</f>
        <v/>
      </c>
      <c r="BH153" s="51" t="str">
        <f t="shared" ref="BH153" si="2382">IF(BL153="","",BH144)</f>
        <v/>
      </c>
      <c r="BI153" s="51" t="str">
        <f t="shared" ref="BI153" si="2383">IF(BL153="","",BI144)</f>
        <v/>
      </c>
      <c r="BJ153" s="51" t="str">
        <f t="shared" ref="BJ153" si="2384">IF(BL153="","",BJ144)</f>
        <v/>
      </c>
      <c r="BK153" s="51" t="str">
        <f t="shared" ref="BK153" si="2385">IF(BL153="","",BK144)</f>
        <v/>
      </c>
      <c r="BL153" s="51" t="str">
        <f t="shared" ref="BL153" si="2386">IF(K153="","",BL144)</f>
        <v/>
      </c>
      <c r="BN153" s="1">
        <f t="shared" si="1998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1997"/>
        <v>0</v>
      </c>
      <c r="CY153" s="1">
        <f t="shared" ref="CY153" ca="1" si="2387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2077"/>
        <v>-</v>
      </c>
      <c r="DF153" s="1" t="str">
        <f t="shared" ref="DF153" ca="1" si="2388">IF(CY153=1,MAX(DE145:DE153),"-")</f>
        <v>-</v>
      </c>
      <c r="DG153" s="1">
        <f t="shared" si="2078"/>
        <v>9</v>
      </c>
      <c r="DH153" s="51">
        <f ca="1">HLOOKUP(CONCATENATE($CZ153,DH144),'Controle dos padrões'!$AB$96:$BY$116,CY144+1,FALSE)</f>
        <v>0</v>
      </c>
      <c r="DI153" s="1">
        <f t="shared" ca="1" si="1673"/>
        <v>0</v>
      </c>
      <c r="DJ153" s="1" t="str">
        <f t="shared" ref="DJ153" ca="1" si="2389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674"/>
        <v>0</v>
      </c>
      <c r="DM153" s="1" t="str">
        <f t="shared" ref="DM153" ca="1" si="2390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391">IF(AR155="","",ROUND(MAX(AR144:AR153)-MIN(AR144:AR153),AV144))</f>
        <v/>
      </c>
      <c r="AS154" s="28" t="str">
        <f t="shared" ref="AS154" si="2392">IF(AR154="","",IF(AR154&gt;0.3,1,0))</f>
        <v/>
      </c>
      <c r="BN154" s="1">
        <f t="shared" si="1998"/>
        <v>19</v>
      </c>
      <c r="CG154" s="28" t="str">
        <f t="shared" si="1997"/>
        <v>0</v>
      </c>
      <c r="CY154" s="1">
        <f t="shared" ref="CY154" ca="1" si="2393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2077"/>
        <v>-</v>
      </c>
      <c r="DF154" s="1" t="str">
        <f t="shared" ref="DF154" ca="1" si="2394">IF(CY154=1,MAX(DE145:DE154),"-")</f>
        <v>-</v>
      </c>
      <c r="DG154" s="1">
        <f t="shared" si="2078"/>
        <v>10</v>
      </c>
      <c r="DH154" s="51">
        <f ca="1">HLOOKUP(CONCATENATE($CZ154,DH144),'Controle dos padrões'!$AB$96:$BY$116,CY144+1,FALSE)</f>
        <v>0</v>
      </c>
      <c r="DI154" s="1">
        <f t="shared" ca="1" si="1673"/>
        <v>0</v>
      </c>
      <c r="DJ154" s="1" t="str">
        <f t="shared" ref="DJ154" ca="1" si="2395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674"/>
        <v>0</v>
      </c>
      <c r="DM154" s="1" t="str">
        <f t="shared" ref="DM154" ca="1" si="2396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397">IF(Z144="","",AVERAGE(Z144:Z153))</f>
        <v/>
      </c>
      <c r="AA155" s="51" t="str">
        <f t="shared" si="2397"/>
        <v/>
      </c>
      <c r="AB155" s="51" t="str">
        <f t="shared" si="2397"/>
        <v/>
      </c>
      <c r="AC155" s="51" t="str">
        <f t="shared" si="2397"/>
        <v/>
      </c>
      <c r="AO155" s="51" t="str">
        <f t="shared" ref="AO155" si="2398">IF(AO144="","",AVERAGE(AO144:AO153))</f>
        <v/>
      </c>
      <c r="AP155" s="51" t="str">
        <f t="shared" ref="AP155" si="2399">IFERROR(IF(AP144="","",AVERAGE(AP144:AP153)),"")</f>
        <v/>
      </c>
      <c r="AQ155" s="51" t="str">
        <f t="shared" ref="AQ155:AR155" si="2400">IF(AQ144="","",AVERAGE(AQ144:AQ153))</f>
        <v/>
      </c>
      <c r="AR155" s="51" t="str">
        <f t="shared" si="2400"/>
        <v/>
      </c>
      <c r="BN155" s="1">
        <f t="shared" si="1998"/>
        <v>20</v>
      </c>
      <c r="CG155" s="28" t="str">
        <f t="shared" si="1997"/>
        <v>0</v>
      </c>
      <c r="DA155" s="1">
        <f t="shared" ref="DA155" ca="1" si="2401">MAX(DA145:DA154)</f>
        <v>220</v>
      </c>
    </row>
    <row r="156" spans="1:117" s="192" customFormat="1" hidden="1" x14ac:dyDescent="0.3">
      <c r="CG156" s="194" t="str">
        <f t="shared" si="1997"/>
        <v>0</v>
      </c>
    </row>
  </sheetData>
  <sheetProtection algorithmName="SHA-512" hashValue="rRqVLK1Qctgq7/xSpqVNMUOS9MeEU7yM12WUjUNVvbJ/EB93GvNdvAapJ1LPEE2Hcx0Q5G1MNaV4T8TnJWNz0Q==" saltValue="eRiy1TOGcy76LiS15uxeEA==" spinCount="100000" sheet="1" formatRows="0"/>
  <mergeCells count="375">
    <mergeCell ref="S14:T14"/>
    <mergeCell ref="O12:T12"/>
    <mergeCell ref="Q7:R7"/>
    <mergeCell ref="S7:T7"/>
    <mergeCell ref="O33:T33"/>
    <mergeCell ref="O54:T54"/>
    <mergeCell ref="O75:T75"/>
    <mergeCell ref="O96:T96"/>
    <mergeCell ref="O117:T117"/>
    <mergeCell ref="Q17:T17"/>
    <mergeCell ref="O138:T138"/>
    <mergeCell ref="Q81:R81"/>
    <mergeCell ref="S81:T81"/>
    <mergeCell ref="Q60:R60"/>
    <mergeCell ref="S60:T60"/>
    <mergeCell ref="Q39:R39"/>
    <mergeCell ref="O83:P83"/>
    <mergeCell ref="Q83:R83"/>
    <mergeCell ref="S83:T83"/>
    <mergeCell ref="O62:P62"/>
    <mergeCell ref="Q62:R62"/>
    <mergeCell ref="S62:T62"/>
    <mergeCell ref="O125:P125"/>
    <mergeCell ref="Q125:R125"/>
    <mergeCell ref="S125:T125"/>
    <mergeCell ref="R106:S106"/>
    <mergeCell ref="R85:S85"/>
    <mergeCell ref="R43:S43"/>
    <mergeCell ref="N4:O4"/>
    <mergeCell ref="Q4:R4"/>
    <mergeCell ref="S4:T4"/>
    <mergeCell ref="Q5:R5"/>
    <mergeCell ref="S5:T5"/>
    <mergeCell ref="S149:T149"/>
    <mergeCell ref="S150:T150"/>
    <mergeCell ref="R148:S148"/>
    <mergeCell ref="S24:T24"/>
    <mergeCell ref="S23:T23"/>
    <mergeCell ref="S44:T44"/>
    <mergeCell ref="S45:T45"/>
    <mergeCell ref="S65:T65"/>
    <mergeCell ref="S66:T66"/>
    <mergeCell ref="S86:T86"/>
    <mergeCell ref="S87:T87"/>
    <mergeCell ref="S107:T107"/>
    <mergeCell ref="S108:T108"/>
    <mergeCell ref="S128:T128"/>
    <mergeCell ref="S129:T129"/>
    <mergeCell ref="R127:S127"/>
    <mergeCell ref="R64:S64"/>
    <mergeCell ref="Q123:R123"/>
    <mergeCell ref="S123:T123"/>
    <mergeCell ref="I110:J110"/>
    <mergeCell ref="K110:L110"/>
    <mergeCell ref="K121:M122"/>
    <mergeCell ref="B101:D101"/>
    <mergeCell ref="E101:F101"/>
    <mergeCell ref="Q101:T101"/>
    <mergeCell ref="B102:D102"/>
    <mergeCell ref="E102:F102"/>
    <mergeCell ref="Q102:R102"/>
    <mergeCell ref="S102:T102"/>
    <mergeCell ref="I102:J102"/>
    <mergeCell ref="K102:L102"/>
    <mergeCell ref="I105:J105"/>
    <mergeCell ref="K105:L105"/>
    <mergeCell ref="I106:J106"/>
    <mergeCell ref="K106:L106"/>
    <mergeCell ref="I107:J107"/>
    <mergeCell ref="K107:L107"/>
    <mergeCell ref="E119:G119"/>
    <mergeCell ref="H121:J121"/>
    <mergeCell ref="I104:J104"/>
    <mergeCell ref="K104:L104"/>
    <mergeCell ref="I87:J87"/>
    <mergeCell ref="K87:L87"/>
    <mergeCell ref="I88:J88"/>
    <mergeCell ref="K88:L88"/>
    <mergeCell ref="I89:J89"/>
    <mergeCell ref="K89:L89"/>
    <mergeCell ref="B100:D100"/>
    <mergeCell ref="Q104:R104"/>
    <mergeCell ref="S104:T104"/>
    <mergeCell ref="I103:J103"/>
    <mergeCell ref="K103:L103"/>
    <mergeCell ref="O104:P104"/>
    <mergeCell ref="I66:J66"/>
    <mergeCell ref="K66:L66"/>
    <mergeCell ref="I67:J67"/>
    <mergeCell ref="K67:L67"/>
    <mergeCell ref="I84:J84"/>
    <mergeCell ref="K84:L84"/>
    <mergeCell ref="I85:J85"/>
    <mergeCell ref="K85:L85"/>
    <mergeCell ref="I86:J86"/>
    <mergeCell ref="K86:L86"/>
    <mergeCell ref="I81:J81"/>
    <mergeCell ref="K81:L81"/>
    <mergeCell ref="I82:J82"/>
    <mergeCell ref="K82:L82"/>
    <mergeCell ref="I83:J83"/>
    <mergeCell ref="K83:L83"/>
    <mergeCell ref="I68:J68"/>
    <mergeCell ref="K68:L68"/>
    <mergeCell ref="B40:D40"/>
    <mergeCell ref="S18:T18"/>
    <mergeCell ref="S20:T20"/>
    <mergeCell ref="I41:J41"/>
    <mergeCell ref="K41:L41"/>
    <mergeCell ref="I45:J45"/>
    <mergeCell ref="K45:L45"/>
    <mergeCell ref="I46:J46"/>
    <mergeCell ref="K46:L46"/>
    <mergeCell ref="B44:G44"/>
    <mergeCell ref="E41:F41"/>
    <mergeCell ref="E42:F42"/>
    <mergeCell ref="I42:J42"/>
    <mergeCell ref="K42:L42"/>
    <mergeCell ref="I43:J43"/>
    <mergeCell ref="I39:J39"/>
    <mergeCell ref="K39:L39"/>
    <mergeCell ref="I40:J40"/>
    <mergeCell ref="K40:L40"/>
    <mergeCell ref="K19:L19"/>
    <mergeCell ref="K20:L20"/>
    <mergeCell ref="K21:L21"/>
    <mergeCell ref="K22:L22"/>
    <mergeCell ref="K23:L23"/>
    <mergeCell ref="B17:D17"/>
    <mergeCell ref="B18:D18"/>
    <mergeCell ref="B19:D19"/>
    <mergeCell ref="B38:D38"/>
    <mergeCell ref="B39:D39"/>
    <mergeCell ref="G4:I4"/>
    <mergeCell ref="K16:M17"/>
    <mergeCell ref="I18:J18"/>
    <mergeCell ref="I19:J19"/>
    <mergeCell ref="I20:J20"/>
    <mergeCell ref="B6:M7"/>
    <mergeCell ref="E14:G14"/>
    <mergeCell ref="K12:M12"/>
    <mergeCell ref="K13:M13"/>
    <mergeCell ref="H16:J16"/>
    <mergeCell ref="E12:F12"/>
    <mergeCell ref="E13:F13"/>
    <mergeCell ref="I23:J23"/>
    <mergeCell ref="I24:J24"/>
    <mergeCell ref="I25:J25"/>
    <mergeCell ref="H17:J17"/>
    <mergeCell ref="J4:M4"/>
    <mergeCell ref="I27:J27"/>
    <mergeCell ref="K18:L18"/>
    <mergeCell ref="K24:L24"/>
    <mergeCell ref="I21:J21"/>
    <mergeCell ref="I22:J22"/>
    <mergeCell ref="O20:P20"/>
    <mergeCell ref="Q20:R20"/>
    <mergeCell ref="R22:S22"/>
    <mergeCell ref="O41:P41"/>
    <mergeCell ref="Q41:R41"/>
    <mergeCell ref="S41:T41"/>
    <mergeCell ref="K25:L25"/>
    <mergeCell ref="K26:L26"/>
    <mergeCell ref="K27:L27"/>
    <mergeCell ref="S39:T39"/>
    <mergeCell ref="AD37:AN37"/>
    <mergeCell ref="AR37:AR38"/>
    <mergeCell ref="AS37:BL37"/>
    <mergeCell ref="H38:J38"/>
    <mergeCell ref="E33:F33"/>
    <mergeCell ref="K33:M33"/>
    <mergeCell ref="E34:F34"/>
    <mergeCell ref="K34:M34"/>
    <mergeCell ref="AR16:AR17"/>
    <mergeCell ref="AS16:BL16"/>
    <mergeCell ref="AD16:AN16"/>
    <mergeCell ref="I26:J26"/>
    <mergeCell ref="Q38:T38"/>
    <mergeCell ref="B23:G23"/>
    <mergeCell ref="B16:D16"/>
    <mergeCell ref="E16:F16"/>
    <mergeCell ref="E20:F20"/>
    <mergeCell ref="E21:F21"/>
    <mergeCell ref="E35:G35"/>
    <mergeCell ref="H37:J37"/>
    <mergeCell ref="K37:M38"/>
    <mergeCell ref="B37:D37"/>
    <mergeCell ref="E37:F37"/>
    <mergeCell ref="Q18:R18"/>
    <mergeCell ref="K43:L43"/>
    <mergeCell ref="I44:J44"/>
    <mergeCell ref="K44:L44"/>
    <mergeCell ref="AD58:AN58"/>
    <mergeCell ref="AR58:AR59"/>
    <mergeCell ref="AS58:BL58"/>
    <mergeCell ref="H59:J59"/>
    <mergeCell ref="I48:J48"/>
    <mergeCell ref="K48:L48"/>
    <mergeCell ref="I47:J47"/>
    <mergeCell ref="K47:L47"/>
    <mergeCell ref="E54:F54"/>
    <mergeCell ref="K54:M54"/>
    <mergeCell ref="E55:F55"/>
    <mergeCell ref="K55:M55"/>
    <mergeCell ref="E56:G56"/>
    <mergeCell ref="H58:J58"/>
    <mergeCell ref="K58:M59"/>
    <mergeCell ref="Q59:T59"/>
    <mergeCell ref="I65:J65"/>
    <mergeCell ref="K65:L65"/>
    <mergeCell ref="I60:J60"/>
    <mergeCell ref="K60:L60"/>
    <mergeCell ref="I61:J61"/>
    <mergeCell ref="K61:L61"/>
    <mergeCell ref="I62:J62"/>
    <mergeCell ref="K62:L62"/>
    <mergeCell ref="E59:F59"/>
    <mergeCell ref="E60:F60"/>
    <mergeCell ref="E61:F61"/>
    <mergeCell ref="I63:J63"/>
    <mergeCell ref="K63:L63"/>
    <mergeCell ref="I64:J64"/>
    <mergeCell ref="K64:L64"/>
    <mergeCell ref="AD79:AN79"/>
    <mergeCell ref="AR79:AR80"/>
    <mergeCell ref="AS79:BL79"/>
    <mergeCell ref="H80:J80"/>
    <mergeCell ref="I69:J69"/>
    <mergeCell ref="K69:L69"/>
    <mergeCell ref="E75:F75"/>
    <mergeCell ref="K75:M75"/>
    <mergeCell ref="E76:F76"/>
    <mergeCell ref="K76:M76"/>
    <mergeCell ref="E77:G77"/>
    <mergeCell ref="H79:J79"/>
    <mergeCell ref="K79:M80"/>
    <mergeCell ref="E80:F80"/>
    <mergeCell ref="Q80:T80"/>
    <mergeCell ref="AD100:AN100"/>
    <mergeCell ref="AR100:AR101"/>
    <mergeCell ref="AS100:BL100"/>
    <mergeCell ref="H101:J101"/>
    <mergeCell ref="I90:J90"/>
    <mergeCell ref="K90:L90"/>
    <mergeCell ref="E96:F96"/>
    <mergeCell ref="K96:M96"/>
    <mergeCell ref="E97:F97"/>
    <mergeCell ref="K97:M97"/>
    <mergeCell ref="E98:G98"/>
    <mergeCell ref="H100:J100"/>
    <mergeCell ref="K100:M101"/>
    <mergeCell ref="E100:F100"/>
    <mergeCell ref="AD121:AN121"/>
    <mergeCell ref="AR121:AR122"/>
    <mergeCell ref="AS121:BL121"/>
    <mergeCell ref="H122:J122"/>
    <mergeCell ref="I111:J111"/>
    <mergeCell ref="K111:L111"/>
    <mergeCell ref="E117:F117"/>
    <mergeCell ref="K117:M117"/>
    <mergeCell ref="E118:F118"/>
    <mergeCell ref="K118:M118"/>
    <mergeCell ref="E122:F122"/>
    <mergeCell ref="Q122:T122"/>
    <mergeCell ref="AS142:BL142"/>
    <mergeCell ref="H143:J143"/>
    <mergeCell ref="O146:P146"/>
    <mergeCell ref="Q146:R146"/>
    <mergeCell ref="S146:T146"/>
    <mergeCell ref="E146:F146"/>
    <mergeCell ref="E144:F144"/>
    <mergeCell ref="Q144:R144"/>
    <mergeCell ref="S144:T144"/>
    <mergeCell ref="E145:F145"/>
    <mergeCell ref="K145:L145"/>
    <mergeCell ref="E143:F143"/>
    <mergeCell ref="Q143:T143"/>
    <mergeCell ref="I144:J144"/>
    <mergeCell ref="K144:L144"/>
    <mergeCell ref="I145:J145"/>
    <mergeCell ref="I146:J146"/>
    <mergeCell ref="K146:L146"/>
    <mergeCell ref="H142:J142"/>
    <mergeCell ref="K142:M143"/>
    <mergeCell ref="K152:L152"/>
    <mergeCell ref="I147:J147"/>
    <mergeCell ref="K147:L147"/>
    <mergeCell ref="I148:J148"/>
    <mergeCell ref="K148:L148"/>
    <mergeCell ref="I149:J149"/>
    <mergeCell ref="K149:L149"/>
    <mergeCell ref="AD142:AN142"/>
    <mergeCell ref="AR142:AR143"/>
    <mergeCell ref="B143:D143"/>
    <mergeCell ref="E103:F103"/>
    <mergeCell ref="B107:G107"/>
    <mergeCell ref="B124:D124"/>
    <mergeCell ref="E124:F124"/>
    <mergeCell ref="I150:J150"/>
    <mergeCell ref="K150:L150"/>
    <mergeCell ref="I151:J151"/>
    <mergeCell ref="K151:L151"/>
    <mergeCell ref="I127:J127"/>
    <mergeCell ref="K127:L127"/>
    <mergeCell ref="I128:J128"/>
    <mergeCell ref="K128:L128"/>
    <mergeCell ref="I123:J123"/>
    <mergeCell ref="K123:L123"/>
    <mergeCell ref="I124:J124"/>
    <mergeCell ref="K124:L124"/>
    <mergeCell ref="I125:J125"/>
    <mergeCell ref="K125:L125"/>
    <mergeCell ref="B122:D122"/>
    <mergeCell ref="I108:J108"/>
    <mergeCell ref="K108:L108"/>
    <mergeCell ref="I109:J109"/>
    <mergeCell ref="K109:L109"/>
    <mergeCell ref="I153:J153"/>
    <mergeCell ref="K153:L153"/>
    <mergeCell ref="E17:F17"/>
    <mergeCell ref="E18:F18"/>
    <mergeCell ref="E19:F19"/>
    <mergeCell ref="E38:F38"/>
    <mergeCell ref="E39:F39"/>
    <mergeCell ref="E40:F40"/>
    <mergeCell ref="E140:G140"/>
    <mergeCell ref="E138:F138"/>
    <mergeCell ref="E139:F139"/>
    <mergeCell ref="I129:J129"/>
    <mergeCell ref="K129:L129"/>
    <mergeCell ref="I130:J130"/>
    <mergeCell ref="K130:L130"/>
    <mergeCell ref="I131:J131"/>
    <mergeCell ref="K131:L131"/>
    <mergeCell ref="I126:J126"/>
    <mergeCell ref="K126:L126"/>
    <mergeCell ref="I132:J132"/>
    <mergeCell ref="K132:L132"/>
    <mergeCell ref="K138:M138"/>
    <mergeCell ref="K139:M139"/>
    <mergeCell ref="I152:J152"/>
    <mergeCell ref="B59:D59"/>
    <mergeCell ref="B60:D60"/>
    <mergeCell ref="B80:D80"/>
    <mergeCell ref="B81:D81"/>
    <mergeCell ref="E81:F81"/>
    <mergeCell ref="B65:G65"/>
    <mergeCell ref="B86:G86"/>
    <mergeCell ref="B61:D61"/>
    <mergeCell ref="B82:D82"/>
    <mergeCell ref="E82:F82"/>
    <mergeCell ref="B58:D58"/>
    <mergeCell ref="E58:F58"/>
    <mergeCell ref="B79:D79"/>
    <mergeCell ref="E79:F79"/>
    <mergeCell ref="B128:G128"/>
    <mergeCell ref="B149:G149"/>
    <mergeCell ref="E147:F147"/>
    <mergeCell ref="B121:D121"/>
    <mergeCell ref="E121:F121"/>
    <mergeCell ref="B142:D142"/>
    <mergeCell ref="E142:F142"/>
    <mergeCell ref="E62:F62"/>
    <mergeCell ref="E63:F63"/>
    <mergeCell ref="E83:F83"/>
    <mergeCell ref="E84:F84"/>
    <mergeCell ref="E104:F104"/>
    <mergeCell ref="E105:F105"/>
    <mergeCell ref="E125:F125"/>
    <mergeCell ref="E126:F126"/>
    <mergeCell ref="B103:D103"/>
    <mergeCell ref="B123:D123"/>
    <mergeCell ref="E123:F123"/>
    <mergeCell ref="B144:D144"/>
    <mergeCell ref="B145:D145"/>
  </mergeCells>
  <conditionalFormatting sqref="B6:M7">
    <cfRule type="containsBlanks" dxfId="421" priority="142">
      <formula>LEN(TRIM(B6))=0</formula>
    </cfRule>
  </conditionalFormatting>
  <conditionalFormatting sqref="Q20:T20">
    <cfRule type="containsText" dxfId="420" priority="111" operator="containsText" text="Reprovado">
      <formula>NOT(ISERROR(SEARCH("Reprovado",Q20)))</formula>
    </cfRule>
    <cfRule type="containsText" dxfId="419" priority="112" operator="containsText" text="Aprovado">
      <formula>NOT(ISERROR(SEARCH("Aprovado",Q20)))</formula>
    </cfRule>
  </conditionalFormatting>
  <conditionalFormatting sqref="R22:T22">
    <cfRule type="expression" dxfId="418" priority="110">
      <formula>$O22=""</formula>
    </cfRule>
  </conditionalFormatting>
  <conditionalFormatting sqref="S24:T24">
    <cfRule type="expression" dxfId="417" priority="109">
      <formula>$AS28</formula>
    </cfRule>
  </conditionalFormatting>
  <conditionalFormatting sqref="Q41:T41">
    <cfRule type="containsText" dxfId="416" priority="50" operator="containsText" text="Reprovado">
      <formula>NOT(ISERROR(SEARCH("Reprovado",Q41)))</formula>
    </cfRule>
    <cfRule type="containsText" dxfId="415" priority="51" operator="containsText" text="Aprovado">
      <formula>NOT(ISERROR(SEARCH("Aprovado",Q41)))</formula>
    </cfRule>
  </conditionalFormatting>
  <conditionalFormatting sqref="R43:T43">
    <cfRule type="expression" dxfId="414" priority="49">
      <formula>$O43=""</formula>
    </cfRule>
  </conditionalFormatting>
  <conditionalFormatting sqref="S45:T45">
    <cfRule type="expression" dxfId="413" priority="48">
      <formula>$AS49</formula>
    </cfRule>
  </conditionalFormatting>
  <conditionalFormatting sqref="B23:G23">
    <cfRule type="notContainsBlanks" dxfId="412" priority="47">
      <formula>LEN(TRIM(B23))&gt;0</formula>
    </cfRule>
  </conditionalFormatting>
  <conditionalFormatting sqref="B44:G44">
    <cfRule type="notContainsBlanks" dxfId="411" priority="46">
      <formula>LEN(TRIM(B44))&gt;0</formula>
    </cfRule>
  </conditionalFormatting>
  <conditionalFormatting sqref="Q62:T62">
    <cfRule type="containsText" dxfId="410" priority="44" operator="containsText" text="Reprovado">
      <formula>NOT(ISERROR(SEARCH("Reprovado",Q62)))</formula>
    </cfRule>
    <cfRule type="containsText" dxfId="409" priority="45" operator="containsText" text="Aprovado">
      <formula>NOT(ISERROR(SEARCH("Aprovado",Q62)))</formula>
    </cfRule>
  </conditionalFormatting>
  <conditionalFormatting sqref="R64:T64">
    <cfRule type="expression" dxfId="408" priority="43">
      <formula>$O64=""</formula>
    </cfRule>
  </conditionalFormatting>
  <conditionalFormatting sqref="S66:T66">
    <cfRule type="expression" dxfId="407" priority="42">
      <formula>$AS70</formula>
    </cfRule>
  </conditionalFormatting>
  <conditionalFormatting sqref="B65:G65">
    <cfRule type="notContainsBlanks" dxfId="406" priority="41">
      <formula>LEN(TRIM(B65))&gt;0</formula>
    </cfRule>
  </conditionalFormatting>
  <conditionalFormatting sqref="Q83:T83">
    <cfRule type="containsText" dxfId="405" priority="39" operator="containsText" text="Reprovado">
      <formula>NOT(ISERROR(SEARCH("Reprovado",Q83)))</formula>
    </cfRule>
    <cfRule type="containsText" dxfId="404" priority="40" operator="containsText" text="Aprovado">
      <formula>NOT(ISERROR(SEARCH("Aprovado",Q83)))</formula>
    </cfRule>
  </conditionalFormatting>
  <conditionalFormatting sqref="R85:T85">
    <cfRule type="expression" dxfId="403" priority="38">
      <formula>$O85=""</formula>
    </cfRule>
  </conditionalFormatting>
  <conditionalFormatting sqref="S87:T87">
    <cfRule type="expression" dxfId="402" priority="37">
      <formula>$AS91</formula>
    </cfRule>
  </conditionalFormatting>
  <conditionalFormatting sqref="B86:G86">
    <cfRule type="notContainsBlanks" dxfId="401" priority="36">
      <formula>LEN(TRIM(B86))&gt;0</formula>
    </cfRule>
  </conditionalFormatting>
  <conditionalFormatting sqref="Q104:T104">
    <cfRule type="containsText" dxfId="400" priority="34" operator="containsText" text="Reprovado">
      <formula>NOT(ISERROR(SEARCH("Reprovado",Q104)))</formula>
    </cfRule>
    <cfRule type="containsText" dxfId="399" priority="35" operator="containsText" text="Aprovado">
      <formula>NOT(ISERROR(SEARCH("Aprovado",Q104)))</formula>
    </cfRule>
  </conditionalFormatting>
  <conditionalFormatting sqref="R106:T106">
    <cfRule type="expression" dxfId="398" priority="33">
      <formula>$O106=""</formula>
    </cfRule>
  </conditionalFormatting>
  <conditionalFormatting sqref="S108:T108">
    <cfRule type="expression" dxfId="397" priority="32">
      <formula>$AS112</formula>
    </cfRule>
  </conditionalFormatting>
  <conditionalFormatting sqref="B107:G107">
    <cfRule type="notContainsBlanks" dxfId="396" priority="31">
      <formula>LEN(TRIM(B107))&gt;0</formula>
    </cfRule>
  </conditionalFormatting>
  <conditionalFormatting sqref="Q125:T125">
    <cfRule type="containsText" dxfId="395" priority="29" operator="containsText" text="Reprovado">
      <formula>NOT(ISERROR(SEARCH("Reprovado",Q125)))</formula>
    </cfRule>
    <cfRule type="containsText" dxfId="394" priority="30" operator="containsText" text="Aprovado">
      <formula>NOT(ISERROR(SEARCH("Aprovado",Q125)))</formula>
    </cfRule>
  </conditionalFormatting>
  <conditionalFormatting sqref="R127:T127">
    <cfRule type="expression" dxfId="393" priority="28">
      <formula>$O127=""</formula>
    </cfRule>
  </conditionalFormatting>
  <conditionalFormatting sqref="S129:T129">
    <cfRule type="expression" dxfId="392" priority="27">
      <formula>$AS133</formula>
    </cfRule>
  </conditionalFormatting>
  <conditionalFormatting sqref="B128:G128">
    <cfRule type="notContainsBlanks" dxfId="391" priority="26">
      <formula>LEN(TRIM(B128))&gt;0</formula>
    </cfRule>
  </conditionalFormatting>
  <conditionalFormatting sqref="Q146:T146">
    <cfRule type="containsText" dxfId="390" priority="24" operator="containsText" text="Reprovado">
      <formula>NOT(ISERROR(SEARCH("Reprovado",Q146)))</formula>
    </cfRule>
    <cfRule type="containsText" dxfId="389" priority="25" operator="containsText" text="Aprovado">
      <formula>NOT(ISERROR(SEARCH("Aprovado",Q146)))</formula>
    </cfRule>
  </conditionalFormatting>
  <conditionalFormatting sqref="R148:T148">
    <cfRule type="expression" dxfId="388" priority="23">
      <formula>$O148=""</formula>
    </cfRule>
  </conditionalFormatting>
  <conditionalFormatting sqref="S150:T150">
    <cfRule type="expression" dxfId="387" priority="22">
      <formula>$AS154</formula>
    </cfRule>
  </conditionalFormatting>
  <conditionalFormatting sqref="B149:G149">
    <cfRule type="notContainsBlanks" dxfId="386" priority="21">
      <formula>LEN(TRIM(B149))&gt;0</formula>
    </cfRule>
  </conditionalFormatting>
  <conditionalFormatting sqref="N4:T4">
    <cfRule type="expression" dxfId="385" priority="17">
      <formula>$J$4=""</formula>
    </cfRule>
  </conditionalFormatting>
  <conditionalFormatting sqref="Q5:R5">
    <cfRule type="expression" dxfId="384" priority="16">
      <formula>$J$4=""</formula>
    </cfRule>
  </conditionalFormatting>
  <conditionalFormatting sqref="S5:T5">
    <cfRule type="expression" dxfId="383" priority="15">
      <formula>$J$4=""</formula>
    </cfRule>
  </conditionalFormatting>
  <conditionalFormatting sqref="O12:T12">
    <cfRule type="notContainsBlanks" dxfId="382" priority="14">
      <formula>LEN(TRIM(O12))&gt;0</formula>
    </cfRule>
  </conditionalFormatting>
  <conditionalFormatting sqref="K12:M12">
    <cfRule type="expression" dxfId="381" priority="13">
      <formula>$O12&lt;&gt;""</formula>
    </cfRule>
  </conditionalFormatting>
  <conditionalFormatting sqref="O33:T33">
    <cfRule type="notContainsBlanks" dxfId="380" priority="12">
      <formula>LEN(TRIM(O33))&gt;0</formula>
    </cfRule>
  </conditionalFormatting>
  <conditionalFormatting sqref="K33:M33">
    <cfRule type="expression" dxfId="379" priority="11">
      <formula>$O33&lt;&gt;""</formula>
    </cfRule>
  </conditionalFormatting>
  <conditionalFormatting sqref="O54:T54">
    <cfRule type="notContainsBlanks" dxfId="378" priority="10">
      <formula>LEN(TRIM(O54))&gt;0</formula>
    </cfRule>
  </conditionalFormatting>
  <conditionalFormatting sqref="K54:M54">
    <cfRule type="expression" dxfId="377" priority="9">
      <formula>$O54&lt;&gt;""</formula>
    </cfRule>
  </conditionalFormatting>
  <conditionalFormatting sqref="O75:T75">
    <cfRule type="notContainsBlanks" dxfId="376" priority="8">
      <formula>LEN(TRIM(O75))&gt;0</formula>
    </cfRule>
  </conditionalFormatting>
  <conditionalFormatting sqref="K75:M75">
    <cfRule type="expression" dxfId="375" priority="7">
      <formula>$O75&lt;&gt;""</formula>
    </cfRule>
  </conditionalFormatting>
  <conditionalFormatting sqref="O96:T96">
    <cfRule type="notContainsBlanks" dxfId="374" priority="6">
      <formula>LEN(TRIM(O96))&gt;0</formula>
    </cfRule>
  </conditionalFormatting>
  <conditionalFormatting sqref="K96:M96">
    <cfRule type="expression" dxfId="373" priority="5">
      <formula>$O96&lt;&gt;""</formula>
    </cfRule>
  </conditionalFormatting>
  <conditionalFormatting sqref="O117:T117">
    <cfRule type="notContainsBlanks" dxfId="372" priority="4">
      <formula>LEN(TRIM(O117))&gt;0</formula>
    </cfRule>
  </conditionalFormatting>
  <conditionalFormatting sqref="K117:M117">
    <cfRule type="expression" dxfId="371" priority="3">
      <formula>$O117&lt;&gt;""</formula>
    </cfRule>
  </conditionalFormatting>
  <conditionalFormatting sqref="O138:T138">
    <cfRule type="notContainsBlanks" dxfId="370" priority="2">
      <formula>LEN(TRIM(O138))&gt;0</formula>
    </cfRule>
  </conditionalFormatting>
  <conditionalFormatting sqref="K138:M138">
    <cfRule type="expression" dxfId="369" priority="1">
      <formula>$O138&lt;&gt;""</formula>
    </cfRule>
  </conditionalFormatting>
  <dataValidations count="10">
    <dataValidation type="list" allowBlank="1" showInputMessage="1" showErrorMessage="1" sqref="H17:J17 H59:J59 H122:J122 H38:J38 H80:J80 H101:J101 H143:J143" xr:uid="{E47163A5-808E-422B-B3AF-AEA85B6979F7}">
      <formula1>$BN$1:$BN$4</formula1>
    </dataValidation>
    <dataValidation type="list" allowBlank="1" showInputMessage="1" showErrorMessage="1" sqref="E98:G98 E14:G14 E119:G119 E56:G56 E77:G77 E35:G35 E140:G140" xr:uid="{930CA6A6-A71B-4768-8332-A2E021B32F55}">
      <formula1>$BX$1:$BX$6</formula1>
    </dataValidation>
    <dataValidation type="list" allowBlank="1" showInputMessage="1" showErrorMessage="1" sqref="Q17:T17 Q38:T38 Q101:T101 Q122:T122 Q59:T59 Q80:T80 Q143:T143" xr:uid="{9C1C6CE4-8EB9-4C84-AD7A-FEBFCE772572}">
      <formula1>$BP$25:$BU$25</formula1>
    </dataValidation>
    <dataValidation type="list" allowBlank="1" sqref="R19 T19 T22 R40 T40 T43 R82 R61 T82 R103 R124 T103 T61 T85 T106 T124 T127 T64 R145 T145 T148" xr:uid="{A133AA99-D552-4BE4-B8C5-29C2A12043DD}">
      <formula1>$CB$1:$CB$2</formula1>
    </dataValidation>
    <dataValidation type="list" allowBlank="1" showInputMessage="1" showErrorMessage="1" sqref="O20:P20 O41:P41 O125:P125 O62:P62 O83:P83 O104:P104 O146:P146" xr:uid="{5F74F01B-01BD-4F50-A8ED-632425F7BACD}">
      <formula1>$CD$1:$CD$2</formula1>
    </dataValidation>
    <dataValidation type="list" allowBlank="1" showInputMessage="1" showErrorMessage="1" sqref="K117:M117 K75:M75 K96:M96 K12:M12 K54:M54 K33:M33 K138:M138" xr:uid="{6C53B7DF-B1E2-4EC9-9BF3-807D8755869F}">
      <formula1>$CQ$2:$CQ$21</formula1>
    </dataValidation>
    <dataValidation type="list" allowBlank="1" showInputMessage="1" showErrorMessage="1" sqref="K13:M13 K97:M97 K118:M118 K55:M55 K76:M76 K34:M34 K139:M139" xr:uid="{00544440-D58B-4FDE-9643-5009FB99D3E4}">
      <formula1>$CM$2:$CM$21</formula1>
    </dataValidation>
    <dataValidation type="list" allowBlank="1" sqref="S4:T4" xr:uid="{36094683-5779-4403-87DD-E2DE49DE32C9}">
      <formula1>$CU$1:$CU$8</formula1>
    </dataValidation>
    <dataValidation type="list" allowBlank="1" sqref="S7:T7" xr:uid="{3E7053E2-2AE4-4401-89DC-E777BD3AF199}">
      <formula1>$BN$1:$BN$4</formula1>
    </dataValidation>
    <dataValidation type="whole" allowBlank="1" showInputMessage="1" showErrorMessage="1" sqref="S14" xr:uid="{873E2E63-E666-4DC8-A841-F0A31085BE82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8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8" name="Button 1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9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10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11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12" name="Button 5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13" name="Button 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14" name="Button 36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15" name="Button 37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16" name="Button 38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17" name="Button 39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18" name="Button 40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19" name="Button 41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20" name="Button 42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21" name="Button 43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22" name="Button 44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23" name="Button 45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24" name="Button 46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25" name="Button 49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26" name="Button 51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27" name="Button 52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28" name="Button 53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29" name="Button 54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30" name="Button 55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31" name="Button 56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32" name="Button 57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33" name="Button 58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34" name="Button 59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35" name="Button 60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36" name="Button 61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37" name="Button 62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38" name="Button 63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39" name="Button 64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40" name="Button 65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41" name="Button 66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42" name="Button 67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43" name="Button 68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44" name="Button 69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45" name="Button 70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46" name="Button 71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47" name="Button 72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48" name="Button 73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49" name="Button 74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50" name="Button 75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51" name="Button 76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52" name="Button 77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53" name="Button 78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54" name="Button 79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55" name="Button 80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56" name="Button 81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57" name="Button 82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58" name="Button 83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59" name="Button 84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60" name="Button 85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61" name="Button 86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62" name="Button 87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63" name="Button 88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64" name="Button 89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65" name="Button 90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66" name="Button 91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67" name="Button 92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68" name="Button 93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69" name="Button 94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70" name="Button 95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71" name="Button 96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72" name="Button 97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73" name="Button 98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74" name="Button 99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75" name="Button 100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76" name="Button 101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77" name="Button 102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78" name="Button 103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79" name="Button 104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0" name="Button 105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1" name="Button 106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2" name="Button 107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3" name="Button 108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4" name="Button 109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5" name="Button 110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0EA1-90F6-4DB6-A001-D43693C819C5}">
  <sheetPr codeName="Planilha13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</v>
      </c>
      <c r="AC1" s="61" t="str">
        <f>CONCATENATE("Incerteza - R",A2)</f>
        <v>Incerteza - R2</v>
      </c>
      <c r="AD1" s="61" t="str">
        <f>CONCATENATE("Resultados - ",A2)</f>
        <v>Resultados - 2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2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- 1'!K12="","",'Resultados - 1'!K12)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- 1'!K13="","",'Resultados - 1'!K13)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- 1'!K12,'Resultados - 1'!H17,'Resultados - 1'!AH18)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- 1'!Q17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R2'!$S$4:$W$163,2,FALSE))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R2'!$S$4:$W$163,5,FALSE),"")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R2'!$S$4:$W$163,3,FALSE))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R2'!$S$4:$W$163,4,FALSE))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R2'!$S$4:$W$163,2,FALSE))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R2'!$S$4:$W$163,5,FALSE),"")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R2'!$S$4:$W$163,3,FALSE))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R2'!$S$4:$W$163,4,FALSE))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R2'!$S$4:$W$163,2,FALSE))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R2'!$S$4:$W$163,5,FALSE),"")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R2'!$S$4:$W$163,3,FALSE))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R2'!$S$4:$W$163,4,FALSE))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R2'!$S$4:$W$163,2,FALSE))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R2'!$S$4:$W$163,5,FALSE),"")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R2'!$S$4:$W$163,3,FALSE))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R2'!$S$4:$W$163,4,FALSE))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R2'!$S$4:$W$163,2,FALSE))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R2'!$S$4:$W$163,5,FALSE),"")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R2'!$S$4:$W$163,3,FALSE))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R2'!$S$4:$W$163,4,FALSE))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R2'!$S$4:$W$163,2,FALSE))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R2'!$S$4:$W$163,5,FALSE),"")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R2'!$S$4:$W$163,3,FALSE))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R2'!$S$4:$W$163,4,FALSE))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R2'!$S$4:$W$163,2,FALSE))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R2'!$S$4:$W$163,5,FALSE),"")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R2'!$S$4:$W$163,3,FALSE))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R2'!$S$4:$W$163,4,FALSE))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CHbdliiriFbsmZEjcj0FMiltyMQrQgvs4IFOF7zspJiZlwqidS9It7Jtu+Gt/9T6y8G+fjHvZomSAO17J0WGfA==" saltValue="GmVtzzImBuNZ6VrbODwq2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AS16:BL16"/>
    <mergeCell ref="G4:I4"/>
    <mergeCell ref="B6:M7"/>
    <mergeCell ref="E12:F12"/>
    <mergeCell ref="K12:M12"/>
    <mergeCell ref="E13:F13"/>
    <mergeCell ref="K13:M13"/>
    <mergeCell ref="Q17:T17"/>
    <mergeCell ref="J4:M4"/>
    <mergeCell ref="N4:O4"/>
    <mergeCell ref="Q4:R4"/>
    <mergeCell ref="S4:T4"/>
    <mergeCell ref="Q5:R5"/>
    <mergeCell ref="S5:T5"/>
    <mergeCell ref="Q7:R7"/>
    <mergeCell ref="S7:T7"/>
    <mergeCell ref="O12:T12"/>
    <mergeCell ref="Q18:R18"/>
    <mergeCell ref="E14:G14"/>
    <mergeCell ref="H16:J16"/>
    <mergeCell ref="K16:M17"/>
    <mergeCell ref="B16:D16"/>
    <mergeCell ref="E16:F16"/>
    <mergeCell ref="AD16:AN16"/>
    <mergeCell ref="AR16:AR17"/>
    <mergeCell ref="B19:D19"/>
    <mergeCell ref="E19:F19"/>
    <mergeCell ref="I19:J19"/>
    <mergeCell ref="K19:L19"/>
    <mergeCell ref="B17:D17"/>
    <mergeCell ref="E17:F17"/>
    <mergeCell ref="H17:J17"/>
    <mergeCell ref="S14:T14"/>
    <mergeCell ref="E20:F20"/>
    <mergeCell ref="B18:D18"/>
    <mergeCell ref="E18:F18"/>
    <mergeCell ref="I18:J18"/>
    <mergeCell ref="K18:L18"/>
    <mergeCell ref="S18:T18"/>
    <mergeCell ref="I23:J23"/>
    <mergeCell ref="K23:L23"/>
    <mergeCell ref="S23:T23"/>
    <mergeCell ref="E21:F21"/>
    <mergeCell ref="B23:G23"/>
    <mergeCell ref="I24:J24"/>
    <mergeCell ref="K24:L24"/>
    <mergeCell ref="S24:T24"/>
    <mergeCell ref="O20:P20"/>
    <mergeCell ref="Q20:R20"/>
    <mergeCell ref="S20:T20"/>
    <mergeCell ref="I21:J21"/>
    <mergeCell ref="K21:L21"/>
    <mergeCell ref="I22:J22"/>
    <mergeCell ref="K22:L22"/>
    <mergeCell ref="R22:S22"/>
    <mergeCell ref="I20:J20"/>
    <mergeCell ref="K20:L20"/>
    <mergeCell ref="K33:M33"/>
    <mergeCell ref="E34:F34"/>
    <mergeCell ref="K34:M34"/>
    <mergeCell ref="E35:G35"/>
    <mergeCell ref="H37:J37"/>
    <mergeCell ref="K37:M38"/>
    <mergeCell ref="I25:J25"/>
    <mergeCell ref="K25:L25"/>
    <mergeCell ref="I26:J26"/>
    <mergeCell ref="K26:L26"/>
    <mergeCell ref="I27:J27"/>
    <mergeCell ref="K27:L27"/>
    <mergeCell ref="E33:F33"/>
    <mergeCell ref="S39:T39"/>
    <mergeCell ref="AD37:AN37"/>
    <mergeCell ref="AR37:AR38"/>
    <mergeCell ref="AS37:BL37"/>
    <mergeCell ref="B38:D38"/>
    <mergeCell ref="E38:F38"/>
    <mergeCell ref="H38:J38"/>
    <mergeCell ref="Q38:T38"/>
    <mergeCell ref="B37:D37"/>
    <mergeCell ref="E37:F37"/>
    <mergeCell ref="I40:J40"/>
    <mergeCell ref="K40:L40"/>
    <mergeCell ref="I41:J41"/>
    <mergeCell ref="K41:L41"/>
    <mergeCell ref="B39:D39"/>
    <mergeCell ref="E39:F39"/>
    <mergeCell ref="I39:J39"/>
    <mergeCell ref="K39:L39"/>
    <mergeCell ref="Q39:R39"/>
    <mergeCell ref="E41:F41"/>
    <mergeCell ref="B40:D40"/>
    <mergeCell ref="E40:F40"/>
    <mergeCell ref="I44:J44"/>
    <mergeCell ref="K44:L44"/>
    <mergeCell ref="S44:T44"/>
    <mergeCell ref="I45:J45"/>
    <mergeCell ref="K45:L45"/>
    <mergeCell ref="S45:T45"/>
    <mergeCell ref="O41:P41"/>
    <mergeCell ref="Q41:R41"/>
    <mergeCell ref="S41:T41"/>
    <mergeCell ref="I42:J42"/>
    <mergeCell ref="K42:L42"/>
    <mergeCell ref="I43:J43"/>
    <mergeCell ref="K43:L43"/>
    <mergeCell ref="R43:S43"/>
    <mergeCell ref="K54:M54"/>
    <mergeCell ref="E55:F55"/>
    <mergeCell ref="K55:M55"/>
    <mergeCell ref="E56:G56"/>
    <mergeCell ref="H58:J58"/>
    <mergeCell ref="K58:M59"/>
    <mergeCell ref="I46:J46"/>
    <mergeCell ref="K46:L46"/>
    <mergeCell ref="I47:J47"/>
    <mergeCell ref="K47:L47"/>
    <mergeCell ref="I48:J48"/>
    <mergeCell ref="K48:L48"/>
    <mergeCell ref="S60:T60"/>
    <mergeCell ref="AD58:AN58"/>
    <mergeCell ref="AR58:AR59"/>
    <mergeCell ref="AS58:BL58"/>
    <mergeCell ref="B59:D59"/>
    <mergeCell ref="E59:F59"/>
    <mergeCell ref="H59:J59"/>
    <mergeCell ref="Q59:T59"/>
    <mergeCell ref="B58:D58"/>
    <mergeCell ref="E58:F58"/>
    <mergeCell ref="I61:J61"/>
    <mergeCell ref="K61:L61"/>
    <mergeCell ref="I62:J62"/>
    <mergeCell ref="K62:L62"/>
    <mergeCell ref="B60:D60"/>
    <mergeCell ref="E60:F60"/>
    <mergeCell ref="I60:J60"/>
    <mergeCell ref="K60:L60"/>
    <mergeCell ref="Q60:R60"/>
    <mergeCell ref="I65:J65"/>
    <mergeCell ref="K65:L65"/>
    <mergeCell ref="S65:T65"/>
    <mergeCell ref="I66:J66"/>
    <mergeCell ref="K66:L66"/>
    <mergeCell ref="S66:T66"/>
    <mergeCell ref="O62:P62"/>
    <mergeCell ref="Q62:R62"/>
    <mergeCell ref="S62:T62"/>
    <mergeCell ref="I63:J63"/>
    <mergeCell ref="K63:L63"/>
    <mergeCell ref="I64:J64"/>
    <mergeCell ref="K64:L64"/>
    <mergeCell ref="R64:S64"/>
    <mergeCell ref="K75:M75"/>
    <mergeCell ref="E76:F76"/>
    <mergeCell ref="K76:M76"/>
    <mergeCell ref="E77:G77"/>
    <mergeCell ref="H79:J79"/>
    <mergeCell ref="K79:M80"/>
    <mergeCell ref="I67:J67"/>
    <mergeCell ref="K67:L67"/>
    <mergeCell ref="I68:J68"/>
    <mergeCell ref="K68:L68"/>
    <mergeCell ref="I69:J69"/>
    <mergeCell ref="K69:L69"/>
    <mergeCell ref="S81:T81"/>
    <mergeCell ref="AD79:AN79"/>
    <mergeCell ref="AR79:AR80"/>
    <mergeCell ref="AS79:BL79"/>
    <mergeCell ref="B80:D80"/>
    <mergeCell ref="E80:F80"/>
    <mergeCell ref="H80:J80"/>
    <mergeCell ref="Q80:T80"/>
    <mergeCell ref="B79:D79"/>
    <mergeCell ref="E79:F79"/>
    <mergeCell ref="I82:J82"/>
    <mergeCell ref="K82:L82"/>
    <mergeCell ref="I83:J83"/>
    <mergeCell ref="K83:L83"/>
    <mergeCell ref="B81:D81"/>
    <mergeCell ref="E81:F81"/>
    <mergeCell ref="I81:J81"/>
    <mergeCell ref="K81:L81"/>
    <mergeCell ref="Q81:R81"/>
    <mergeCell ref="I86:J86"/>
    <mergeCell ref="K86:L86"/>
    <mergeCell ref="S86:T86"/>
    <mergeCell ref="I87:J87"/>
    <mergeCell ref="K87:L87"/>
    <mergeCell ref="S87:T87"/>
    <mergeCell ref="O83:P83"/>
    <mergeCell ref="Q83:R83"/>
    <mergeCell ref="S83:T83"/>
    <mergeCell ref="I84:J84"/>
    <mergeCell ref="K84:L84"/>
    <mergeCell ref="I85:J85"/>
    <mergeCell ref="K85:L85"/>
    <mergeCell ref="R85:S85"/>
    <mergeCell ref="K96:M96"/>
    <mergeCell ref="E97:F97"/>
    <mergeCell ref="K97:M97"/>
    <mergeCell ref="E98:G98"/>
    <mergeCell ref="H100:J100"/>
    <mergeCell ref="K100:M101"/>
    <mergeCell ref="I88:J88"/>
    <mergeCell ref="K88:L88"/>
    <mergeCell ref="I89:J89"/>
    <mergeCell ref="K89:L89"/>
    <mergeCell ref="I90:J90"/>
    <mergeCell ref="K90:L90"/>
    <mergeCell ref="S102:T102"/>
    <mergeCell ref="AD100:AN100"/>
    <mergeCell ref="AR100:AR101"/>
    <mergeCell ref="AS100:BL100"/>
    <mergeCell ref="B101:D101"/>
    <mergeCell ref="E101:F101"/>
    <mergeCell ref="H101:J101"/>
    <mergeCell ref="Q101:T101"/>
    <mergeCell ref="B100:D100"/>
    <mergeCell ref="E100:F100"/>
    <mergeCell ref="I103:J103"/>
    <mergeCell ref="K103:L103"/>
    <mergeCell ref="I104:J104"/>
    <mergeCell ref="K104:L104"/>
    <mergeCell ref="B102:D102"/>
    <mergeCell ref="E102:F102"/>
    <mergeCell ref="I102:J102"/>
    <mergeCell ref="K102:L102"/>
    <mergeCell ref="Q102:R102"/>
    <mergeCell ref="I107:J107"/>
    <mergeCell ref="K107:L107"/>
    <mergeCell ref="S107:T107"/>
    <mergeCell ref="I108:J108"/>
    <mergeCell ref="K108:L108"/>
    <mergeCell ref="S108:T108"/>
    <mergeCell ref="O104:P104"/>
    <mergeCell ref="Q104:R104"/>
    <mergeCell ref="S104:T104"/>
    <mergeCell ref="I105:J105"/>
    <mergeCell ref="K105:L105"/>
    <mergeCell ref="I106:J106"/>
    <mergeCell ref="K106:L106"/>
    <mergeCell ref="R106:S106"/>
    <mergeCell ref="K117:M117"/>
    <mergeCell ref="E118:F118"/>
    <mergeCell ref="K118:M118"/>
    <mergeCell ref="E119:G119"/>
    <mergeCell ref="H121:J121"/>
    <mergeCell ref="K121:M122"/>
    <mergeCell ref="I109:J109"/>
    <mergeCell ref="K109:L109"/>
    <mergeCell ref="I110:J110"/>
    <mergeCell ref="K110:L110"/>
    <mergeCell ref="I111:J111"/>
    <mergeCell ref="K111:L111"/>
    <mergeCell ref="I123:J123"/>
    <mergeCell ref="K123:L123"/>
    <mergeCell ref="Q123:R123"/>
    <mergeCell ref="S123:T123"/>
    <mergeCell ref="AD121:AN121"/>
    <mergeCell ref="AR121:AR122"/>
    <mergeCell ref="AS121:BL121"/>
    <mergeCell ref="B122:D122"/>
    <mergeCell ref="E122:F122"/>
    <mergeCell ref="H122:J122"/>
    <mergeCell ref="Q122:T122"/>
    <mergeCell ref="B121:D121"/>
    <mergeCell ref="E121:F121"/>
    <mergeCell ref="O125:P125"/>
    <mergeCell ref="Q125:R125"/>
    <mergeCell ref="S125:T125"/>
    <mergeCell ref="I126:J126"/>
    <mergeCell ref="K126:L126"/>
    <mergeCell ref="I127:J127"/>
    <mergeCell ref="K127:L127"/>
    <mergeCell ref="R127:S127"/>
    <mergeCell ref="B124:D124"/>
    <mergeCell ref="E124:F124"/>
    <mergeCell ref="I124:J124"/>
    <mergeCell ref="K124:L124"/>
    <mergeCell ref="I125:J125"/>
    <mergeCell ref="K125:L125"/>
    <mergeCell ref="K130:L130"/>
    <mergeCell ref="I131:J131"/>
    <mergeCell ref="K131:L131"/>
    <mergeCell ref="I132:J132"/>
    <mergeCell ref="K132:L132"/>
    <mergeCell ref="I128:J128"/>
    <mergeCell ref="K128:L128"/>
    <mergeCell ref="S128:T128"/>
    <mergeCell ref="I129:J129"/>
    <mergeCell ref="K129:L129"/>
    <mergeCell ref="S129:T129"/>
    <mergeCell ref="I130:J130"/>
    <mergeCell ref="Q144:R144"/>
    <mergeCell ref="S144:T144"/>
    <mergeCell ref="AD142:AN142"/>
    <mergeCell ref="AR142:AR143"/>
    <mergeCell ref="AS142:BL142"/>
    <mergeCell ref="B143:D143"/>
    <mergeCell ref="E143:F143"/>
    <mergeCell ref="H143:J143"/>
    <mergeCell ref="Q143:T143"/>
    <mergeCell ref="B142:D142"/>
    <mergeCell ref="E142:F142"/>
    <mergeCell ref="H142:J142"/>
    <mergeCell ref="K142:M143"/>
    <mergeCell ref="I153:J153"/>
    <mergeCell ref="K153:L153"/>
    <mergeCell ref="I149:J149"/>
    <mergeCell ref="K149:L149"/>
    <mergeCell ref="S149:T149"/>
    <mergeCell ref="I150:J150"/>
    <mergeCell ref="K150:L150"/>
    <mergeCell ref="S150:T150"/>
    <mergeCell ref="O146:P146"/>
    <mergeCell ref="Q146:R146"/>
    <mergeCell ref="S146:T146"/>
    <mergeCell ref="I147:J147"/>
    <mergeCell ref="K147:L147"/>
    <mergeCell ref="I148:J148"/>
    <mergeCell ref="K148:L148"/>
    <mergeCell ref="R148:S148"/>
    <mergeCell ref="I146:J146"/>
    <mergeCell ref="K146:L146"/>
    <mergeCell ref="I151:J151"/>
    <mergeCell ref="K151:L151"/>
    <mergeCell ref="I152:J152"/>
    <mergeCell ref="K152:L152"/>
    <mergeCell ref="I145:J145"/>
    <mergeCell ref="K145:L145"/>
    <mergeCell ref="B144:D144"/>
    <mergeCell ref="E144:F144"/>
    <mergeCell ref="I144:J144"/>
    <mergeCell ref="K144:L144"/>
    <mergeCell ref="E138:F138"/>
    <mergeCell ref="K138:M138"/>
    <mergeCell ref="E139:F139"/>
    <mergeCell ref="K139:M139"/>
    <mergeCell ref="E140:G140"/>
    <mergeCell ref="E42:F42"/>
    <mergeCell ref="B44:G44"/>
    <mergeCell ref="E62:F62"/>
    <mergeCell ref="E63:F63"/>
    <mergeCell ref="B65:G65"/>
    <mergeCell ref="E83:F83"/>
    <mergeCell ref="B82:D82"/>
    <mergeCell ref="E82:F82"/>
    <mergeCell ref="E75:F75"/>
    <mergeCell ref="B61:D61"/>
    <mergeCell ref="E61:F61"/>
    <mergeCell ref="E54:F54"/>
    <mergeCell ref="E147:F147"/>
    <mergeCell ref="B149:G149"/>
    <mergeCell ref="E84:F84"/>
    <mergeCell ref="B86:G86"/>
    <mergeCell ref="E104:F104"/>
    <mergeCell ref="E105:F105"/>
    <mergeCell ref="B107:G107"/>
    <mergeCell ref="E125:F125"/>
    <mergeCell ref="E126:F126"/>
    <mergeCell ref="B128:G128"/>
    <mergeCell ref="E146:F146"/>
    <mergeCell ref="B145:D145"/>
    <mergeCell ref="E145:F145"/>
    <mergeCell ref="B123:D123"/>
    <mergeCell ref="E123:F123"/>
    <mergeCell ref="E117:F117"/>
    <mergeCell ref="B103:D103"/>
    <mergeCell ref="E103:F103"/>
    <mergeCell ref="E96:F96"/>
  </mergeCells>
  <conditionalFormatting sqref="B6:M7">
    <cfRule type="containsBlanks" dxfId="368" priority="41">
      <formula>LEN(TRIM(B6))=0</formula>
    </cfRule>
  </conditionalFormatting>
  <conditionalFormatting sqref="Q41:T41">
    <cfRule type="containsText" dxfId="367" priority="35" operator="containsText" text="Reprovado">
      <formula>NOT(ISERROR(SEARCH("Reprovado",Q41)))</formula>
    </cfRule>
    <cfRule type="containsText" dxfId="366" priority="36" operator="containsText" text="Aprovado">
      <formula>NOT(ISERROR(SEARCH("Aprovado",Q41)))</formula>
    </cfRule>
  </conditionalFormatting>
  <conditionalFormatting sqref="R43:T43">
    <cfRule type="expression" dxfId="365" priority="34">
      <formula>$O43=""</formula>
    </cfRule>
  </conditionalFormatting>
  <conditionalFormatting sqref="S45:T45">
    <cfRule type="expression" dxfId="364" priority="33">
      <formula>$AS49</formula>
    </cfRule>
  </conditionalFormatting>
  <conditionalFormatting sqref="Q20:T20">
    <cfRule type="containsText" dxfId="363" priority="27" operator="containsText" text="Reprovado">
      <formula>NOT(ISERROR(SEARCH("Reprovado",Q20)))</formula>
    </cfRule>
    <cfRule type="containsText" dxfId="362" priority="28" operator="containsText" text="Aprovado">
      <formula>NOT(ISERROR(SEARCH("Aprovado",Q20)))</formula>
    </cfRule>
  </conditionalFormatting>
  <conditionalFormatting sqref="R22:T22">
    <cfRule type="expression" dxfId="361" priority="26">
      <formula>$O22=""</formula>
    </cfRule>
  </conditionalFormatting>
  <conditionalFormatting sqref="S24:T24">
    <cfRule type="expression" dxfId="360" priority="25">
      <formula>$AS28</formula>
    </cfRule>
  </conditionalFormatting>
  <conditionalFormatting sqref="B23:G23">
    <cfRule type="notContainsBlanks" dxfId="359" priority="24">
      <formula>LEN(TRIM(B23))&gt;0</formula>
    </cfRule>
  </conditionalFormatting>
  <conditionalFormatting sqref="B44:G44">
    <cfRule type="notContainsBlanks" dxfId="358" priority="23">
      <formula>LEN(TRIM(B44))&gt;0</formula>
    </cfRule>
  </conditionalFormatting>
  <conditionalFormatting sqref="Q62:T62 Q83:T83 Q104:T104 Q125:T125 Q146:T146">
    <cfRule type="containsText" dxfId="357" priority="21" operator="containsText" text="Reprovado">
      <formula>NOT(ISERROR(SEARCH("Reprovado",Q62)))</formula>
    </cfRule>
    <cfRule type="containsText" dxfId="356" priority="22" operator="containsText" text="Aprovado">
      <formula>NOT(ISERROR(SEARCH("Aprovado",Q62)))</formula>
    </cfRule>
  </conditionalFormatting>
  <conditionalFormatting sqref="R64:T64 R85:T85 R106:T106 R127:T127 R148:T148">
    <cfRule type="expression" dxfId="355" priority="20">
      <formula>$O64=""</formula>
    </cfRule>
  </conditionalFormatting>
  <conditionalFormatting sqref="S66:T66 S87:T87 S108:T108 S129:T129 S150:T150">
    <cfRule type="expression" dxfId="354" priority="19">
      <formula>$AS70</formula>
    </cfRule>
  </conditionalFormatting>
  <conditionalFormatting sqref="B65:G65 B86:G86 B107:G107 B128:G128 B149:G149">
    <cfRule type="notContainsBlanks" dxfId="353" priority="18">
      <formula>LEN(TRIM(B65))&gt;0</formula>
    </cfRule>
  </conditionalFormatting>
  <conditionalFormatting sqref="N4:T4">
    <cfRule type="expression" dxfId="352" priority="17">
      <formula>$J$4=""</formula>
    </cfRule>
  </conditionalFormatting>
  <conditionalFormatting sqref="Q5:R5">
    <cfRule type="expression" dxfId="351" priority="16">
      <formula>$J$4=""</formula>
    </cfRule>
  </conditionalFormatting>
  <conditionalFormatting sqref="S5:T5">
    <cfRule type="expression" dxfId="350" priority="15">
      <formula>$J$4=""</formula>
    </cfRule>
  </conditionalFormatting>
  <conditionalFormatting sqref="O12:T12">
    <cfRule type="notContainsBlanks" dxfId="349" priority="14">
      <formula>LEN(TRIM(O12))&gt;0</formula>
    </cfRule>
  </conditionalFormatting>
  <conditionalFormatting sqref="K12:M12">
    <cfRule type="expression" dxfId="348" priority="13">
      <formula>$O12&lt;&gt;""</formula>
    </cfRule>
  </conditionalFormatting>
  <conditionalFormatting sqref="O33:T33">
    <cfRule type="notContainsBlanks" dxfId="347" priority="12">
      <formula>LEN(TRIM(O33))&gt;0</formula>
    </cfRule>
  </conditionalFormatting>
  <conditionalFormatting sqref="K33:M33">
    <cfRule type="expression" dxfId="346" priority="11">
      <formula>$O33&lt;&gt;""</formula>
    </cfRule>
  </conditionalFormatting>
  <conditionalFormatting sqref="O54:T54">
    <cfRule type="notContainsBlanks" dxfId="345" priority="10">
      <formula>LEN(TRIM(O54))&gt;0</formula>
    </cfRule>
  </conditionalFormatting>
  <conditionalFormatting sqref="K54:M54">
    <cfRule type="expression" dxfId="344" priority="9">
      <formula>$O54&lt;&gt;""</formula>
    </cfRule>
  </conditionalFormatting>
  <conditionalFormatting sqref="O75:T75">
    <cfRule type="notContainsBlanks" dxfId="343" priority="8">
      <formula>LEN(TRIM(O75))&gt;0</formula>
    </cfRule>
  </conditionalFormatting>
  <conditionalFormatting sqref="K75:M75">
    <cfRule type="expression" dxfId="342" priority="7">
      <formula>$O75&lt;&gt;""</formula>
    </cfRule>
  </conditionalFormatting>
  <conditionalFormatting sqref="O96:T96">
    <cfRule type="notContainsBlanks" dxfId="341" priority="6">
      <formula>LEN(TRIM(O96))&gt;0</formula>
    </cfRule>
  </conditionalFormatting>
  <conditionalFormatting sqref="K96:M96">
    <cfRule type="expression" dxfId="340" priority="5">
      <formula>$O96&lt;&gt;""</formula>
    </cfRule>
  </conditionalFormatting>
  <conditionalFormatting sqref="O117:T117">
    <cfRule type="notContainsBlanks" dxfId="339" priority="4">
      <formula>LEN(TRIM(O117))&gt;0</formula>
    </cfRule>
  </conditionalFormatting>
  <conditionalFormatting sqref="K117:M117">
    <cfRule type="expression" dxfId="338" priority="3">
      <formula>$O117&lt;&gt;""</formula>
    </cfRule>
  </conditionalFormatting>
  <conditionalFormatting sqref="O138:T138">
    <cfRule type="notContainsBlanks" dxfId="337" priority="2">
      <formula>LEN(TRIM(O138))&gt;0</formula>
    </cfRule>
  </conditionalFormatting>
  <conditionalFormatting sqref="K138:M138">
    <cfRule type="expression" dxfId="336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26E5726F-73DF-439F-BB71-E6D4DC4766C6}">
      <formula1>$CM$2:$CM$21</formula1>
    </dataValidation>
    <dataValidation type="list" allowBlank="1" showInputMessage="1" showErrorMessage="1" sqref="K96:M96 K12:M12 K33:M33 K117:M117 K54:M54 K75:M75 K138:M138" xr:uid="{2E1597C5-E54B-42B0-B568-8825032CBB12}">
      <formula1>$CQ$2:$CQ$21</formula1>
    </dataValidation>
    <dataValidation type="list" allowBlank="1" showInputMessage="1" showErrorMessage="1" sqref="O146:P146 O41:P41 O62:P62 O83:P83 O104:P104 O125:P125 O20:P20" xr:uid="{795C8735-CF2F-451B-B646-7474D0C180DD}">
      <formula1>$CD$1:$CD$2</formula1>
    </dataValidation>
    <dataValidation type="list" allowBlank="1" sqref="R19 T19 T22 R40 T40 T43 R61 R82 R103 R124 R145 T61 T82 T103 T124 T145 T64 T85 T106 T127 T148" xr:uid="{A9555579-C13D-4B9D-9D97-FE24BB409E19}">
      <formula1>$CB$1:$CB$2</formula1>
    </dataValidation>
    <dataValidation type="list" allowBlank="1" showInputMessage="1" showErrorMessage="1" sqref="Q17:T17 Q38:T38 Q59:T59 Q80:T80 Q101:T101 Q122:T122 Q143:T143" xr:uid="{10FE206D-BCEA-4E0B-8765-C596C626DBCC}">
      <formula1>$BP$25:$BU$25</formula1>
    </dataValidation>
    <dataValidation type="list" allowBlank="1" showInputMessage="1" showErrorMessage="1" sqref="E14:G14 E119:G119 E35:G35 E56:G56 E77:G77 E98:G98 E140:G140" xr:uid="{2F6BE60C-48BA-40E7-A73D-E009EB16331C}">
      <formula1>$BX$1:$BX$6</formula1>
    </dataValidation>
    <dataValidation type="list" allowBlank="1" showInputMessage="1" showErrorMessage="1" sqref="H17:J17 H38:J38 H59:J59 H122:J122 H80:J80 H101:J101 H143:J143" xr:uid="{13C0794D-EEAB-4678-B589-6DEE8D33F1CD}">
      <formula1>$BN$1:$BN$4</formula1>
    </dataValidation>
    <dataValidation type="list" allowBlank="1" sqref="S4:T4" xr:uid="{12F6F596-A4DC-42A7-AFB5-1BB14D8EDF8E}">
      <formula1>$CU$1:$CU$8</formula1>
    </dataValidation>
    <dataValidation type="list" allowBlank="1" sqref="S7:T7" xr:uid="{CBABB024-A48B-49AB-9B49-0701B3A6A36A}">
      <formula1>$BN$1:$BN$4</formula1>
    </dataValidation>
    <dataValidation type="whole" allowBlank="1" showInputMessage="1" showErrorMessage="1" sqref="S14" xr:uid="{0E17BC81-5A18-4DE3-BC6F-D014B8DF77BE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0D78-0BFE-4243-B079-2CD9053BFC68}">
  <sheetPr codeName="Planilha25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- 2</v>
      </c>
      <c r="AC1" s="61" t="str">
        <f>CONCATENATE("Incerteza - R",A2)</f>
        <v>Incerteza - R3</v>
      </c>
      <c r="AD1" s="61" t="str">
        <f>CONCATENATE("Resultados - ",A2)</f>
        <v>Resultados - 3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3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- 2'!K12="","",'Resultados - 2'!K12)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- 2'!K13="","",'Resultados - 2'!K13)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- 2'!K12,'Resultados - 2'!H17,'Resultados - 2'!AH18)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- 2'!Q17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R3'!$S$4:$W$163,2,FALSE))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R3'!$S$4:$W$163,5,FALSE),"")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R3'!$S$4:$W$163,3,FALSE))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R3'!$S$4:$W$163,4,FALSE))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R3'!$S$4:$W$163,2,FALSE))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R3'!$S$4:$W$163,5,FALSE),"")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R3'!$S$4:$W$163,3,FALSE))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R3'!$S$4:$W$163,4,FALSE))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R3'!$S$4:$W$163,2,FALSE))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R3'!$S$4:$W$163,5,FALSE),"")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R3'!$S$4:$W$163,3,FALSE))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R3'!$S$4:$W$163,4,FALSE))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R3'!$S$4:$W$163,2,FALSE))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R3'!$S$4:$W$163,5,FALSE),"")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R3'!$S$4:$W$163,3,FALSE))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R3'!$S$4:$W$163,4,FALSE))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R3'!$S$4:$W$163,2,FALSE))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R3'!$S$4:$W$163,5,FALSE),"")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R3'!$S$4:$W$163,3,FALSE))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R3'!$S$4:$W$163,4,FALSE))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R3'!$S$4:$W$163,2,FALSE))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R3'!$S$4:$W$163,5,FALSE),"")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R3'!$S$4:$W$163,3,FALSE))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R3'!$S$4:$W$163,4,FALSE))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R3'!$S$4:$W$163,2,FALSE))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R3'!$S$4:$W$163,5,FALSE),"")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R3'!$S$4:$W$163,3,FALSE))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R3'!$S$4:$W$163,4,FALSE))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t5PBxdSss7+U6hiHiBP9r1XZKpNdofGlqPQg8CV81zfpC35W9ABXkjPFDlUl+9fjQ2ZFNOhVyY/oeHwNPNCV8g==" saltValue="wpPlu9TRq9jrl96p8NcVk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35" priority="33">
      <formula>LEN(TRIM(B6))=0</formula>
    </cfRule>
  </conditionalFormatting>
  <conditionalFormatting sqref="Q41:T41">
    <cfRule type="containsText" dxfId="334" priority="31" operator="containsText" text="Reprovado">
      <formula>NOT(ISERROR(SEARCH("Reprovado",Q41)))</formula>
    </cfRule>
    <cfRule type="containsText" dxfId="333" priority="32" operator="containsText" text="Aprovado">
      <formula>NOT(ISERROR(SEARCH("Aprovado",Q41)))</formula>
    </cfRule>
  </conditionalFormatting>
  <conditionalFormatting sqref="R43:T43">
    <cfRule type="expression" dxfId="332" priority="30">
      <formula>$O43=""</formula>
    </cfRule>
  </conditionalFormatting>
  <conditionalFormatting sqref="S45:T45">
    <cfRule type="expression" dxfId="331" priority="29">
      <formula>$AS49</formula>
    </cfRule>
  </conditionalFormatting>
  <conditionalFormatting sqref="Q20:T20">
    <cfRule type="containsText" dxfId="330" priority="27" operator="containsText" text="Reprovado">
      <formula>NOT(ISERROR(SEARCH("Reprovado",Q20)))</formula>
    </cfRule>
    <cfRule type="containsText" dxfId="329" priority="28" operator="containsText" text="Aprovado">
      <formula>NOT(ISERROR(SEARCH("Aprovado",Q20)))</formula>
    </cfRule>
  </conditionalFormatting>
  <conditionalFormatting sqref="R22:T22">
    <cfRule type="expression" dxfId="328" priority="26">
      <formula>$O22=""</formula>
    </cfRule>
  </conditionalFormatting>
  <conditionalFormatting sqref="S24:T24">
    <cfRule type="expression" dxfId="327" priority="25">
      <formula>$AS28</formula>
    </cfRule>
  </conditionalFormatting>
  <conditionalFormatting sqref="B23:G23">
    <cfRule type="notContainsBlanks" dxfId="326" priority="24">
      <formula>LEN(TRIM(B23))&gt;0</formula>
    </cfRule>
  </conditionalFormatting>
  <conditionalFormatting sqref="B44:G44">
    <cfRule type="notContainsBlanks" dxfId="325" priority="23">
      <formula>LEN(TRIM(B44))&gt;0</formula>
    </cfRule>
  </conditionalFormatting>
  <conditionalFormatting sqref="Q62:T62 Q83:T83 Q104:T104 Q125:T125 Q146:T146">
    <cfRule type="containsText" dxfId="324" priority="21" operator="containsText" text="Reprovado">
      <formula>NOT(ISERROR(SEARCH("Reprovado",Q62)))</formula>
    </cfRule>
    <cfRule type="containsText" dxfId="323" priority="22" operator="containsText" text="Aprovado">
      <formula>NOT(ISERROR(SEARCH("Aprovado",Q62)))</formula>
    </cfRule>
  </conditionalFormatting>
  <conditionalFormatting sqref="R64:T64 R85:T85 R106:T106 R127:T127 R148:T148">
    <cfRule type="expression" dxfId="322" priority="20">
      <formula>$O64=""</formula>
    </cfRule>
  </conditionalFormatting>
  <conditionalFormatting sqref="S66:T66 S87:T87 S108:T108 S129:T129 S150:T150">
    <cfRule type="expression" dxfId="321" priority="19">
      <formula>$AS70</formula>
    </cfRule>
  </conditionalFormatting>
  <conditionalFormatting sqref="B65:G65 B86:G86 B107:G107 B128:G128 B149:G149">
    <cfRule type="notContainsBlanks" dxfId="320" priority="18">
      <formula>LEN(TRIM(B65))&gt;0</formula>
    </cfRule>
  </conditionalFormatting>
  <conditionalFormatting sqref="N4:T4">
    <cfRule type="expression" dxfId="319" priority="17">
      <formula>$J$4=""</formula>
    </cfRule>
  </conditionalFormatting>
  <conditionalFormatting sqref="Q5:R5">
    <cfRule type="expression" dxfId="318" priority="16">
      <formula>$J$4=""</formula>
    </cfRule>
  </conditionalFormatting>
  <conditionalFormatting sqref="S5:T5">
    <cfRule type="expression" dxfId="317" priority="15">
      <formula>$J$4=""</formula>
    </cfRule>
  </conditionalFormatting>
  <conditionalFormatting sqref="O12:T12">
    <cfRule type="notContainsBlanks" dxfId="316" priority="14">
      <formula>LEN(TRIM(O12))&gt;0</formula>
    </cfRule>
  </conditionalFormatting>
  <conditionalFormatting sqref="K12:M12">
    <cfRule type="expression" dxfId="315" priority="13">
      <formula>$O12&lt;&gt;""</formula>
    </cfRule>
  </conditionalFormatting>
  <conditionalFormatting sqref="O33:T33">
    <cfRule type="notContainsBlanks" dxfId="314" priority="12">
      <formula>LEN(TRIM(O33))&gt;0</formula>
    </cfRule>
  </conditionalFormatting>
  <conditionalFormatting sqref="K33:M33">
    <cfRule type="expression" dxfId="313" priority="11">
      <formula>$O33&lt;&gt;""</formula>
    </cfRule>
  </conditionalFormatting>
  <conditionalFormatting sqref="O54:T54">
    <cfRule type="notContainsBlanks" dxfId="312" priority="10">
      <formula>LEN(TRIM(O54))&gt;0</formula>
    </cfRule>
  </conditionalFormatting>
  <conditionalFormatting sqref="K54:M54">
    <cfRule type="expression" dxfId="311" priority="9">
      <formula>$O54&lt;&gt;""</formula>
    </cfRule>
  </conditionalFormatting>
  <conditionalFormatting sqref="O75:T75">
    <cfRule type="notContainsBlanks" dxfId="310" priority="8">
      <formula>LEN(TRIM(O75))&gt;0</formula>
    </cfRule>
  </conditionalFormatting>
  <conditionalFormatting sqref="K75:M75">
    <cfRule type="expression" dxfId="309" priority="7">
      <formula>$O75&lt;&gt;""</formula>
    </cfRule>
  </conditionalFormatting>
  <conditionalFormatting sqref="O96:T96">
    <cfRule type="notContainsBlanks" dxfId="308" priority="6">
      <formula>LEN(TRIM(O96))&gt;0</formula>
    </cfRule>
  </conditionalFormatting>
  <conditionalFormatting sqref="K96:M96">
    <cfRule type="expression" dxfId="307" priority="5">
      <formula>$O96&lt;&gt;""</formula>
    </cfRule>
  </conditionalFormatting>
  <conditionalFormatting sqref="O117:T117">
    <cfRule type="notContainsBlanks" dxfId="306" priority="4">
      <formula>LEN(TRIM(O117))&gt;0</formula>
    </cfRule>
  </conditionalFormatting>
  <conditionalFormatting sqref="K117:M117">
    <cfRule type="expression" dxfId="305" priority="3">
      <formula>$O117&lt;&gt;""</formula>
    </cfRule>
  </conditionalFormatting>
  <conditionalFormatting sqref="O138:T138">
    <cfRule type="notContainsBlanks" dxfId="304" priority="2">
      <formula>LEN(TRIM(O138))&gt;0</formula>
    </cfRule>
  </conditionalFormatting>
  <conditionalFormatting sqref="K138:M138">
    <cfRule type="expression" dxfId="303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7B0D6278-243C-4148-83EE-9672D18A3B35}">
      <formula1>$CM$2:$CM$21</formula1>
    </dataValidation>
    <dataValidation type="list" allowBlank="1" showInputMessage="1" showErrorMessage="1" sqref="K96:M96 K12:M12 K33:M33 K117:M117 K54:M54 K75:M75 K138:M138" xr:uid="{299C7747-CAFC-405F-8729-B9BE43A47D4B}">
      <formula1>$CQ$2:$CQ$21</formula1>
    </dataValidation>
    <dataValidation type="list" allowBlank="1" showInputMessage="1" showErrorMessage="1" sqref="O146:P146 O41:P41 O62:P62 O83:P83 O104:P104 O125:P125 O20:P20" xr:uid="{401A0487-6218-42E9-B48C-1D22EA9B2D4B}">
      <formula1>$CD$1:$CD$2</formula1>
    </dataValidation>
    <dataValidation type="list" allowBlank="1" sqref="R19 T19 T22 R40 T40 T43 R61 R82 R103 R124 R145 T61 T82 T103 T124 T145 T64 T85 T106 T127 T148" xr:uid="{2A9E41BA-9373-4458-B544-F9EB46C41222}">
      <formula1>$CB$1:$CB$2</formula1>
    </dataValidation>
    <dataValidation type="list" allowBlank="1" showInputMessage="1" showErrorMessage="1" sqref="Q17:T17 Q38:T38 Q59:T59 Q80:T80 Q101:T101 Q122:T122 Q143:T143" xr:uid="{9945B8D5-7C36-4D3A-A911-4BB1F5E421CF}">
      <formula1>$BP$25:$BU$25</formula1>
    </dataValidation>
    <dataValidation type="list" allowBlank="1" showInputMessage="1" showErrorMessage="1" sqref="E14:G14 E119:G119 E35:G35 E56:G56 E77:G77 E98:G98 E140:G140" xr:uid="{659F4E03-6EEE-41F9-8926-16522E7951F9}">
      <formula1>$BX$1:$BX$6</formula1>
    </dataValidation>
    <dataValidation type="list" allowBlank="1" showInputMessage="1" showErrorMessage="1" sqref="H17:J17 H38:J38 H59:J59 H122:J122 H80:J80 H101:J101 H143:J143" xr:uid="{54424E5F-77BD-44C9-9402-A09C91EAF9C7}">
      <formula1>$BN$1:$BN$4</formula1>
    </dataValidation>
    <dataValidation type="list" allowBlank="1" sqref="S4:T4" xr:uid="{69B968ED-CC99-4D64-9B33-CC697EF9F39C}">
      <formula1>$CU$1:$CU$8</formula1>
    </dataValidation>
    <dataValidation type="list" allowBlank="1" sqref="S7:T7" xr:uid="{86E62EDF-58A1-46F5-BA44-8511C55D8BBA}">
      <formula1>$BN$1:$BN$4</formula1>
    </dataValidation>
    <dataValidation type="whole" allowBlank="1" showInputMessage="1" showErrorMessage="1" sqref="S14" xr:uid="{800F6309-F805-442A-BB47-35962EEC67D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F9123-78A4-4888-9871-A4172EE619F8}">
  <sheetPr codeName="Planilha24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- 3</v>
      </c>
      <c r="AC1" s="61" t="str">
        <f>CONCATENATE("Incerteza - R",A2)</f>
        <v>Incerteza - R4</v>
      </c>
      <c r="AD1" s="61" t="str">
        <f>CONCATENATE("Resultados - ",A2)</f>
        <v>Resultados - 4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4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- 3'!K12="","",'Resultados - 3'!K12)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- 3'!K13="","",'Resultados - 3'!K13)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- 3'!K12,'Resultados - 3'!H17,'Resultados - 3'!AH18)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- 3'!Q17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R4'!$S$4:$W$163,2,FALSE))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R4'!$S$4:$W$163,5,FALSE),"")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R4'!$S$4:$W$163,3,FALSE))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R4'!$S$4:$W$163,4,FALSE))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R4'!$S$4:$W$163,2,FALSE))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R4'!$S$4:$W$163,5,FALSE),"")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R4'!$S$4:$W$163,3,FALSE))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R4'!$S$4:$W$163,4,FALSE))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R4'!$S$4:$W$163,2,FALSE))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R4'!$S$4:$W$163,5,FALSE),"")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R4'!$S$4:$W$163,3,FALSE))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R4'!$S$4:$W$163,4,FALSE))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R4'!$S$4:$W$163,2,FALSE))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R4'!$S$4:$W$163,5,FALSE),"")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R4'!$S$4:$W$163,3,FALSE))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R4'!$S$4:$W$163,4,FALSE))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R4'!$S$4:$W$163,2,FALSE))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R4'!$S$4:$W$163,5,FALSE),"")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R4'!$S$4:$W$163,3,FALSE))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R4'!$S$4:$W$163,4,FALSE))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R4'!$S$4:$W$163,2,FALSE))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R4'!$S$4:$W$163,5,FALSE),"")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R4'!$S$4:$W$163,3,FALSE))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R4'!$S$4:$W$163,4,FALSE))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R4'!$S$4:$W$163,2,FALSE))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R4'!$S$4:$W$163,5,FALSE),"")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R4'!$S$4:$W$163,3,FALSE))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R4'!$S$4:$W$163,4,FALSE))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g5NTJHbbVXqUooFqEkVc6Vx65IWnAE35JA0xNhlJbEjjlR3jpFoGX+7u0bsHCpz171WDxyyt8Ikq2/q9BSd5zQ==" saltValue="80lrUPQkk/HztSv4SLDg0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02" priority="33">
      <formula>LEN(TRIM(B6))=0</formula>
    </cfRule>
  </conditionalFormatting>
  <conditionalFormatting sqref="Q41:T41">
    <cfRule type="containsText" dxfId="301" priority="31" operator="containsText" text="Reprovado">
      <formula>NOT(ISERROR(SEARCH("Reprovado",Q41)))</formula>
    </cfRule>
    <cfRule type="containsText" dxfId="300" priority="32" operator="containsText" text="Aprovado">
      <formula>NOT(ISERROR(SEARCH("Aprovado",Q41)))</formula>
    </cfRule>
  </conditionalFormatting>
  <conditionalFormatting sqref="R43:T43">
    <cfRule type="expression" dxfId="299" priority="30">
      <formula>$O43=""</formula>
    </cfRule>
  </conditionalFormatting>
  <conditionalFormatting sqref="S45:T45">
    <cfRule type="expression" dxfId="298" priority="29">
      <formula>$AS49</formula>
    </cfRule>
  </conditionalFormatting>
  <conditionalFormatting sqref="Q20:T20">
    <cfRule type="containsText" dxfId="297" priority="27" operator="containsText" text="Reprovado">
      <formula>NOT(ISERROR(SEARCH("Reprovado",Q20)))</formula>
    </cfRule>
    <cfRule type="containsText" dxfId="296" priority="28" operator="containsText" text="Aprovado">
      <formula>NOT(ISERROR(SEARCH("Aprovado",Q20)))</formula>
    </cfRule>
  </conditionalFormatting>
  <conditionalFormatting sqref="R22:T22">
    <cfRule type="expression" dxfId="295" priority="26">
      <formula>$O22=""</formula>
    </cfRule>
  </conditionalFormatting>
  <conditionalFormatting sqref="S24:T24">
    <cfRule type="expression" dxfId="294" priority="25">
      <formula>$AS28</formula>
    </cfRule>
  </conditionalFormatting>
  <conditionalFormatting sqref="B23:G23">
    <cfRule type="notContainsBlanks" dxfId="293" priority="24">
      <formula>LEN(TRIM(B23))&gt;0</formula>
    </cfRule>
  </conditionalFormatting>
  <conditionalFormatting sqref="B44:G44">
    <cfRule type="notContainsBlanks" dxfId="292" priority="23">
      <formula>LEN(TRIM(B44))&gt;0</formula>
    </cfRule>
  </conditionalFormatting>
  <conditionalFormatting sqref="Q62:T62 Q83:T83 Q104:T104 Q125:T125 Q146:T146">
    <cfRule type="containsText" dxfId="291" priority="21" operator="containsText" text="Reprovado">
      <formula>NOT(ISERROR(SEARCH("Reprovado",Q62)))</formula>
    </cfRule>
    <cfRule type="containsText" dxfId="290" priority="22" operator="containsText" text="Aprovado">
      <formula>NOT(ISERROR(SEARCH("Aprovado",Q62)))</formula>
    </cfRule>
  </conditionalFormatting>
  <conditionalFormatting sqref="R64:T64 R85:T85 R106:T106 R127:T127 R148:T148">
    <cfRule type="expression" dxfId="289" priority="20">
      <formula>$O64=""</formula>
    </cfRule>
  </conditionalFormatting>
  <conditionalFormatting sqref="S66:T66 S87:T87 S108:T108 S129:T129 S150:T150">
    <cfRule type="expression" dxfId="288" priority="19">
      <formula>$AS70</formula>
    </cfRule>
  </conditionalFormatting>
  <conditionalFormatting sqref="B65:G65 B86:G86 B107:G107 B128:G128 B149:G149">
    <cfRule type="notContainsBlanks" dxfId="287" priority="18">
      <formula>LEN(TRIM(B65))&gt;0</formula>
    </cfRule>
  </conditionalFormatting>
  <conditionalFormatting sqref="N4:T4">
    <cfRule type="expression" dxfId="286" priority="17">
      <formula>$J$4=""</formula>
    </cfRule>
  </conditionalFormatting>
  <conditionalFormatting sqref="Q5:R5">
    <cfRule type="expression" dxfId="285" priority="16">
      <formula>$J$4=""</formula>
    </cfRule>
  </conditionalFormatting>
  <conditionalFormatting sqref="S5:T5">
    <cfRule type="expression" dxfId="284" priority="15">
      <formula>$J$4=""</formula>
    </cfRule>
  </conditionalFormatting>
  <conditionalFormatting sqref="K12:M12">
    <cfRule type="expression" dxfId="283" priority="14">
      <formula>$O12&lt;&gt;""</formula>
    </cfRule>
  </conditionalFormatting>
  <conditionalFormatting sqref="O12:T12">
    <cfRule type="notContainsBlanks" dxfId="282" priority="13">
      <formula>LEN(TRIM(O12))&gt;0</formula>
    </cfRule>
  </conditionalFormatting>
  <conditionalFormatting sqref="O33:T33">
    <cfRule type="notContainsBlanks" dxfId="281" priority="12">
      <formula>LEN(TRIM(O33))&gt;0</formula>
    </cfRule>
  </conditionalFormatting>
  <conditionalFormatting sqref="K33:M33">
    <cfRule type="expression" dxfId="280" priority="11">
      <formula>$O33&lt;&gt;""</formula>
    </cfRule>
  </conditionalFormatting>
  <conditionalFormatting sqref="O54:T54">
    <cfRule type="notContainsBlanks" dxfId="279" priority="10">
      <formula>LEN(TRIM(O54))&gt;0</formula>
    </cfRule>
  </conditionalFormatting>
  <conditionalFormatting sqref="K54:M54">
    <cfRule type="expression" dxfId="278" priority="9">
      <formula>$O54&lt;&gt;""</formula>
    </cfRule>
  </conditionalFormatting>
  <conditionalFormatting sqref="O75:T75">
    <cfRule type="notContainsBlanks" dxfId="277" priority="8">
      <formula>LEN(TRIM(O75))&gt;0</formula>
    </cfRule>
  </conditionalFormatting>
  <conditionalFormatting sqref="K75:M75">
    <cfRule type="expression" dxfId="276" priority="7">
      <formula>$O75&lt;&gt;""</formula>
    </cfRule>
  </conditionalFormatting>
  <conditionalFormatting sqref="O96:T96">
    <cfRule type="notContainsBlanks" dxfId="275" priority="6">
      <formula>LEN(TRIM(O96))&gt;0</formula>
    </cfRule>
  </conditionalFormatting>
  <conditionalFormatting sqref="K96:M96">
    <cfRule type="expression" dxfId="274" priority="5">
      <formula>$O96&lt;&gt;""</formula>
    </cfRule>
  </conditionalFormatting>
  <conditionalFormatting sqref="O117:T117">
    <cfRule type="notContainsBlanks" dxfId="273" priority="4">
      <formula>LEN(TRIM(O117))&gt;0</formula>
    </cfRule>
  </conditionalFormatting>
  <conditionalFormatting sqref="K117:M117">
    <cfRule type="expression" dxfId="272" priority="3">
      <formula>$O117&lt;&gt;""</formula>
    </cfRule>
  </conditionalFormatting>
  <conditionalFormatting sqref="O138:T138">
    <cfRule type="notContainsBlanks" dxfId="271" priority="2">
      <formula>LEN(TRIM(O138))&gt;0</formula>
    </cfRule>
  </conditionalFormatting>
  <conditionalFormatting sqref="K138:M138">
    <cfRule type="expression" dxfId="270" priority="1">
      <formula>$O138&lt;&gt;""</formula>
    </cfRule>
  </conditionalFormatting>
  <dataValidations count="10">
    <dataValidation type="list" allowBlank="1" sqref="S4:T4" xr:uid="{F0967826-5E5D-4928-A32A-602F0B73650B}">
      <formula1>$CU$1:$CU$8</formula1>
    </dataValidation>
    <dataValidation type="list" allowBlank="1" showInputMessage="1" showErrorMessage="1" sqref="H17:J17 H38:J38 H59:J59 H122:J122 H80:J80 H101:J101 H143:J143" xr:uid="{C8A54FF6-350B-4060-9F5B-3ED97AAA8DF2}">
      <formula1>$BN$1:$BN$4</formula1>
    </dataValidation>
    <dataValidation type="list" allowBlank="1" showInputMessage="1" showErrorMessage="1" sqref="E14:G14 E119:G119 E35:G35 E56:G56 E77:G77 E98:G98 E140:G140" xr:uid="{CF2733C6-C687-4700-BE71-FC279742F7B8}">
      <formula1>$BX$1:$BX$6</formula1>
    </dataValidation>
    <dataValidation type="list" allowBlank="1" showInputMessage="1" showErrorMessage="1" sqref="Q17:T17 Q38:T38 Q59:T59 Q80:T80 Q101:T101 Q122:T122 Q143:T143" xr:uid="{8398C369-6FA9-4492-AC4C-316113E48216}">
      <formula1>$BP$25:$BU$25</formula1>
    </dataValidation>
    <dataValidation type="list" allowBlank="1" sqref="R19 T19 T22 R40 T40 T43 R61 R82 R103 R124 R145 T61 T82 T103 T124 T145 T64 T85 T106 T127 T148" xr:uid="{89C7106E-CBD3-486E-A3E6-060B21AB8D51}">
      <formula1>$CB$1:$CB$2</formula1>
    </dataValidation>
    <dataValidation type="list" allowBlank="1" showInputMessage="1" showErrorMessage="1" sqref="O146:P146 O41:P41 O62:P62 O83:P83 O104:P104 O125:P125 O20:P20" xr:uid="{AA352857-D086-48B2-BC06-78119A994D98}">
      <formula1>$CD$1:$CD$2</formula1>
    </dataValidation>
    <dataValidation type="list" allowBlank="1" showInputMessage="1" showErrorMessage="1" sqref="K96:M96 K12:M12 K33:M33 K117:M117 K54:M54 K75:M75 K138:M138" xr:uid="{A2C58D17-455C-4131-87C6-87D06181FFF6}">
      <formula1>$CQ$2:$CQ$21</formula1>
    </dataValidation>
    <dataValidation type="list" allowBlank="1" showInputMessage="1" showErrorMessage="1" sqref="K118:M118 K13:M13 K34:M34 K55:M55 K76:M76 K97:M97 K139:M139" xr:uid="{97138D31-4795-4026-8058-E549DCC924BA}">
      <formula1>$CM$2:$CM$21</formula1>
    </dataValidation>
    <dataValidation type="list" allowBlank="1" sqref="S7:T7" xr:uid="{5C0CCD9D-F6B7-448C-887E-ABD808B20930}">
      <formula1>$BN$1:$BN$4</formula1>
    </dataValidation>
    <dataValidation type="whole" allowBlank="1" showInputMessage="1" showErrorMessage="1" sqref="S14" xr:uid="{C1184F05-7CB9-454F-BBA6-633555F47E75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locked="0" defaultSize="0" print="0" autoFill="0" autoPict="0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Button 8">
              <controlPr locked="0" defaultSize="0" print="0" autoFill="0" autoPict="0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32C-3064-4EA7-B2C0-A3D2E79536D2}">
  <sheetPr codeName="Planilha23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- 4</v>
      </c>
      <c r="AC1" s="61" t="str">
        <f>CONCATENATE("Incerteza - R",A2)</f>
        <v>Incerteza - R5</v>
      </c>
      <c r="AD1" s="61" t="str">
        <f>CONCATENATE("Resultados - ",A2)</f>
        <v>Resultados - 5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5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- 4'!K12="","",'Resultados - 4'!K12)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- 4'!K13="","",'Resultados - 4'!K13)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- 4'!K12,'Resultados - 4'!H17,'Resultados - 4'!AH18)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- 4'!Q17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R5'!$S$4:$W$163,2,FALSE))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R5'!$S$4:$W$163,5,FALSE),"")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R5'!$S$4:$W$163,3,FALSE))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R5'!$S$4:$W$163,4,FALSE))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R5'!$S$4:$W$163,2,FALSE))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R5'!$S$4:$W$163,5,FALSE),"")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R5'!$S$4:$W$163,3,FALSE))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R5'!$S$4:$W$163,4,FALSE))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R5'!$S$4:$W$163,2,FALSE))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R5'!$S$4:$W$163,5,FALSE),"")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R5'!$S$4:$W$163,3,FALSE))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R5'!$S$4:$W$163,4,FALSE))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R5'!$S$4:$W$163,2,FALSE))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R5'!$S$4:$W$163,5,FALSE),"")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R5'!$S$4:$W$163,3,FALSE))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R5'!$S$4:$W$163,4,FALSE))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R5'!$S$4:$W$163,2,FALSE))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R5'!$S$4:$W$163,5,FALSE),"")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R5'!$S$4:$W$163,3,FALSE))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R5'!$S$4:$W$163,4,FALSE))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R5'!$S$4:$W$163,2,FALSE))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R5'!$S$4:$W$163,5,FALSE),"")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R5'!$S$4:$W$163,3,FALSE))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R5'!$S$4:$W$163,4,FALSE))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R5'!$S$4:$W$163,2,FALSE))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R5'!$S$4:$W$163,5,FALSE),"")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R5'!$S$4:$W$163,3,FALSE))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R5'!$S$4:$W$163,4,FALSE))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Rdqy1VPpAP/xOzrL/E1WdUdUiRtBe6VFm2rZ28PrOO5bj0xr2UbSyLr3oXH6wLTKR8bQf/uQKKN+WRfFBSFr9A==" saltValue="/7H/YEgHfBaUrP+o7Vjj7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69" priority="33">
      <formula>LEN(TRIM(B6))=0</formula>
    </cfRule>
  </conditionalFormatting>
  <conditionalFormatting sqref="Q41:T41">
    <cfRule type="containsText" dxfId="268" priority="31" operator="containsText" text="Reprovado">
      <formula>NOT(ISERROR(SEARCH("Reprovado",Q41)))</formula>
    </cfRule>
    <cfRule type="containsText" dxfId="267" priority="32" operator="containsText" text="Aprovado">
      <formula>NOT(ISERROR(SEARCH("Aprovado",Q41)))</formula>
    </cfRule>
  </conditionalFormatting>
  <conditionalFormatting sqref="R43:T43">
    <cfRule type="expression" dxfId="266" priority="30">
      <formula>$O43=""</formula>
    </cfRule>
  </conditionalFormatting>
  <conditionalFormatting sqref="S45:T45">
    <cfRule type="expression" dxfId="265" priority="29">
      <formula>$AS49</formula>
    </cfRule>
  </conditionalFormatting>
  <conditionalFormatting sqref="Q20:T20">
    <cfRule type="containsText" dxfId="264" priority="27" operator="containsText" text="Reprovado">
      <formula>NOT(ISERROR(SEARCH("Reprovado",Q20)))</formula>
    </cfRule>
    <cfRule type="containsText" dxfId="263" priority="28" operator="containsText" text="Aprovado">
      <formula>NOT(ISERROR(SEARCH("Aprovado",Q20)))</formula>
    </cfRule>
  </conditionalFormatting>
  <conditionalFormatting sqref="R22:T22">
    <cfRule type="expression" dxfId="262" priority="26">
      <formula>$O22=""</formula>
    </cfRule>
  </conditionalFormatting>
  <conditionalFormatting sqref="S24:T24">
    <cfRule type="expression" dxfId="261" priority="25">
      <formula>$AS28</formula>
    </cfRule>
  </conditionalFormatting>
  <conditionalFormatting sqref="B23:G23">
    <cfRule type="notContainsBlanks" dxfId="260" priority="24">
      <formula>LEN(TRIM(B23))&gt;0</formula>
    </cfRule>
  </conditionalFormatting>
  <conditionalFormatting sqref="B44:G44">
    <cfRule type="notContainsBlanks" dxfId="259" priority="23">
      <formula>LEN(TRIM(B44))&gt;0</formula>
    </cfRule>
  </conditionalFormatting>
  <conditionalFormatting sqref="Q62:T62 Q83:T83 Q104:T104 Q125:T125 Q146:T146">
    <cfRule type="containsText" dxfId="258" priority="21" operator="containsText" text="Reprovado">
      <formula>NOT(ISERROR(SEARCH("Reprovado",Q62)))</formula>
    </cfRule>
    <cfRule type="containsText" dxfId="257" priority="22" operator="containsText" text="Aprovado">
      <formula>NOT(ISERROR(SEARCH("Aprovado",Q62)))</formula>
    </cfRule>
  </conditionalFormatting>
  <conditionalFormatting sqref="R64:T64 R85:T85 R106:T106 R127:T127 R148:T148">
    <cfRule type="expression" dxfId="256" priority="20">
      <formula>$O64=""</formula>
    </cfRule>
  </conditionalFormatting>
  <conditionalFormatting sqref="S66:T66 S87:T87 S108:T108 S129:T129 S150:T150">
    <cfRule type="expression" dxfId="255" priority="19">
      <formula>$AS70</formula>
    </cfRule>
  </conditionalFormatting>
  <conditionalFormatting sqref="B65:G65 B86:G86 B107:G107 B128:G128 B149:G149">
    <cfRule type="notContainsBlanks" dxfId="254" priority="18">
      <formula>LEN(TRIM(B65))&gt;0</formula>
    </cfRule>
  </conditionalFormatting>
  <conditionalFormatting sqref="N4:T4">
    <cfRule type="expression" dxfId="253" priority="17">
      <formula>$J$4=""</formula>
    </cfRule>
  </conditionalFormatting>
  <conditionalFormatting sqref="Q5:R5">
    <cfRule type="expression" dxfId="252" priority="16">
      <formula>$J$4=""</formula>
    </cfRule>
  </conditionalFormatting>
  <conditionalFormatting sqref="S5:T5">
    <cfRule type="expression" dxfId="251" priority="15">
      <formula>$J$4=""</formula>
    </cfRule>
  </conditionalFormatting>
  <conditionalFormatting sqref="K12:M12">
    <cfRule type="expression" dxfId="250" priority="14">
      <formula>$O12&lt;&gt;""</formula>
    </cfRule>
  </conditionalFormatting>
  <conditionalFormatting sqref="O12:T12">
    <cfRule type="notContainsBlanks" dxfId="249" priority="13">
      <formula>LEN(TRIM(O12))&gt;0</formula>
    </cfRule>
  </conditionalFormatting>
  <conditionalFormatting sqref="O33:T33">
    <cfRule type="notContainsBlanks" dxfId="248" priority="12">
      <formula>LEN(TRIM(O33))&gt;0</formula>
    </cfRule>
  </conditionalFormatting>
  <conditionalFormatting sqref="K33:M33">
    <cfRule type="expression" dxfId="247" priority="11">
      <formula>$O33&lt;&gt;""</formula>
    </cfRule>
  </conditionalFormatting>
  <conditionalFormatting sqref="O54:T54">
    <cfRule type="notContainsBlanks" dxfId="246" priority="10">
      <formula>LEN(TRIM(O54))&gt;0</formula>
    </cfRule>
  </conditionalFormatting>
  <conditionalFormatting sqref="K54:M54">
    <cfRule type="expression" dxfId="245" priority="9">
      <formula>$O54&lt;&gt;""</formula>
    </cfRule>
  </conditionalFormatting>
  <conditionalFormatting sqref="O75:T75">
    <cfRule type="notContainsBlanks" dxfId="244" priority="8">
      <formula>LEN(TRIM(O75))&gt;0</formula>
    </cfRule>
  </conditionalFormatting>
  <conditionalFormatting sqref="K75:M75">
    <cfRule type="expression" dxfId="243" priority="7">
      <formula>$O75&lt;&gt;""</formula>
    </cfRule>
  </conditionalFormatting>
  <conditionalFormatting sqref="O96:T96">
    <cfRule type="notContainsBlanks" dxfId="242" priority="6">
      <formula>LEN(TRIM(O96))&gt;0</formula>
    </cfRule>
  </conditionalFormatting>
  <conditionalFormatting sqref="K96:M96">
    <cfRule type="expression" dxfId="241" priority="5">
      <formula>$O96&lt;&gt;""</formula>
    </cfRule>
  </conditionalFormatting>
  <conditionalFormatting sqref="O117:T117">
    <cfRule type="notContainsBlanks" dxfId="240" priority="4">
      <formula>LEN(TRIM(O117))&gt;0</formula>
    </cfRule>
  </conditionalFormatting>
  <conditionalFormatting sqref="K117:M117">
    <cfRule type="expression" dxfId="239" priority="3">
      <formula>$O117&lt;&gt;""</formula>
    </cfRule>
  </conditionalFormatting>
  <conditionalFormatting sqref="O138:T138">
    <cfRule type="notContainsBlanks" dxfId="238" priority="2">
      <formula>LEN(TRIM(O138))&gt;0</formula>
    </cfRule>
  </conditionalFormatting>
  <conditionalFormatting sqref="K138:M138">
    <cfRule type="expression" dxfId="237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F9388546-6146-4203-A2B7-589A774A8C13}">
      <formula1>$CM$2:$CM$21</formula1>
    </dataValidation>
    <dataValidation type="list" allowBlank="1" showInputMessage="1" showErrorMessage="1" sqref="K96:M96 K12:M12 K33:M33 K117:M117 K54:M54 K75:M75 K138:M138" xr:uid="{33358762-E8B6-4102-A9C8-1B81F2D24872}">
      <formula1>$CQ$2:$CQ$21</formula1>
    </dataValidation>
    <dataValidation type="list" allowBlank="1" showInputMessage="1" showErrorMessage="1" sqref="O146:P146 O41:P41 O62:P62 O83:P83 O104:P104 O125:P125 O20:P20" xr:uid="{BB181C45-6739-4BAA-AE36-54286703820D}">
      <formula1>$CD$1:$CD$2</formula1>
    </dataValidation>
    <dataValidation type="list" allowBlank="1" sqref="R19 T19 T22 R40 T40 T43 R61 R82 R103 R124 R145 T61 T82 T103 T124 T145 T64 T85 T106 T127 T148" xr:uid="{C2DB49C8-399F-45A6-89AC-0CF78FCABDA9}">
      <formula1>$CB$1:$CB$2</formula1>
    </dataValidation>
    <dataValidation type="list" allowBlank="1" showInputMessage="1" showErrorMessage="1" sqref="Q17:T17 Q38:T38 Q59:T59 Q80:T80 Q101:T101 Q122:T122 Q143:T143" xr:uid="{2B1F7AC3-7327-41C9-8E6B-37E2A0D8E1BC}">
      <formula1>$BP$25:$BU$25</formula1>
    </dataValidation>
    <dataValidation type="list" allowBlank="1" showInputMessage="1" showErrorMessage="1" sqref="E14:G14 E119:G119 E35:G35 E56:G56 E77:G77 E98:G98 E140:G140" xr:uid="{DA1D87FA-74B6-48F8-B7CE-DFBCBE32F30F}">
      <formula1>$BX$1:$BX$6</formula1>
    </dataValidation>
    <dataValidation type="list" allowBlank="1" showInputMessage="1" showErrorMessage="1" sqref="H17:J17 H38:J38 H59:J59 H122:J122 H80:J80 H101:J101 H143:J143" xr:uid="{9994A23E-20C6-4549-A0D1-95596CB33CD7}">
      <formula1>$BN$1:$BN$4</formula1>
    </dataValidation>
    <dataValidation type="list" allowBlank="1" sqref="S4:T4" xr:uid="{2DD90932-293A-4FFA-B8DD-33DF232F426C}">
      <formula1>$CU$1:$CU$8</formula1>
    </dataValidation>
    <dataValidation type="list" allowBlank="1" sqref="S7:T7" xr:uid="{78EA8375-99BB-4CF8-9549-0E1583439F26}">
      <formula1>$BN$1:$BN$4</formula1>
    </dataValidation>
    <dataValidation type="whole" allowBlank="1" showInputMessage="1" showErrorMessage="1" sqref="S14" xr:uid="{2526AB3C-5F96-4375-91B0-43B7F1AB474B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CA874-DC5E-4CDF-A46D-BFE66B7913C6}">
  <sheetPr codeName="Planilha22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- 5</v>
      </c>
      <c r="AC1" s="61" t="str">
        <f>CONCATENATE("Incerteza - R",A2)</f>
        <v>Incerteza - R6</v>
      </c>
      <c r="AD1" s="61" t="str">
        <f>CONCATENATE("Resultados - ",A2)</f>
        <v>Resultados - 6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6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- 5'!K12="","",'Resultados - 5'!K12)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- 5'!K13="","",'Resultados - 5'!K13)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- 5'!K12,'Resultados - 5'!H17,'Resultados - 5'!AH18)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- 5'!Q17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R6'!$S$4:$W$163,2,FALSE))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R6'!$S$4:$W$163,5,FALSE),"")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R6'!$S$4:$W$163,3,FALSE))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R6'!$S$4:$W$163,4,FALSE))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R6'!$S$4:$W$163,2,FALSE))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R6'!$S$4:$W$163,5,FALSE),"")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R6'!$S$4:$W$163,3,FALSE))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R6'!$S$4:$W$163,4,FALSE))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R6'!$S$4:$W$163,2,FALSE))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R6'!$S$4:$W$163,5,FALSE),"")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R6'!$S$4:$W$163,3,FALSE))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R6'!$S$4:$W$163,4,FALSE))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R6'!$S$4:$W$163,2,FALSE))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R6'!$S$4:$W$163,5,FALSE),"")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R6'!$S$4:$W$163,3,FALSE))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R6'!$S$4:$W$163,4,FALSE))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R6'!$S$4:$W$163,2,FALSE))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R6'!$S$4:$W$163,5,FALSE),"")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R6'!$S$4:$W$163,3,FALSE))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R6'!$S$4:$W$163,4,FALSE))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R6'!$S$4:$W$163,2,FALSE))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R6'!$S$4:$W$163,5,FALSE),"")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R6'!$S$4:$W$163,3,FALSE))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R6'!$S$4:$W$163,4,FALSE))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R6'!$S$4:$W$163,2,FALSE))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R6'!$S$4:$W$163,5,FALSE),"")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R6'!$S$4:$W$163,3,FALSE))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R6'!$S$4:$W$163,4,FALSE))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Mo1i+ma+S5bGyzga6nzCWSNwgWCk4KsngeL1Zu3hz8ipgQnn/ylMdINWQG94UpKhtZfdvMc23JgTKW/pzDM4OQ==" saltValue="keLPROgwOBW1VmotO3p1B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36" priority="33">
      <formula>LEN(TRIM(B6))=0</formula>
    </cfRule>
  </conditionalFormatting>
  <conditionalFormatting sqref="Q41:T41">
    <cfRule type="containsText" dxfId="235" priority="31" operator="containsText" text="Reprovado">
      <formula>NOT(ISERROR(SEARCH("Reprovado",Q41)))</formula>
    </cfRule>
    <cfRule type="containsText" dxfId="234" priority="32" operator="containsText" text="Aprovado">
      <formula>NOT(ISERROR(SEARCH("Aprovado",Q41)))</formula>
    </cfRule>
  </conditionalFormatting>
  <conditionalFormatting sqref="R43:T43">
    <cfRule type="expression" dxfId="233" priority="30">
      <formula>$O43=""</formula>
    </cfRule>
  </conditionalFormatting>
  <conditionalFormatting sqref="S45:T45">
    <cfRule type="expression" dxfId="232" priority="29">
      <formula>$AS49</formula>
    </cfRule>
  </conditionalFormatting>
  <conditionalFormatting sqref="Q20:T20">
    <cfRule type="containsText" dxfId="231" priority="27" operator="containsText" text="Reprovado">
      <formula>NOT(ISERROR(SEARCH("Reprovado",Q20)))</formula>
    </cfRule>
    <cfRule type="containsText" dxfId="230" priority="28" operator="containsText" text="Aprovado">
      <formula>NOT(ISERROR(SEARCH("Aprovado",Q20)))</formula>
    </cfRule>
  </conditionalFormatting>
  <conditionalFormatting sqref="R22:T22">
    <cfRule type="expression" dxfId="229" priority="26">
      <formula>$O22=""</formula>
    </cfRule>
  </conditionalFormatting>
  <conditionalFormatting sqref="S24:T24">
    <cfRule type="expression" dxfId="228" priority="25">
      <formula>$AS28</formula>
    </cfRule>
  </conditionalFormatting>
  <conditionalFormatting sqref="B23:G23">
    <cfRule type="notContainsBlanks" dxfId="227" priority="24">
      <formula>LEN(TRIM(B23))&gt;0</formula>
    </cfRule>
  </conditionalFormatting>
  <conditionalFormatting sqref="B44:G44">
    <cfRule type="notContainsBlanks" dxfId="226" priority="23">
      <formula>LEN(TRIM(B44))&gt;0</formula>
    </cfRule>
  </conditionalFormatting>
  <conditionalFormatting sqref="Q62:T62 Q83:T83 Q104:T104 Q125:T125 Q146:T146">
    <cfRule type="containsText" dxfId="225" priority="21" operator="containsText" text="Reprovado">
      <formula>NOT(ISERROR(SEARCH("Reprovado",Q62)))</formula>
    </cfRule>
    <cfRule type="containsText" dxfId="224" priority="22" operator="containsText" text="Aprovado">
      <formula>NOT(ISERROR(SEARCH("Aprovado",Q62)))</formula>
    </cfRule>
  </conditionalFormatting>
  <conditionalFormatting sqref="R64:T64 R85:T85 R106:T106 R127:T127 R148:T148">
    <cfRule type="expression" dxfId="223" priority="20">
      <formula>$O64=""</formula>
    </cfRule>
  </conditionalFormatting>
  <conditionalFormatting sqref="S66:T66 S87:T87 S108:T108 S129:T129 S150:T150">
    <cfRule type="expression" dxfId="222" priority="19">
      <formula>$AS70</formula>
    </cfRule>
  </conditionalFormatting>
  <conditionalFormatting sqref="B65:G65 B86:G86 B107:G107 B128:G128 B149:G149">
    <cfRule type="notContainsBlanks" dxfId="221" priority="18">
      <formula>LEN(TRIM(B65))&gt;0</formula>
    </cfRule>
  </conditionalFormatting>
  <conditionalFormatting sqref="N4:T4">
    <cfRule type="expression" dxfId="220" priority="17">
      <formula>$J$4=""</formula>
    </cfRule>
  </conditionalFormatting>
  <conditionalFormatting sqref="Q5:R5">
    <cfRule type="expression" dxfId="219" priority="16">
      <formula>$J$4=""</formula>
    </cfRule>
  </conditionalFormatting>
  <conditionalFormatting sqref="S5:T5">
    <cfRule type="expression" dxfId="218" priority="15">
      <formula>$J$4=""</formula>
    </cfRule>
  </conditionalFormatting>
  <conditionalFormatting sqref="K12:M12">
    <cfRule type="expression" dxfId="217" priority="14">
      <formula>$O12&lt;&gt;""</formula>
    </cfRule>
  </conditionalFormatting>
  <conditionalFormatting sqref="O12:T12">
    <cfRule type="notContainsBlanks" dxfId="216" priority="13">
      <formula>LEN(TRIM(O12))&gt;0</formula>
    </cfRule>
  </conditionalFormatting>
  <conditionalFormatting sqref="O33:T33">
    <cfRule type="notContainsBlanks" dxfId="215" priority="12">
      <formula>LEN(TRIM(O33))&gt;0</formula>
    </cfRule>
  </conditionalFormatting>
  <conditionalFormatting sqref="K33:M33">
    <cfRule type="expression" dxfId="214" priority="11">
      <formula>$O33&lt;&gt;""</formula>
    </cfRule>
  </conditionalFormatting>
  <conditionalFormatting sqref="O54:T54">
    <cfRule type="notContainsBlanks" dxfId="213" priority="10">
      <formula>LEN(TRIM(O54))&gt;0</formula>
    </cfRule>
  </conditionalFormatting>
  <conditionalFormatting sqref="K54:M54">
    <cfRule type="expression" dxfId="212" priority="9">
      <formula>$O54&lt;&gt;""</formula>
    </cfRule>
  </conditionalFormatting>
  <conditionalFormatting sqref="O75:T75">
    <cfRule type="notContainsBlanks" dxfId="211" priority="8">
      <formula>LEN(TRIM(O75))&gt;0</formula>
    </cfRule>
  </conditionalFormatting>
  <conditionalFormatting sqref="K75:M75">
    <cfRule type="expression" dxfId="210" priority="7">
      <formula>$O75&lt;&gt;""</formula>
    </cfRule>
  </conditionalFormatting>
  <conditionalFormatting sqref="O96:T96">
    <cfRule type="notContainsBlanks" dxfId="209" priority="6">
      <formula>LEN(TRIM(O96))&gt;0</formula>
    </cfRule>
  </conditionalFormatting>
  <conditionalFormatting sqref="K96:M96">
    <cfRule type="expression" dxfId="208" priority="5">
      <formula>$O96&lt;&gt;""</formula>
    </cfRule>
  </conditionalFormatting>
  <conditionalFormatting sqref="O117:T117">
    <cfRule type="notContainsBlanks" dxfId="207" priority="4">
      <formula>LEN(TRIM(O117))&gt;0</formula>
    </cfRule>
  </conditionalFormatting>
  <conditionalFormatting sqref="K117:M117">
    <cfRule type="expression" dxfId="206" priority="3">
      <formula>$O117&lt;&gt;""</formula>
    </cfRule>
  </conditionalFormatting>
  <conditionalFormatting sqref="O138:T138">
    <cfRule type="notContainsBlanks" dxfId="205" priority="2">
      <formula>LEN(TRIM(O138))&gt;0</formula>
    </cfRule>
  </conditionalFormatting>
  <conditionalFormatting sqref="K138:M138">
    <cfRule type="expression" dxfId="204" priority="1">
      <formula>$O138&lt;&gt;""</formula>
    </cfRule>
  </conditionalFormatting>
  <dataValidations count="10">
    <dataValidation type="list" allowBlank="1" sqref="S4:T4" xr:uid="{F63F826E-46F9-4D9F-BCFE-081376B60DF0}">
      <formula1>$CU$1:$CU$8</formula1>
    </dataValidation>
    <dataValidation type="list" allowBlank="1" showInputMessage="1" showErrorMessage="1" sqref="H17:J17 H38:J38 H59:J59 H122:J122 H80:J80 H101:J101 H143:J143" xr:uid="{E9F5A23F-23DC-4E3D-82AA-FB942937960E}">
      <formula1>$BN$1:$BN$4</formula1>
    </dataValidation>
    <dataValidation type="list" allowBlank="1" showInputMessage="1" showErrorMessage="1" sqref="E14:G14 E119:G119 E35:G35 E56:G56 E77:G77 E98:G98 E140:G140" xr:uid="{ACF88FF1-E238-490A-B30B-96AFA641FC03}">
      <formula1>$BX$1:$BX$6</formula1>
    </dataValidation>
    <dataValidation type="list" allowBlank="1" showInputMessage="1" showErrorMessage="1" sqref="Q17:T17 Q38:T38 Q59:T59 Q80:T80 Q101:T101 Q122:T122 Q143:T143" xr:uid="{74E1718E-8038-4E14-97A9-AF26DD9F3FAD}">
      <formula1>$BP$25:$BU$25</formula1>
    </dataValidation>
    <dataValidation type="list" allowBlank="1" sqref="R19 T19 T22 R40 T40 T43 R61 R82 R103 R124 R145 T61 T82 T103 T124 T145 T64 T85 T106 T127 T148" xr:uid="{8A345033-76B7-4C22-83F5-A674C6962060}">
      <formula1>$CB$1:$CB$2</formula1>
    </dataValidation>
    <dataValidation type="list" allowBlank="1" showInputMessage="1" showErrorMessage="1" sqref="O146:P146 O41:P41 O62:P62 O83:P83 O104:P104 O125:P125 O20:P20" xr:uid="{63ED2C5B-D16A-4FC2-AEB5-7785490DA58E}">
      <formula1>$CD$1:$CD$2</formula1>
    </dataValidation>
    <dataValidation type="list" allowBlank="1" showInputMessage="1" showErrorMessage="1" sqref="K96:M96 K12:M12 K33:M33 K117:M117 K54:M54 K75:M75 K138:M138" xr:uid="{15B93A62-428A-498C-9859-077930DE79A0}">
      <formula1>$CQ$2:$CQ$21</formula1>
    </dataValidation>
    <dataValidation type="list" allowBlank="1" showInputMessage="1" showErrorMessage="1" sqref="K118:M118 K13:M13 K34:M34 K55:M55 K76:M76 K97:M97 K139:M139" xr:uid="{D1F800EF-C095-4287-8606-67246F1EEBC6}">
      <formula1>$CM$2:$CM$21</formula1>
    </dataValidation>
    <dataValidation type="list" allowBlank="1" sqref="S7:T7" xr:uid="{85A0947F-DE07-49D5-80EA-C821F4412AF0}">
      <formula1>$BN$1:$BN$4</formula1>
    </dataValidation>
    <dataValidation type="whole" allowBlank="1" showInputMessage="1" showErrorMessage="1" sqref="S14" xr:uid="{474D5DE7-DE5D-4179-9487-706A729C1BD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3" name="Button 13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4" name="Button 14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5" name="Button 15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6" name="Button 16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7" name="Button 17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18" name="Button 18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19" name="Button 19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0" name="Button 20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1" name="Button 21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2" name="Button 22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3" name="Button 23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4" name="Button 24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5" name="Button 25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26" name="Button 28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27" name="Button 29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28" name="Button 30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29" name="Button 31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0" name="Button 32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1" name="Button 33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2" name="Button 34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3" name="Button 35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4" name="Button 36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35" name="Button 37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36" name="Button 38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37" name="Button 39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38" name="Button 40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39" name="Button 41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0" name="Button 42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1" name="Button 43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2" name="Button 44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3" name="Button 45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4" name="Button 46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45" name="Button 47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46" name="Button 48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47" name="Button 49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48" name="Button 50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49" name="Button 51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0" name="Button 52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1" name="Button 53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2" name="Button 54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3" name="Button 55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4" name="Button 56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55" name="Button 57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56" name="Button 58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57" name="Button 59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58" name="Button 60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59" name="Button 61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0" name="Button 62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1" name="Button 63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2" name="Button 64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3" name="Button 65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4" name="Button 66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65" name="Button 67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66" name="Button 68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67" name="Button 69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68" name="Button 70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69" name="Button 71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0" name="Button 72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1" name="Button 73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2" name="Button 74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3" name="Button 75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4" name="Button 76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75" name="Button 77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76" name="Button 78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77" name="Button 79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78" name="Button 80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79" name="Button 81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0" name="Button 82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1" name="Button 83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2" name="Button 84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3" name="Button 85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4" name="Button 86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85" name="Button 87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4545C-9B0B-4E02-808C-6994A05140CD}">
  <sheetPr codeName="Planilha21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- 6</v>
      </c>
      <c r="AC1" s="61" t="str">
        <f>CONCATENATE("Incerteza - R",A2)</f>
        <v>Incerteza - R7</v>
      </c>
      <c r="AD1" s="61" t="str">
        <f>CONCATENATE("Resultados - ",A2)</f>
        <v>Resultados - 7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7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- 6'!K12="","",'Resultados - 6'!K12)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- 6'!K13="","",'Resultados - 6'!K13)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- 6'!K12,'Resultados - 6'!H17,'Resultados - 6'!AH18)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- 6'!Q17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R7'!$S$4:$W$163,2,FALSE))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R7'!$S$4:$W$163,5,FALSE),"")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R7'!$S$4:$W$163,3,FALSE))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R7'!$S$4:$W$163,4,FALSE))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R7'!$S$4:$W$163,2,FALSE))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R7'!$S$4:$W$163,5,FALSE),"")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R7'!$S$4:$W$163,3,FALSE))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R7'!$S$4:$W$163,4,FALSE))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R7'!$S$4:$W$163,2,FALSE))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R7'!$S$4:$W$163,5,FALSE),"")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R7'!$S$4:$W$163,3,FALSE))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R7'!$S$4:$W$163,4,FALSE))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R7'!$S$4:$W$163,2,FALSE))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R7'!$S$4:$W$163,5,FALSE),"")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R7'!$S$4:$W$163,3,FALSE))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R7'!$S$4:$W$163,4,FALSE))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R7'!$S$4:$W$163,2,FALSE))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R7'!$S$4:$W$163,5,FALSE),"")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R7'!$S$4:$W$163,3,FALSE))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R7'!$S$4:$W$163,4,FALSE))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R7'!$S$4:$W$163,2,FALSE))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R7'!$S$4:$W$163,5,FALSE),"")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R7'!$S$4:$W$163,3,FALSE))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R7'!$S$4:$W$163,4,FALSE))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R7'!$S$4:$W$163,2,FALSE))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R7'!$S$4:$W$163,5,FALSE),"")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R7'!$S$4:$W$163,3,FALSE))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R7'!$S$4:$W$163,4,FALSE))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4NF3vJQjs+Pl1phJy9cJ+y/gWlHOiUZ/DUN+AYzNEpU2T3DMZxDklpgGsfb7pMHCYwEKkbbMcvvt8q9BCwlWxw==" saltValue="8BGZlCexpkZiZzpajs7SJ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03" priority="33">
      <formula>LEN(TRIM(B6))=0</formula>
    </cfRule>
  </conditionalFormatting>
  <conditionalFormatting sqref="Q41:T41">
    <cfRule type="containsText" dxfId="202" priority="31" operator="containsText" text="Reprovado">
      <formula>NOT(ISERROR(SEARCH("Reprovado",Q41)))</formula>
    </cfRule>
    <cfRule type="containsText" dxfId="201" priority="32" operator="containsText" text="Aprovado">
      <formula>NOT(ISERROR(SEARCH("Aprovado",Q41)))</formula>
    </cfRule>
  </conditionalFormatting>
  <conditionalFormatting sqref="R43:T43">
    <cfRule type="expression" dxfId="200" priority="30">
      <formula>$O43=""</formula>
    </cfRule>
  </conditionalFormatting>
  <conditionalFormatting sqref="S45:T45">
    <cfRule type="expression" dxfId="199" priority="29">
      <formula>$AS49</formula>
    </cfRule>
  </conditionalFormatting>
  <conditionalFormatting sqref="Q20:T20">
    <cfRule type="containsText" dxfId="198" priority="27" operator="containsText" text="Reprovado">
      <formula>NOT(ISERROR(SEARCH("Reprovado",Q20)))</formula>
    </cfRule>
    <cfRule type="containsText" dxfId="197" priority="28" operator="containsText" text="Aprovado">
      <formula>NOT(ISERROR(SEARCH("Aprovado",Q20)))</formula>
    </cfRule>
  </conditionalFormatting>
  <conditionalFormatting sqref="R22:T22">
    <cfRule type="expression" dxfId="196" priority="26">
      <formula>$O22=""</formula>
    </cfRule>
  </conditionalFormatting>
  <conditionalFormatting sqref="S24:T24">
    <cfRule type="expression" dxfId="195" priority="25">
      <formula>$AS28</formula>
    </cfRule>
  </conditionalFormatting>
  <conditionalFormatting sqref="B23:G23">
    <cfRule type="notContainsBlanks" dxfId="194" priority="24">
      <formula>LEN(TRIM(B23))&gt;0</formula>
    </cfRule>
  </conditionalFormatting>
  <conditionalFormatting sqref="B44:G44">
    <cfRule type="notContainsBlanks" dxfId="193" priority="23">
      <formula>LEN(TRIM(B44))&gt;0</formula>
    </cfRule>
  </conditionalFormatting>
  <conditionalFormatting sqref="Q62:T62 Q83:T83 Q104:T104 Q125:T125 Q146:T146">
    <cfRule type="containsText" dxfId="192" priority="21" operator="containsText" text="Reprovado">
      <formula>NOT(ISERROR(SEARCH("Reprovado",Q62)))</formula>
    </cfRule>
    <cfRule type="containsText" dxfId="191" priority="22" operator="containsText" text="Aprovado">
      <formula>NOT(ISERROR(SEARCH("Aprovado",Q62)))</formula>
    </cfRule>
  </conditionalFormatting>
  <conditionalFormatting sqref="R64:T64 R85:T85 R106:T106 R127:T127 R148:T148">
    <cfRule type="expression" dxfId="190" priority="20">
      <formula>$O64=""</formula>
    </cfRule>
  </conditionalFormatting>
  <conditionalFormatting sqref="S66:T66 S87:T87 S108:T108 S129:T129 S150:T150">
    <cfRule type="expression" dxfId="189" priority="19">
      <formula>$AS70</formula>
    </cfRule>
  </conditionalFormatting>
  <conditionalFormatting sqref="B65:G65 B86:G86 B107:G107 B128:G128 B149:G149">
    <cfRule type="notContainsBlanks" dxfId="188" priority="18">
      <formula>LEN(TRIM(B65))&gt;0</formula>
    </cfRule>
  </conditionalFormatting>
  <conditionalFormatting sqref="N4:T4">
    <cfRule type="expression" dxfId="187" priority="17">
      <formula>$J$4=""</formula>
    </cfRule>
  </conditionalFormatting>
  <conditionalFormatting sqref="Q5:R5">
    <cfRule type="expression" dxfId="186" priority="16">
      <formula>$J$4=""</formula>
    </cfRule>
  </conditionalFormatting>
  <conditionalFormatting sqref="S5:T5">
    <cfRule type="expression" dxfId="185" priority="15">
      <formula>$J$4=""</formula>
    </cfRule>
  </conditionalFormatting>
  <conditionalFormatting sqref="K12:M12">
    <cfRule type="expression" dxfId="184" priority="14">
      <formula>$O12&lt;&gt;""</formula>
    </cfRule>
  </conditionalFormatting>
  <conditionalFormatting sqref="O12:T12">
    <cfRule type="notContainsBlanks" dxfId="183" priority="13">
      <formula>LEN(TRIM(O12))&gt;0</formula>
    </cfRule>
  </conditionalFormatting>
  <conditionalFormatting sqref="O33:T33">
    <cfRule type="notContainsBlanks" dxfId="182" priority="12">
      <formula>LEN(TRIM(O33))&gt;0</formula>
    </cfRule>
  </conditionalFormatting>
  <conditionalFormatting sqref="K33:M33">
    <cfRule type="expression" dxfId="181" priority="11">
      <formula>$O33&lt;&gt;""</formula>
    </cfRule>
  </conditionalFormatting>
  <conditionalFormatting sqref="O54:T54">
    <cfRule type="notContainsBlanks" dxfId="180" priority="10">
      <formula>LEN(TRIM(O54))&gt;0</formula>
    </cfRule>
  </conditionalFormatting>
  <conditionalFormatting sqref="K54:M54">
    <cfRule type="expression" dxfId="179" priority="9">
      <formula>$O54&lt;&gt;""</formula>
    </cfRule>
  </conditionalFormatting>
  <conditionalFormatting sqref="O75:T75">
    <cfRule type="notContainsBlanks" dxfId="178" priority="8">
      <formula>LEN(TRIM(O75))&gt;0</formula>
    </cfRule>
  </conditionalFormatting>
  <conditionalFormatting sqref="K75:M75">
    <cfRule type="expression" dxfId="177" priority="7">
      <formula>$O75&lt;&gt;""</formula>
    </cfRule>
  </conditionalFormatting>
  <conditionalFormatting sqref="O96:T96">
    <cfRule type="notContainsBlanks" dxfId="176" priority="6">
      <formula>LEN(TRIM(O96))&gt;0</formula>
    </cfRule>
  </conditionalFormatting>
  <conditionalFormatting sqref="K96:M96">
    <cfRule type="expression" dxfId="175" priority="5">
      <formula>$O96&lt;&gt;""</formula>
    </cfRule>
  </conditionalFormatting>
  <conditionalFormatting sqref="O117:T117">
    <cfRule type="notContainsBlanks" dxfId="174" priority="4">
      <formula>LEN(TRIM(O117))&gt;0</formula>
    </cfRule>
  </conditionalFormatting>
  <conditionalFormatting sqref="K117:M117">
    <cfRule type="expression" dxfId="173" priority="3">
      <formula>$O117&lt;&gt;""</formula>
    </cfRule>
  </conditionalFormatting>
  <conditionalFormatting sqref="O138:T138">
    <cfRule type="notContainsBlanks" dxfId="172" priority="2">
      <formula>LEN(TRIM(O138))&gt;0</formula>
    </cfRule>
  </conditionalFormatting>
  <conditionalFormatting sqref="K138:M138">
    <cfRule type="expression" dxfId="171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35A4484D-7949-4312-BA40-B49DBBA7EE7F}">
      <formula1>$CM$2:$CM$21</formula1>
    </dataValidation>
    <dataValidation type="list" allowBlank="1" showInputMessage="1" showErrorMessage="1" sqref="K96:M96 K12:M12 K33:M33 K117:M117 K54:M54 K75:M75 K138:M138" xr:uid="{3BE8DF94-7D4D-4868-9057-3685F02CA44F}">
      <formula1>$CQ$2:$CQ$21</formula1>
    </dataValidation>
    <dataValidation type="list" allowBlank="1" showInputMessage="1" showErrorMessage="1" sqref="O146:P146 O41:P41 O62:P62 O83:P83 O104:P104 O125:P125 O20:P20" xr:uid="{102B2F6C-CF9C-4F98-88B5-087DB23AB085}">
      <formula1>$CD$1:$CD$2</formula1>
    </dataValidation>
    <dataValidation type="list" allowBlank="1" sqref="R19 T19 T22 R40 T40 T43 R61 R82 R103 R124 R145 T61 T82 T103 T124 T145 T64 T85 T106 T127 T148" xr:uid="{307EF50F-D6F8-477B-ABE7-7ED71513E97D}">
      <formula1>$CB$1:$CB$2</formula1>
    </dataValidation>
    <dataValidation type="list" allowBlank="1" showInputMessage="1" showErrorMessage="1" sqref="Q17:T17 Q38:T38 Q59:T59 Q80:T80 Q101:T101 Q122:T122 Q143:T143" xr:uid="{9AA3811F-4A8E-4424-833D-6FEF0E4A0966}">
      <formula1>$BP$25:$BU$25</formula1>
    </dataValidation>
    <dataValidation type="list" allowBlank="1" showInputMessage="1" showErrorMessage="1" sqref="E14:G14 E119:G119 E35:G35 E56:G56 E77:G77 E98:G98 E140:G140" xr:uid="{318024AC-AB74-4A14-844F-F70801B4A2ED}">
      <formula1>$BX$1:$BX$6</formula1>
    </dataValidation>
    <dataValidation type="list" allowBlank="1" showInputMessage="1" showErrorMessage="1" sqref="H17:J17 H38:J38 H59:J59 H122:J122 H80:J80 H101:J101 H143:J143" xr:uid="{F3194F4E-ADA1-4209-9E8A-C45D3C1C96D1}">
      <formula1>$BN$1:$BN$4</formula1>
    </dataValidation>
    <dataValidation type="list" allowBlank="1" sqref="S4:T4" xr:uid="{F2E45180-C4DA-4126-ACD4-247B265F3363}">
      <formula1>$CU$1:$CU$8</formula1>
    </dataValidation>
    <dataValidation type="list" allowBlank="1" sqref="S7:T7" xr:uid="{0D2B7F79-9552-4C1D-A6D3-E5EF43C14474}">
      <formula1>$BN$1:$BN$4</formula1>
    </dataValidation>
    <dataValidation type="whole" allowBlank="1" showInputMessage="1" showErrorMessage="1" sqref="S14" xr:uid="{BD9A32DA-75DA-491E-8B56-F0C991215F4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4AA04-16AE-4A76-BBBE-18E095C9FE3D}">
  <sheetPr codeName="Planilha20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- 7</v>
      </c>
      <c r="AC1" s="61" t="str">
        <f>CONCATENATE("Incerteza - R",A2)</f>
        <v>Incerteza - R8</v>
      </c>
      <c r="AD1" s="61" t="str">
        <f>CONCATENATE("Resultados - ",A2)</f>
        <v>Resultados - 8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8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- 7'!K12="","",'Resultados - 7'!K12)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- 7'!K13="","",'Resultados - 7'!K13)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- 7'!K12,'Resultados - 7'!H17,'Resultados - 7'!AH18)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- 7'!Q17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R8'!$S$4:$W$163,2,FALSE))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R8'!$S$4:$W$163,5,FALSE),"")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R8'!$S$4:$W$163,3,FALSE))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R8'!$S$4:$W$163,4,FALSE))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R8'!$S$4:$W$163,2,FALSE))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R8'!$S$4:$W$163,5,FALSE),"")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R8'!$S$4:$W$163,3,FALSE))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R8'!$S$4:$W$163,4,FALSE))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R8'!$S$4:$W$163,2,FALSE))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R8'!$S$4:$W$163,5,FALSE),"")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R8'!$S$4:$W$163,3,FALSE))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R8'!$S$4:$W$163,4,FALSE))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R8'!$S$4:$W$163,2,FALSE))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R8'!$S$4:$W$163,5,FALSE),"")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R8'!$S$4:$W$163,3,FALSE))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R8'!$S$4:$W$163,4,FALSE))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R8'!$S$4:$W$163,2,FALSE))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R8'!$S$4:$W$163,5,FALSE),"")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R8'!$S$4:$W$163,3,FALSE))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R8'!$S$4:$W$163,4,FALSE))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R8'!$S$4:$W$163,2,FALSE))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R8'!$S$4:$W$163,5,FALSE),"")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R8'!$S$4:$W$163,3,FALSE))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R8'!$S$4:$W$163,4,FALSE))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R8'!$S$4:$W$163,2,FALSE))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R8'!$S$4:$W$163,5,FALSE),"")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R8'!$S$4:$W$163,3,FALSE))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R8'!$S$4:$W$163,4,FALSE))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qX2aehCBY8AAXJz96lk0VWwLpSpLmjSXvzKZ1brLROk5ed1oXJcQ9g4HV+oZZFTBNLrNGY68nKGJAPqXAcwBjQ==" saltValue="5Oinld3uSOSKnsuc5VTu2g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70" priority="33">
      <formula>LEN(TRIM(B6))=0</formula>
    </cfRule>
  </conditionalFormatting>
  <conditionalFormatting sqref="Q41:T41">
    <cfRule type="containsText" dxfId="169" priority="31" operator="containsText" text="Reprovado">
      <formula>NOT(ISERROR(SEARCH("Reprovado",Q41)))</formula>
    </cfRule>
    <cfRule type="containsText" dxfId="168" priority="32" operator="containsText" text="Aprovado">
      <formula>NOT(ISERROR(SEARCH("Aprovado",Q41)))</formula>
    </cfRule>
  </conditionalFormatting>
  <conditionalFormatting sqref="R43:T43">
    <cfRule type="expression" dxfId="167" priority="30">
      <formula>$O43=""</formula>
    </cfRule>
  </conditionalFormatting>
  <conditionalFormatting sqref="S45:T45">
    <cfRule type="expression" dxfId="166" priority="29">
      <formula>$AS49</formula>
    </cfRule>
  </conditionalFormatting>
  <conditionalFormatting sqref="Q20:T20">
    <cfRule type="containsText" dxfId="165" priority="27" operator="containsText" text="Reprovado">
      <formula>NOT(ISERROR(SEARCH("Reprovado",Q20)))</formula>
    </cfRule>
    <cfRule type="containsText" dxfId="164" priority="28" operator="containsText" text="Aprovado">
      <formula>NOT(ISERROR(SEARCH("Aprovado",Q20)))</formula>
    </cfRule>
  </conditionalFormatting>
  <conditionalFormatting sqref="R22:T22">
    <cfRule type="expression" dxfId="163" priority="26">
      <formula>$O22=""</formula>
    </cfRule>
  </conditionalFormatting>
  <conditionalFormatting sqref="S24:T24">
    <cfRule type="expression" dxfId="162" priority="25">
      <formula>$AS28</formula>
    </cfRule>
  </conditionalFormatting>
  <conditionalFormatting sqref="B23:G23">
    <cfRule type="notContainsBlanks" dxfId="161" priority="24">
      <formula>LEN(TRIM(B23))&gt;0</formula>
    </cfRule>
  </conditionalFormatting>
  <conditionalFormatting sqref="B44:G44">
    <cfRule type="notContainsBlanks" dxfId="160" priority="23">
      <formula>LEN(TRIM(B44))&gt;0</formula>
    </cfRule>
  </conditionalFormatting>
  <conditionalFormatting sqref="Q62:T62 Q83:T83 Q104:T104 Q125:T125 Q146:T146">
    <cfRule type="containsText" dxfId="159" priority="21" operator="containsText" text="Reprovado">
      <formula>NOT(ISERROR(SEARCH("Reprovado",Q62)))</formula>
    </cfRule>
    <cfRule type="containsText" dxfId="158" priority="22" operator="containsText" text="Aprovado">
      <formula>NOT(ISERROR(SEARCH("Aprovado",Q62)))</formula>
    </cfRule>
  </conditionalFormatting>
  <conditionalFormatting sqref="R64:T64 R85:T85 R106:T106 R127:T127 R148:T148">
    <cfRule type="expression" dxfId="157" priority="20">
      <formula>$O64=""</formula>
    </cfRule>
  </conditionalFormatting>
  <conditionalFormatting sqref="S66:T66 S87:T87 S108:T108 S129:T129 S150:T150">
    <cfRule type="expression" dxfId="156" priority="19">
      <formula>$AS70</formula>
    </cfRule>
  </conditionalFormatting>
  <conditionalFormatting sqref="B65:G65 B86:G86 B107:G107 B128:G128 B149:G149">
    <cfRule type="notContainsBlanks" dxfId="155" priority="18">
      <formula>LEN(TRIM(B65))&gt;0</formula>
    </cfRule>
  </conditionalFormatting>
  <conditionalFormatting sqref="N4:T4">
    <cfRule type="expression" dxfId="154" priority="17">
      <formula>$J$4=""</formula>
    </cfRule>
  </conditionalFormatting>
  <conditionalFormatting sqref="Q5:R5">
    <cfRule type="expression" dxfId="153" priority="16">
      <formula>$J$4=""</formula>
    </cfRule>
  </conditionalFormatting>
  <conditionalFormatting sqref="S5:T5">
    <cfRule type="expression" dxfId="152" priority="15">
      <formula>$J$4=""</formula>
    </cfRule>
  </conditionalFormatting>
  <conditionalFormatting sqref="K12:M12">
    <cfRule type="expression" dxfId="151" priority="14">
      <formula>$O12&lt;&gt;""</formula>
    </cfRule>
  </conditionalFormatting>
  <conditionalFormatting sqref="O12:T12">
    <cfRule type="notContainsBlanks" dxfId="150" priority="13">
      <formula>LEN(TRIM(O12))&gt;0</formula>
    </cfRule>
  </conditionalFormatting>
  <conditionalFormatting sqref="O33:T33">
    <cfRule type="notContainsBlanks" dxfId="149" priority="12">
      <formula>LEN(TRIM(O33))&gt;0</formula>
    </cfRule>
  </conditionalFormatting>
  <conditionalFormatting sqref="K33:M33">
    <cfRule type="expression" dxfId="148" priority="11">
      <formula>$O33&lt;&gt;""</formula>
    </cfRule>
  </conditionalFormatting>
  <conditionalFormatting sqref="O54:T54">
    <cfRule type="notContainsBlanks" dxfId="147" priority="10">
      <formula>LEN(TRIM(O54))&gt;0</formula>
    </cfRule>
  </conditionalFormatting>
  <conditionalFormatting sqref="K54:M54">
    <cfRule type="expression" dxfId="146" priority="9">
      <formula>$O54&lt;&gt;""</formula>
    </cfRule>
  </conditionalFormatting>
  <conditionalFormatting sqref="O75:T75">
    <cfRule type="notContainsBlanks" dxfId="145" priority="8">
      <formula>LEN(TRIM(O75))&gt;0</formula>
    </cfRule>
  </conditionalFormatting>
  <conditionalFormatting sqref="K75:M75">
    <cfRule type="expression" dxfId="144" priority="7">
      <formula>$O75&lt;&gt;""</formula>
    </cfRule>
  </conditionalFormatting>
  <conditionalFormatting sqref="O96:T96">
    <cfRule type="notContainsBlanks" dxfId="143" priority="6">
      <formula>LEN(TRIM(O96))&gt;0</formula>
    </cfRule>
  </conditionalFormatting>
  <conditionalFormatting sqref="K96:M96">
    <cfRule type="expression" dxfId="142" priority="5">
      <formula>$O96&lt;&gt;""</formula>
    </cfRule>
  </conditionalFormatting>
  <conditionalFormatting sqref="O117:T117">
    <cfRule type="notContainsBlanks" dxfId="141" priority="4">
      <formula>LEN(TRIM(O117))&gt;0</formula>
    </cfRule>
  </conditionalFormatting>
  <conditionalFormatting sqref="K117:M117">
    <cfRule type="expression" dxfId="140" priority="3">
      <formula>$O117&lt;&gt;""</formula>
    </cfRule>
  </conditionalFormatting>
  <conditionalFormatting sqref="O138:T138">
    <cfRule type="notContainsBlanks" dxfId="139" priority="2">
      <formula>LEN(TRIM(O138))&gt;0</formula>
    </cfRule>
  </conditionalFormatting>
  <conditionalFormatting sqref="K138:M138">
    <cfRule type="expression" dxfId="138" priority="1">
      <formula>$O138&lt;&gt;""</formula>
    </cfRule>
  </conditionalFormatting>
  <dataValidations count="10">
    <dataValidation type="list" allowBlank="1" sqref="S4:T4" xr:uid="{11C6C937-C7D8-4F54-ACD3-9D838F028C02}">
      <formula1>$CU$1:$CU$8</formula1>
    </dataValidation>
    <dataValidation type="list" allowBlank="1" showInputMessage="1" showErrorMessage="1" sqref="H17:J17 H38:J38 H59:J59 H122:J122 H80:J80 H101:J101 H143:J143" xr:uid="{6FA11D2C-77A3-4CAF-8F6A-E1130280A553}">
      <formula1>$BN$1:$BN$4</formula1>
    </dataValidation>
    <dataValidation type="list" allowBlank="1" showInputMessage="1" showErrorMessage="1" sqref="E14:G14 E119:G119 E35:G35 E56:G56 E77:G77 E98:G98 E140:G140" xr:uid="{335D52E8-6BCC-4BC8-B1A1-C17BE78386B9}">
      <formula1>$BX$1:$BX$6</formula1>
    </dataValidation>
    <dataValidation type="list" allowBlank="1" showInputMessage="1" showErrorMessage="1" sqref="Q17:T17 Q38:T38 Q59:T59 Q80:T80 Q101:T101 Q122:T122 Q143:T143" xr:uid="{092AB851-8DE9-4B76-B94D-90CD1168F53B}">
      <formula1>$BP$25:$BU$25</formula1>
    </dataValidation>
    <dataValidation type="list" allowBlank="1" sqref="R19 T19 T22 R40 T40 T43 R61 R82 R103 R124 R145 T61 T82 T103 T124 T145 T64 T85 T106 T127 T148" xr:uid="{74CA5352-4DE1-420C-A1B1-19A9C2A25C12}">
      <formula1>$CB$1:$CB$2</formula1>
    </dataValidation>
    <dataValidation type="list" allowBlank="1" showInputMessage="1" showErrorMessage="1" sqref="O146:P146 O41:P41 O62:P62 O83:P83 O104:P104 O125:P125 O20:P20" xr:uid="{9640364C-F64C-4CDF-BA6A-E9DAD229BE03}">
      <formula1>$CD$1:$CD$2</formula1>
    </dataValidation>
    <dataValidation type="list" allowBlank="1" showInputMessage="1" showErrorMessage="1" sqref="K96:M96 K12:M12 K33:M33 K117:M117 K54:M54 K75:M75 K138:M138" xr:uid="{3A5F34A2-C6F9-4187-B85E-6926907C4225}">
      <formula1>$CQ$2:$CQ$21</formula1>
    </dataValidation>
    <dataValidation type="list" allowBlank="1" showInputMessage="1" showErrorMessage="1" sqref="K118:M118 K13:M13 K34:M34 K55:M55 K76:M76 K97:M97 K139:M139" xr:uid="{A9D36CF0-ECCB-43F1-9E90-A2A88FB39C9A}">
      <formula1>$CM$2:$CM$21</formula1>
    </dataValidation>
    <dataValidation type="list" allowBlank="1" sqref="S7:T7" xr:uid="{EA634A54-D0AC-441D-BF19-4E96246285BD}">
      <formula1>$BN$1:$BN$4</formula1>
    </dataValidation>
    <dataValidation type="whole" allowBlank="1" showInputMessage="1" showErrorMessage="1" sqref="S14" xr:uid="{4682F4F9-87ED-4DEC-AE76-8F704F2958FD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7A71D-8B0D-4F68-AA32-E90232D5FAFF}">
  <sheetPr codeName="Planilha19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- 8</v>
      </c>
      <c r="AC1" s="61" t="str">
        <f>CONCATENATE("Incerteza - R",A2)</f>
        <v>Incerteza - R9</v>
      </c>
      <c r="AD1" s="61" t="str">
        <f>CONCATENATE("Resultados - ",A2)</f>
        <v>Resultados - 9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9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- 8'!K12="","",'Resultados - 8'!K12)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- 8'!K13="","",'Resultados - 8'!K13)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- 8'!K12,'Resultados - 8'!H17,'Resultados - 8'!AH18)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- 8'!Q17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R9'!$S$4:$W$163,2,FALSE))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R9'!$S$4:$W$163,5,FALSE),"")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R9'!$S$4:$W$163,3,FALSE))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R9'!$S$4:$W$163,4,FALSE))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R9'!$S$4:$W$163,2,FALSE))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R9'!$S$4:$W$163,5,FALSE),"")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R9'!$S$4:$W$163,3,FALSE))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R9'!$S$4:$W$163,4,FALSE))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R9'!$S$4:$W$163,2,FALSE))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R9'!$S$4:$W$163,5,FALSE),"")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R9'!$S$4:$W$163,3,FALSE))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R9'!$S$4:$W$163,4,FALSE))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R9'!$S$4:$W$163,2,FALSE))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R9'!$S$4:$W$163,5,FALSE),"")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R9'!$S$4:$W$163,3,FALSE))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R9'!$S$4:$W$163,4,FALSE))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R9'!$S$4:$W$163,2,FALSE))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R9'!$S$4:$W$163,5,FALSE),"")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R9'!$S$4:$W$163,3,FALSE))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R9'!$S$4:$W$163,4,FALSE))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R9'!$S$4:$W$163,2,FALSE))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R9'!$S$4:$W$163,5,FALSE),"")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R9'!$S$4:$W$163,3,FALSE))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R9'!$S$4:$W$163,4,FALSE))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R9'!$S$4:$W$163,2,FALSE))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R9'!$S$4:$W$163,5,FALSE),"")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R9'!$S$4:$W$163,3,FALSE))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R9'!$S$4:$W$163,4,FALSE))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ytBCVT3+NJWnkinIOU0K1IJI8mnRk24EIOiS1VpSp89v7h9nCq9Y8p7ekslct93A9WUYmbJOyA1Iv/rUFTvfXA==" saltValue="czZMy3lAb1I630HqW2+ue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37" priority="33">
      <formula>LEN(TRIM(B6))=0</formula>
    </cfRule>
  </conditionalFormatting>
  <conditionalFormatting sqref="Q41:T41">
    <cfRule type="containsText" dxfId="136" priority="31" operator="containsText" text="Reprovado">
      <formula>NOT(ISERROR(SEARCH("Reprovado",Q41)))</formula>
    </cfRule>
    <cfRule type="containsText" dxfId="135" priority="32" operator="containsText" text="Aprovado">
      <formula>NOT(ISERROR(SEARCH("Aprovado",Q41)))</formula>
    </cfRule>
  </conditionalFormatting>
  <conditionalFormatting sqref="R43:T43">
    <cfRule type="expression" dxfId="134" priority="30">
      <formula>$O43=""</formula>
    </cfRule>
  </conditionalFormatting>
  <conditionalFormatting sqref="S45:T45">
    <cfRule type="expression" dxfId="133" priority="29">
      <formula>$AS49</formula>
    </cfRule>
  </conditionalFormatting>
  <conditionalFormatting sqref="Q20:T20">
    <cfRule type="containsText" dxfId="132" priority="27" operator="containsText" text="Reprovado">
      <formula>NOT(ISERROR(SEARCH("Reprovado",Q20)))</formula>
    </cfRule>
    <cfRule type="containsText" dxfId="131" priority="28" operator="containsText" text="Aprovado">
      <formula>NOT(ISERROR(SEARCH("Aprovado",Q20)))</formula>
    </cfRule>
  </conditionalFormatting>
  <conditionalFormatting sqref="R22:T22">
    <cfRule type="expression" dxfId="130" priority="26">
      <formula>$O22=""</formula>
    </cfRule>
  </conditionalFormatting>
  <conditionalFormatting sqref="S24:T24">
    <cfRule type="expression" dxfId="129" priority="25">
      <formula>$AS28</formula>
    </cfRule>
  </conditionalFormatting>
  <conditionalFormatting sqref="B23:G23">
    <cfRule type="notContainsBlanks" dxfId="128" priority="24">
      <formula>LEN(TRIM(B23))&gt;0</formula>
    </cfRule>
  </conditionalFormatting>
  <conditionalFormatting sqref="B44:G44">
    <cfRule type="notContainsBlanks" dxfId="127" priority="23">
      <formula>LEN(TRIM(B44))&gt;0</formula>
    </cfRule>
  </conditionalFormatting>
  <conditionalFormatting sqref="Q62:T62 Q83:T83 Q104:T104 Q125:T125 Q146:T146">
    <cfRule type="containsText" dxfId="126" priority="21" operator="containsText" text="Reprovado">
      <formula>NOT(ISERROR(SEARCH("Reprovado",Q62)))</formula>
    </cfRule>
    <cfRule type="containsText" dxfId="125" priority="22" operator="containsText" text="Aprovado">
      <formula>NOT(ISERROR(SEARCH("Aprovado",Q62)))</formula>
    </cfRule>
  </conditionalFormatting>
  <conditionalFormatting sqref="R64:T64 R85:T85 R106:T106 R127:T127 R148:T148">
    <cfRule type="expression" dxfId="124" priority="20">
      <formula>$O64=""</formula>
    </cfRule>
  </conditionalFormatting>
  <conditionalFormatting sqref="S66:T66 S87:T87 S108:T108 S129:T129 S150:T150">
    <cfRule type="expression" dxfId="123" priority="19">
      <formula>$AS70</formula>
    </cfRule>
  </conditionalFormatting>
  <conditionalFormatting sqref="B65:G65 B86:G86 B107:G107 B128:G128 B149:G149">
    <cfRule type="notContainsBlanks" dxfId="122" priority="18">
      <formula>LEN(TRIM(B65))&gt;0</formula>
    </cfRule>
  </conditionalFormatting>
  <conditionalFormatting sqref="N4:T4">
    <cfRule type="expression" dxfId="121" priority="17">
      <formula>$J$4=""</formula>
    </cfRule>
  </conditionalFormatting>
  <conditionalFormatting sqref="Q5:R5">
    <cfRule type="expression" dxfId="120" priority="16">
      <formula>$J$4=""</formula>
    </cfRule>
  </conditionalFormatting>
  <conditionalFormatting sqref="S5:T5">
    <cfRule type="expression" dxfId="119" priority="15">
      <formula>$J$4=""</formula>
    </cfRule>
  </conditionalFormatting>
  <conditionalFormatting sqref="K12:M12">
    <cfRule type="expression" dxfId="118" priority="14">
      <formula>$O12&lt;&gt;""</formula>
    </cfRule>
  </conditionalFormatting>
  <conditionalFormatting sqref="O12:T12">
    <cfRule type="notContainsBlanks" dxfId="117" priority="13">
      <formula>LEN(TRIM(O12))&gt;0</formula>
    </cfRule>
  </conditionalFormatting>
  <conditionalFormatting sqref="O33:T33">
    <cfRule type="notContainsBlanks" dxfId="116" priority="12">
      <formula>LEN(TRIM(O33))&gt;0</formula>
    </cfRule>
  </conditionalFormatting>
  <conditionalFormatting sqref="K33:M33">
    <cfRule type="expression" dxfId="115" priority="11">
      <formula>$O33&lt;&gt;""</formula>
    </cfRule>
  </conditionalFormatting>
  <conditionalFormatting sqref="O54:T54">
    <cfRule type="notContainsBlanks" dxfId="114" priority="10">
      <formula>LEN(TRIM(O54))&gt;0</formula>
    </cfRule>
  </conditionalFormatting>
  <conditionalFormatting sqref="K54:M54">
    <cfRule type="expression" dxfId="113" priority="9">
      <formula>$O54&lt;&gt;""</formula>
    </cfRule>
  </conditionalFormatting>
  <conditionalFormatting sqref="O75:T75">
    <cfRule type="notContainsBlanks" dxfId="112" priority="8">
      <formula>LEN(TRIM(O75))&gt;0</formula>
    </cfRule>
  </conditionalFormatting>
  <conditionalFormatting sqref="K75:M75">
    <cfRule type="expression" dxfId="111" priority="7">
      <formula>$O75&lt;&gt;""</formula>
    </cfRule>
  </conditionalFormatting>
  <conditionalFormatting sqref="O96:T96">
    <cfRule type="notContainsBlanks" dxfId="110" priority="6">
      <formula>LEN(TRIM(O96))&gt;0</formula>
    </cfRule>
  </conditionalFormatting>
  <conditionalFormatting sqref="K96:M96">
    <cfRule type="expression" dxfId="109" priority="5">
      <formula>$O96&lt;&gt;""</formula>
    </cfRule>
  </conditionalFormatting>
  <conditionalFormatting sqref="O117:T117">
    <cfRule type="notContainsBlanks" dxfId="108" priority="4">
      <formula>LEN(TRIM(O117))&gt;0</formula>
    </cfRule>
  </conditionalFormatting>
  <conditionalFormatting sqref="K117:M117">
    <cfRule type="expression" dxfId="107" priority="3">
      <formula>$O117&lt;&gt;""</formula>
    </cfRule>
  </conditionalFormatting>
  <conditionalFormatting sqref="O138:T138">
    <cfRule type="notContainsBlanks" dxfId="106" priority="2">
      <formula>LEN(TRIM(O138))&gt;0</formula>
    </cfRule>
  </conditionalFormatting>
  <conditionalFormatting sqref="K138:M138">
    <cfRule type="expression" dxfId="105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4347AB92-FD83-4C6F-A55E-156BAB10CAD5}">
      <formula1>$CM$2:$CM$21</formula1>
    </dataValidation>
    <dataValidation type="list" allowBlank="1" showInputMessage="1" showErrorMessage="1" sqref="K96:M96 K12:M12 K33:M33 K117:M117 K54:M54 K75:M75 K138:M138" xr:uid="{967FB840-353D-4380-969A-B6D151EF9FA5}">
      <formula1>$CQ$2:$CQ$21</formula1>
    </dataValidation>
    <dataValidation type="list" allowBlank="1" showInputMessage="1" showErrorMessage="1" sqref="O146:P146 O41:P41 O62:P62 O83:P83 O104:P104 O125:P125 O20:P20" xr:uid="{E5F4A8F1-E390-4F18-8096-0E217F5E02AB}">
      <formula1>$CD$1:$CD$2</formula1>
    </dataValidation>
    <dataValidation type="list" allowBlank="1" sqref="R19 T19 T22 R40 T40 T43 R61 R82 R103 R124 R145 T61 T82 T103 T124 T145 T64 T85 T106 T127 T148" xr:uid="{D730BAEF-FD6C-40DF-AC57-774452043406}">
      <formula1>$CB$1:$CB$2</formula1>
    </dataValidation>
    <dataValidation type="list" allowBlank="1" showInputMessage="1" showErrorMessage="1" sqref="Q17:T17 Q38:T38 Q59:T59 Q80:T80 Q101:T101 Q122:T122 Q143:T143" xr:uid="{F887F355-9D5D-458C-8F60-91C2E2BF3AB1}">
      <formula1>$BP$25:$BU$25</formula1>
    </dataValidation>
    <dataValidation type="list" allowBlank="1" showInputMessage="1" showErrorMessage="1" sqref="E14:G14 E119:G119 E35:G35 E56:G56 E77:G77 E98:G98 E140:G140" xr:uid="{C3067C67-50A4-477A-B8AF-893A3C4DACCC}">
      <formula1>$BX$1:$BX$6</formula1>
    </dataValidation>
    <dataValidation type="list" allowBlank="1" showInputMessage="1" showErrorMessage="1" sqref="H17:J17 H38:J38 H59:J59 H122:J122 H80:J80 H101:J101 H143:J143" xr:uid="{D4DA287A-3AFD-459E-8759-BC53A9DB611E}">
      <formula1>$BN$1:$BN$4</formula1>
    </dataValidation>
    <dataValidation type="list" allowBlank="1" sqref="S4:T4" xr:uid="{6681DF39-E8C2-49D6-9649-073D5563897C}">
      <formula1>$CU$1:$CU$8</formula1>
    </dataValidation>
    <dataValidation type="list" allowBlank="1" sqref="S7:T7" xr:uid="{26518E60-4283-4EFC-9F11-0339E2C8A323}">
      <formula1>$BN$1:$BN$4</formula1>
    </dataValidation>
    <dataValidation type="whole" allowBlank="1" showInputMessage="1" showErrorMessage="1" sqref="S14" xr:uid="{C98F5D90-B605-4344-930F-22B01917B370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locked="0" defaultSize="0" print="0" autoFill="0" autoPict="0" macro="[0]!Formcert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A61B-CA23-430A-821A-CDC24ADECB1D}">
  <sheetPr codeName="Planilha18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- 9</v>
      </c>
      <c r="AC1" s="61" t="str">
        <f>CONCATENATE("Incerteza - R",A2)</f>
        <v>Incerteza - R10</v>
      </c>
      <c r="AD1" s="61" t="str">
        <f>CONCATENATE("Resultados - ",A2)</f>
        <v>Resultados - 10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10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- 9'!K12="","",'Resultados - 9'!K12)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- 9'!K13="","",'Resultados - 9'!K13)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- 9'!K12,'Resultados - 9'!H17,'Resultados - 9'!AH18)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- 9'!Q17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R10'!$S$4:$W$163,2,FALSE))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R10'!$S$4:$W$163,5,FALSE),"")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R10'!$S$4:$W$163,3,FALSE))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R10'!$S$4:$W$163,4,FALSE))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R10'!$S$4:$W$163,2,FALSE))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R10'!$S$4:$W$163,5,FALSE),"")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R10'!$S$4:$W$163,3,FALSE))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R10'!$S$4:$W$163,4,FALSE))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R10'!$S$4:$W$163,2,FALSE))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R10'!$S$4:$W$163,5,FALSE),"")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R10'!$S$4:$W$163,3,FALSE))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R10'!$S$4:$W$163,4,FALSE))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R10'!$S$4:$W$163,2,FALSE))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R10'!$S$4:$W$163,5,FALSE),"")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R10'!$S$4:$W$163,3,FALSE))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R10'!$S$4:$W$163,4,FALSE))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R10'!$S$4:$W$163,2,FALSE))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R10'!$S$4:$W$163,5,FALSE),"")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R10'!$S$4:$W$163,3,FALSE))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R10'!$S$4:$W$163,4,FALSE))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R10'!$S$4:$W$163,2,FALSE))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R10'!$S$4:$W$163,5,FALSE),"")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R10'!$S$4:$W$163,3,FALSE))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R10'!$S$4:$W$163,4,FALSE))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R10'!$S$4:$W$163,2,FALSE))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R10'!$S$4:$W$163,5,FALSE),"")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R10'!$S$4:$W$163,3,FALSE))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R10'!$S$4:$W$163,4,FALSE))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lRJ2X1TooWbIRqDKdhkvuhF3YbBIpWEivRuk+eAKr05k5XDUbaOEL8Coqcwe3AE6QfI3mKHkNURoYODCnZqR7A==" saltValue="YJ1nLyjc2TraHYhF52uuBw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04" priority="33">
      <formula>LEN(TRIM(B6))=0</formula>
    </cfRule>
  </conditionalFormatting>
  <conditionalFormatting sqref="Q41:T41">
    <cfRule type="containsText" dxfId="103" priority="31" operator="containsText" text="Reprovado">
      <formula>NOT(ISERROR(SEARCH("Reprovado",Q41)))</formula>
    </cfRule>
    <cfRule type="containsText" dxfId="102" priority="32" operator="containsText" text="Aprovado">
      <formula>NOT(ISERROR(SEARCH("Aprovado",Q41)))</formula>
    </cfRule>
  </conditionalFormatting>
  <conditionalFormatting sqref="R43:T43">
    <cfRule type="expression" dxfId="101" priority="30">
      <formula>$O43=""</formula>
    </cfRule>
  </conditionalFormatting>
  <conditionalFormatting sqref="S45:T45">
    <cfRule type="expression" dxfId="100" priority="29">
      <formula>$AS49</formula>
    </cfRule>
  </conditionalFormatting>
  <conditionalFormatting sqref="Q20:T20">
    <cfRule type="containsText" dxfId="99" priority="27" operator="containsText" text="Reprovado">
      <formula>NOT(ISERROR(SEARCH("Reprovado",Q20)))</formula>
    </cfRule>
    <cfRule type="containsText" dxfId="98" priority="28" operator="containsText" text="Aprovado">
      <formula>NOT(ISERROR(SEARCH("Aprovado",Q20)))</formula>
    </cfRule>
  </conditionalFormatting>
  <conditionalFormatting sqref="R22:T22">
    <cfRule type="expression" dxfId="97" priority="26">
      <formula>$O22=""</formula>
    </cfRule>
  </conditionalFormatting>
  <conditionalFormatting sqref="S24:T24">
    <cfRule type="expression" dxfId="96" priority="25">
      <formula>$AS28</formula>
    </cfRule>
  </conditionalFormatting>
  <conditionalFormatting sqref="B23:G23">
    <cfRule type="notContainsBlanks" dxfId="95" priority="24">
      <formula>LEN(TRIM(B23))&gt;0</formula>
    </cfRule>
  </conditionalFormatting>
  <conditionalFormatting sqref="B44:G44">
    <cfRule type="notContainsBlanks" dxfId="94" priority="23">
      <formula>LEN(TRIM(B44))&gt;0</formula>
    </cfRule>
  </conditionalFormatting>
  <conditionalFormatting sqref="Q62:T62 Q83:T83 Q104:T104 Q125:T125 Q146:T146">
    <cfRule type="containsText" dxfId="93" priority="21" operator="containsText" text="Reprovado">
      <formula>NOT(ISERROR(SEARCH("Reprovado",Q62)))</formula>
    </cfRule>
    <cfRule type="containsText" dxfId="92" priority="22" operator="containsText" text="Aprovado">
      <formula>NOT(ISERROR(SEARCH("Aprovado",Q62)))</formula>
    </cfRule>
  </conditionalFormatting>
  <conditionalFormatting sqref="R64:T64 R85:T85 R106:T106 R127:T127 R148:T148">
    <cfRule type="expression" dxfId="91" priority="20">
      <formula>$O64=""</formula>
    </cfRule>
  </conditionalFormatting>
  <conditionalFormatting sqref="S66:T66 S87:T87 S108:T108 S129:T129 S150:T150">
    <cfRule type="expression" dxfId="90" priority="19">
      <formula>$AS70</formula>
    </cfRule>
  </conditionalFormatting>
  <conditionalFormatting sqref="B65:G65 B86:G86 B107:G107 B128:G128 B149:G149">
    <cfRule type="notContainsBlanks" dxfId="89" priority="18">
      <formula>LEN(TRIM(B65))&gt;0</formula>
    </cfRule>
  </conditionalFormatting>
  <conditionalFormatting sqref="N4:T4">
    <cfRule type="expression" dxfId="88" priority="17">
      <formula>$J$4=""</formula>
    </cfRule>
  </conditionalFormatting>
  <conditionalFormatting sqref="Q5:R5">
    <cfRule type="expression" dxfId="87" priority="16">
      <formula>$J$4=""</formula>
    </cfRule>
  </conditionalFormatting>
  <conditionalFormatting sqref="S5:T5">
    <cfRule type="expression" dxfId="86" priority="15">
      <formula>$J$4=""</formula>
    </cfRule>
  </conditionalFormatting>
  <conditionalFormatting sqref="K12:M12">
    <cfRule type="expression" dxfId="85" priority="14">
      <formula>$O12&lt;&gt;""</formula>
    </cfRule>
  </conditionalFormatting>
  <conditionalFormatting sqref="O12:T12">
    <cfRule type="notContainsBlanks" dxfId="84" priority="13">
      <formula>LEN(TRIM(O12))&gt;0</formula>
    </cfRule>
  </conditionalFormatting>
  <conditionalFormatting sqref="O33:T33">
    <cfRule type="notContainsBlanks" dxfId="83" priority="12">
      <formula>LEN(TRIM(O33))&gt;0</formula>
    </cfRule>
  </conditionalFormatting>
  <conditionalFormatting sqref="K33:M33">
    <cfRule type="expression" dxfId="82" priority="11">
      <formula>$O33&lt;&gt;""</formula>
    </cfRule>
  </conditionalFormatting>
  <conditionalFormatting sqref="O54:T54">
    <cfRule type="notContainsBlanks" dxfId="81" priority="10">
      <formula>LEN(TRIM(O54))&gt;0</formula>
    </cfRule>
  </conditionalFormatting>
  <conditionalFormatting sqref="K54:M54">
    <cfRule type="expression" dxfId="80" priority="9">
      <formula>$O54&lt;&gt;""</formula>
    </cfRule>
  </conditionalFormatting>
  <conditionalFormatting sqref="O75:T75">
    <cfRule type="notContainsBlanks" dxfId="79" priority="8">
      <formula>LEN(TRIM(O75))&gt;0</formula>
    </cfRule>
  </conditionalFormatting>
  <conditionalFormatting sqref="K75:M75">
    <cfRule type="expression" dxfId="78" priority="7">
      <formula>$O75&lt;&gt;""</formula>
    </cfRule>
  </conditionalFormatting>
  <conditionalFormatting sqref="O96:T96">
    <cfRule type="notContainsBlanks" dxfId="77" priority="6">
      <formula>LEN(TRIM(O96))&gt;0</formula>
    </cfRule>
  </conditionalFormatting>
  <conditionalFormatting sqref="K96:M96">
    <cfRule type="expression" dxfId="76" priority="5">
      <formula>$O96&lt;&gt;""</formula>
    </cfRule>
  </conditionalFormatting>
  <conditionalFormatting sqref="O117:T117">
    <cfRule type="notContainsBlanks" dxfId="75" priority="4">
      <formula>LEN(TRIM(O117))&gt;0</formula>
    </cfRule>
  </conditionalFormatting>
  <conditionalFormatting sqref="K117:M117">
    <cfRule type="expression" dxfId="74" priority="3">
      <formula>$O117&lt;&gt;""</formula>
    </cfRule>
  </conditionalFormatting>
  <conditionalFormatting sqref="O138:T138">
    <cfRule type="notContainsBlanks" dxfId="73" priority="2">
      <formula>LEN(TRIM(O138))&gt;0</formula>
    </cfRule>
  </conditionalFormatting>
  <conditionalFormatting sqref="K138:M138">
    <cfRule type="expression" dxfId="72" priority="1">
      <formula>$O138&lt;&gt;""</formula>
    </cfRule>
  </conditionalFormatting>
  <dataValidations count="10">
    <dataValidation type="list" allowBlank="1" sqref="S4:T4" xr:uid="{7021818A-401A-4E62-9243-8EEE01F718EB}">
      <formula1>$CU$1:$CU$8</formula1>
    </dataValidation>
    <dataValidation type="list" allowBlank="1" showInputMessage="1" showErrorMessage="1" sqref="H17:J17 H38:J38 H59:J59 H122:J122 H80:J80 H101:J101 H143:J143" xr:uid="{34AC3A79-7D25-4243-AA9C-94DCBDBBAFB3}">
      <formula1>$BN$1:$BN$4</formula1>
    </dataValidation>
    <dataValidation type="list" allowBlank="1" showInputMessage="1" showErrorMessage="1" sqref="E14:G14 E119:G119 E35:G35 E56:G56 E77:G77 E98:G98 E140:G140" xr:uid="{3427171B-DB09-46BB-B7D1-34706A2C97C6}">
      <formula1>$BX$1:$BX$6</formula1>
    </dataValidation>
    <dataValidation type="list" allowBlank="1" showInputMessage="1" showErrorMessage="1" sqref="Q17:T17 Q38:T38 Q59:T59 Q80:T80 Q101:T101 Q122:T122 Q143:T143" xr:uid="{273098C5-0CAD-4319-8F17-6919FA7DB0E8}">
      <formula1>$BP$25:$BU$25</formula1>
    </dataValidation>
    <dataValidation type="list" allowBlank="1" sqref="R19 T19 T22 R40 T40 T43 R61 R82 R103 R124 R145 T61 T82 T103 T124 T145 T64 T85 T106 T127 T148" xr:uid="{652489BB-181E-4537-B0F6-FEA0C25B3785}">
      <formula1>$CB$1:$CB$2</formula1>
    </dataValidation>
    <dataValidation type="list" allowBlank="1" showInputMessage="1" showErrorMessage="1" sqref="O146:P146 O41:P41 O62:P62 O83:P83 O104:P104 O125:P125 O20:P20" xr:uid="{051297AD-2FE7-41CF-8FB0-1D18E7F1F2A2}">
      <formula1>$CD$1:$CD$2</formula1>
    </dataValidation>
    <dataValidation type="list" allowBlank="1" showInputMessage="1" showErrorMessage="1" sqref="K96:M96 K12:M12 K33:M33 K117:M117 K54:M54 K75:M75 K138:M138" xr:uid="{0432093E-1826-492E-AE21-944AC76C7D56}">
      <formula1>$CQ$2:$CQ$21</formula1>
    </dataValidation>
    <dataValidation type="list" allowBlank="1" showInputMessage="1" showErrorMessage="1" sqref="K118:M118 K13:M13 K34:M34 K55:M55 K76:M76 K97:M97 K139:M139" xr:uid="{A05DD921-A162-4AF8-BFAE-F07039C604FD}">
      <formula1>$CM$2:$CM$21</formula1>
    </dataValidation>
    <dataValidation type="list" allowBlank="1" sqref="S7:T7" xr:uid="{662C0F81-C2A5-481A-811D-EC79B531EF2A}">
      <formula1>$BN$1:$BN$4</formula1>
    </dataValidation>
    <dataValidation type="whole" allowBlank="1" showInputMessage="1" showErrorMessage="1" sqref="S14" xr:uid="{C8D433E8-6EA5-4AE4-9C02-E96FD5CA6073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5588-5A52-4D3E-8E94-CCF4C810A9A0}">
  <sheetPr codeName="Planilha17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- 10</v>
      </c>
      <c r="AC1" s="61" t="str">
        <f>CONCATENATE("Incerteza - R",A2)</f>
        <v>Incerteza - R11</v>
      </c>
      <c r="AD1" s="61" t="str">
        <f>CONCATENATE("Resultados - ",A2)</f>
        <v>Resultados - 11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11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- 10'!K12="","",'Resultados - 10'!K12)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- 10'!K13="","",'Resultados - 10'!K13)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- 10'!K12,'Resultados - 10'!H17,'Resultados - 10'!AH18)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- 10'!Q17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R11'!$S$4:$W$163,2,FALSE))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R11'!$S$4:$W$163,5,FALSE),"")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R11'!$S$4:$W$163,3,FALSE))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R11'!$S$4:$W$163,4,FALSE))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R11'!$S$4:$W$163,2,FALSE))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R11'!$S$4:$W$163,5,FALSE),"")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R11'!$S$4:$W$163,3,FALSE))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R11'!$S$4:$W$163,4,FALSE))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R11'!$S$4:$W$163,2,FALSE))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R11'!$S$4:$W$163,5,FALSE),"")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R11'!$S$4:$W$163,3,FALSE))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R11'!$S$4:$W$163,4,FALSE))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R11'!$S$4:$W$163,2,FALSE))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R11'!$S$4:$W$163,5,FALSE),"")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R11'!$S$4:$W$163,3,FALSE))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R11'!$S$4:$W$163,4,FALSE))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R11'!$S$4:$W$163,2,FALSE))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R11'!$S$4:$W$163,5,FALSE),"")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R11'!$S$4:$W$163,3,FALSE))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R11'!$S$4:$W$163,4,FALSE))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R11'!$S$4:$W$163,2,FALSE))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R11'!$S$4:$W$163,5,FALSE),"")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R11'!$S$4:$W$163,3,FALSE))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R11'!$S$4:$W$163,4,FALSE))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R11'!$S$4:$W$163,2,FALSE))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R11'!$S$4:$W$163,5,FALSE),"")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R11'!$S$4:$W$163,3,FALSE))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R11'!$S$4:$W$163,4,FALSE))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XtHivajJjr+vLHF45aw5UlNurCcJjpQeSIXVy6XDTKQrZEO5L8SS5zLh+uOeZmLKjPLHkq9i91SeJ/E5grlawg==" saltValue="H77bk4UhNrOq7wdVSBXjB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71" priority="33">
      <formula>LEN(TRIM(B6))=0</formula>
    </cfRule>
  </conditionalFormatting>
  <conditionalFormatting sqref="Q41:T41">
    <cfRule type="containsText" dxfId="70" priority="31" operator="containsText" text="Reprovado">
      <formula>NOT(ISERROR(SEARCH("Reprovado",Q41)))</formula>
    </cfRule>
    <cfRule type="containsText" dxfId="69" priority="32" operator="containsText" text="Aprovado">
      <formula>NOT(ISERROR(SEARCH("Aprovado",Q41)))</formula>
    </cfRule>
  </conditionalFormatting>
  <conditionalFormatting sqref="R43:T43">
    <cfRule type="expression" dxfId="68" priority="30">
      <formula>$O43=""</formula>
    </cfRule>
  </conditionalFormatting>
  <conditionalFormatting sqref="S45:T45">
    <cfRule type="expression" dxfId="67" priority="29">
      <formula>$AS49</formula>
    </cfRule>
  </conditionalFormatting>
  <conditionalFormatting sqref="Q20:T20">
    <cfRule type="containsText" dxfId="66" priority="27" operator="containsText" text="Reprovado">
      <formula>NOT(ISERROR(SEARCH("Reprovado",Q20)))</formula>
    </cfRule>
    <cfRule type="containsText" dxfId="65" priority="28" operator="containsText" text="Aprovado">
      <formula>NOT(ISERROR(SEARCH("Aprovado",Q20)))</formula>
    </cfRule>
  </conditionalFormatting>
  <conditionalFormatting sqref="R22:T22">
    <cfRule type="expression" dxfId="64" priority="26">
      <formula>$O22=""</formula>
    </cfRule>
  </conditionalFormatting>
  <conditionalFormatting sqref="S24:T24">
    <cfRule type="expression" dxfId="63" priority="25">
      <formula>$AS28</formula>
    </cfRule>
  </conditionalFormatting>
  <conditionalFormatting sqref="B23:G23">
    <cfRule type="notContainsBlanks" dxfId="62" priority="24">
      <formula>LEN(TRIM(B23))&gt;0</formula>
    </cfRule>
  </conditionalFormatting>
  <conditionalFormatting sqref="B44:G44">
    <cfRule type="notContainsBlanks" dxfId="61" priority="23">
      <formula>LEN(TRIM(B44))&gt;0</formula>
    </cfRule>
  </conditionalFormatting>
  <conditionalFormatting sqref="Q62:T62 Q83:T83 Q104:T104 Q125:T125 Q146:T146">
    <cfRule type="containsText" dxfId="60" priority="21" operator="containsText" text="Reprovado">
      <formula>NOT(ISERROR(SEARCH("Reprovado",Q62)))</formula>
    </cfRule>
    <cfRule type="containsText" dxfId="59" priority="22" operator="containsText" text="Aprovado">
      <formula>NOT(ISERROR(SEARCH("Aprovado",Q62)))</formula>
    </cfRule>
  </conditionalFormatting>
  <conditionalFormatting sqref="R64:T64 R85:T85 R106:T106 R127:T127 R148:T148">
    <cfRule type="expression" dxfId="58" priority="20">
      <formula>$O64=""</formula>
    </cfRule>
  </conditionalFormatting>
  <conditionalFormatting sqref="S66:T66 S87:T87 S108:T108 S129:T129 S150:T150">
    <cfRule type="expression" dxfId="57" priority="19">
      <formula>$AS70</formula>
    </cfRule>
  </conditionalFormatting>
  <conditionalFormatting sqref="B65:G65 B86:G86 B107:G107 B128:G128 B149:G149">
    <cfRule type="notContainsBlanks" dxfId="56" priority="18">
      <formula>LEN(TRIM(B65))&gt;0</formula>
    </cfRule>
  </conditionalFormatting>
  <conditionalFormatting sqref="N4:T4">
    <cfRule type="expression" dxfId="55" priority="17">
      <formula>$J$4=""</formula>
    </cfRule>
  </conditionalFormatting>
  <conditionalFormatting sqref="Q5:R5">
    <cfRule type="expression" dxfId="54" priority="16">
      <formula>$J$4=""</formula>
    </cfRule>
  </conditionalFormatting>
  <conditionalFormatting sqref="S5:T5">
    <cfRule type="expression" dxfId="53" priority="15">
      <formula>$J$4=""</formula>
    </cfRule>
  </conditionalFormatting>
  <conditionalFormatting sqref="K12:M12">
    <cfRule type="expression" dxfId="52" priority="14">
      <formula>$O12&lt;&gt;""</formula>
    </cfRule>
  </conditionalFormatting>
  <conditionalFormatting sqref="O12:T12">
    <cfRule type="notContainsBlanks" dxfId="51" priority="13">
      <formula>LEN(TRIM(O12))&gt;0</formula>
    </cfRule>
  </conditionalFormatting>
  <conditionalFormatting sqref="O33:T33">
    <cfRule type="notContainsBlanks" dxfId="50" priority="12">
      <formula>LEN(TRIM(O33))&gt;0</formula>
    </cfRule>
  </conditionalFormatting>
  <conditionalFormatting sqref="K33:M33">
    <cfRule type="expression" dxfId="49" priority="11">
      <formula>$O33&lt;&gt;""</formula>
    </cfRule>
  </conditionalFormatting>
  <conditionalFormatting sqref="O54:T54">
    <cfRule type="notContainsBlanks" dxfId="48" priority="10">
      <formula>LEN(TRIM(O54))&gt;0</formula>
    </cfRule>
  </conditionalFormatting>
  <conditionalFormatting sqref="K54:M54">
    <cfRule type="expression" dxfId="47" priority="9">
      <formula>$O54&lt;&gt;""</formula>
    </cfRule>
  </conditionalFormatting>
  <conditionalFormatting sqref="O75:T75">
    <cfRule type="notContainsBlanks" dxfId="46" priority="8">
      <formula>LEN(TRIM(O75))&gt;0</formula>
    </cfRule>
  </conditionalFormatting>
  <conditionalFormatting sqref="K75:M75">
    <cfRule type="expression" dxfId="45" priority="7">
      <formula>$O75&lt;&gt;""</formula>
    </cfRule>
  </conditionalFormatting>
  <conditionalFormatting sqref="O96:T96">
    <cfRule type="notContainsBlanks" dxfId="44" priority="6">
      <formula>LEN(TRIM(O96))&gt;0</formula>
    </cfRule>
  </conditionalFormatting>
  <conditionalFormatting sqref="K96:M96">
    <cfRule type="expression" dxfId="43" priority="5">
      <formula>$O96&lt;&gt;""</formula>
    </cfRule>
  </conditionalFormatting>
  <conditionalFormatting sqref="O117:T117">
    <cfRule type="notContainsBlanks" dxfId="42" priority="4">
      <formula>LEN(TRIM(O117))&gt;0</formula>
    </cfRule>
  </conditionalFormatting>
  <conditionalFormatting sqref="K117:M117">
    <cfRule type="expression" dxfId="41" priority="3">
      <formula>$O117&lt;&gt;""</formula>
    </cfRule>
  </conditionalFormatting>
  <conditionalFormatting sqref="O138:T138">
    <cfRule type="notContainsBlanks" dxfId="40" priority="2">
      <formula>LEN(TRIM(O138))&gt;0</formula>
    </cfRule>
  </conditionalFormatting>
  <conditionalFormatting sqref="K138:M138">
    <cfRule type="expression" dxfId="39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72304862-8795-4FE4-89FF-48FECD349DFC}">
      <formula1>$CM$2:$CM$21</formula1>
    </dataValidation>
    <dataValidation type="list" allowBlank="1" showInputMessage="1" showErrorMessage="1" sqref="K96:M96 K12:M12 K33:M33 K117:M117 K54:M54 K75:M75 K138:M138" xr:uid="{FD8630DA-17BD-4091-8D61-8AD0FA1C602A}">
      <formula1>$CQ$2:$CQ$21</formula1>
    </dataValidation>
    <dataValidation type="list" allowBlank="1" showInputMessage="1" showErrorMessage="1" sqref="O146:P146 O41:P41 O62:P62 O83:P83 O104:P104 O125:P125 O20:P20" xr:uid="{75E15567-D529-4C5D-91D8-E3D529E59E08}">
      <formula1>$CD$1:$CD$2</formula1>
    </dataValidation>
    <dataValidation type="list" allowBlank="1" sqref="R19 T19 T22 R40 T40 T43 R61 R82 R103 R124 R145 T61 T82 T103 T124 T145 T64 T85 T106 T127 T148" xr:uid="{83635975-D255-4339-8CA2-1C2770D9DC2F}">
      <formula1>$CB$1:$CB$2</formula1>
    </dataValidation>
    <dataValidation type="list" allowBlank="1" showInputMessage="1" showErrorMessage="1" sqref="Q17:T17 Q38:T38 Q59:T59 Q80:T80 Q101:T101 Q122:T122 Q143:T143" xr:uid="{CB1C38EC-A4C4-4A7D-BC67-6622923592AB}">
      <formula1>$BP$25:$BU$25</formula1>
    </dataValidation>
    <dataValidation type="list" allowBlank="1" showInputMessage="1" showErrorMessage="1" sqref="E14:G14 E119:G119 E35:G35 E56:G56 E77:G77 E98:G98 E140:G140" xr:uid="{B35EF6FA-2D4C-4E78-94DC-C01384D19EA9}">
      <formula1>$BX$1:$BX$6</formula1>
    </dataValidation>
    <dataValidation type="list" allowBlank="1" showInputMessage="1" showErrorMessage="1" sqref="H17:J17 H38:J38 H59:J59 H122:J122 H80:J80 H101:J101 H143:J143" xr:uid="{AB5F7564-26EF-4964-B7D0-90E19B5F2AA9}">
      <formula1>$BN$1:$BN$4</formula1>
    </dataValidation>
    <dataValidation type="list" allowBlank="1" sqref="S4:T4" xr:uid="{DD9DD59B-5FDE-4BA7-8F02-27F8EC4F2B1E}">
      <formula1>$CU$1:$CU$8</formula1>
    </dataValidation>
    <dataValidation type="list" allowBlank="1" sqref="S7:T7" xr:uid="{6CD2489F-4AAD-4A4F-909D-1357E3377487}">
      <formula1>$BN$1:$BN$4</formula1>
    </dataValidation>
    <dataValidation type="whole" allowBlank="1" showInputMessage="1" showErrorMessage="1" sqref="S14" xr:uid="{D225FC67-4BB2-4BDF-A2AB-694E011DC023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A90E-290A-4E48-9678-A6284C3B862E}">
  <sheetPr codeName="Planilha16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19012733, id.: MCP079, n°s.: 24F14768.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- 11</v>
      </c>
      <c r="AC1" s="61" t="str">
        <f>CONCATENATE("Incerteza - R",A2)</f>
        <v>Incerteza - R12</v>
      </c>
      <c r="AD1" s="61" t="str">
        <f>CONCATENATE("Resultados - ",A2)</f>
        <v>Resultados - 12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12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927.81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1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1000</v>
      </c>
      <c r="DB2" s="217">
        <f>Dados!BU7</f>
        <v>10</v>
      </c>
      <c r="DC2" s="218">
        <f t="shared" ref="DC2:DC3" si="0">IF($J$4="",$CX$1*DB2/100,$Q$4*DB2/100)</f>
        <v>100</v>
      </c>
      <c r="DD2" s="217">
        <f>Dados!BW7</f>
        <v>10</v>
      </c>
      <c r="DE2" s="218">
        <f t="shared" ref="DE2:DE4" si="1">IF($J$4="",$CX$1*DD2/100,$Q$4*DD2/100)</f>
        <v>100</v>
      </c>
      <c r="DF2" s="217">
        <f>Dados!BY7</f>
        <v>25</v>
      </c>
      <c r="DG2" s="218">
        <f t="shared" ref="DG2:DG5" si="2">IF($J$4="",$CX$1*DF2/100,$Q$4*DF2/100)</f>
        <v>250</v>
      </c>
      <c r="DH2" s="217">
        <f>Dados!CA7</f>
        <v>10</v>
      </c>
      <c r="DI2" s="218">
        <f t="shared" ref="DI2:DI6" si="3">IF($J$4="",$CX$1*DH2/100,$Q$4*DH2/100)</f>
        <v>100</v>
      </c>
      <c r="DJ2" s="217">
        <f>Dados!CC7</f>
        <v>10</v>
      </c>
      <c r="DK2" s="218">
        <f t="shared" ref="DK2:DK7" si="4">IF($J$4="",$CX$1*DJ2/100,$Q$4*DJ2/100)</f>
        <v>100</v>
      </c>
      <c r="DL2" s="217">
        <f>Dados!CE7</f>
        <v>10</v>
      </c>
      <c r="DM2" s="218">
        <f>IF($J$4="",$CX$1*DL2/100,$Q$4*DL2/100)</f>
        <v>100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57.13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1000</v>
      </c>
      <c r="DD3" s="217">
        <f>Dados!BW8</f>
        <v>50</v>
      </c>
      <c r="DE3" s="218">
        <f t="shared" si="1"/>
        <v>500</v>
      </c>
      <c r="DF3" s="217">
        <f>Dados!BY8</f>
        <v>50</v>
      </c>
      <c r="DG3" s="218">
        <f t="shared" si="2"/>
        <v>500</v>
      </c>
      <c r="DH3" s="217">
        <f>Dados!CA8</f>
        <v>25</v>
      </c>
      <c r="DI3" s="218">
        <f t="shared" si="3"/>
        <v>250</v>
      </c>
      <c r="DJ3" s="217">
        <f>Dados!CC8</f>
        <v>20</v>
      </c>
      <c r="DK3" s="218">
        <f t="shared" si="4"/>
        <v>200</v>
      </c>
      <c r="DL3" s="217">
        <f>Dados!CE8</f>
        <v>20</v>
      </c>
      <c r="DM3" s="218">
        <f t="shared" ref="DM3:DM8" si="5">IF($J$4="",$CX$1*DL3/100,$Q$4*DL3/100)</f>
        <v>200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19.670000000000002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1000</v>
      </c>
      <c r="DF4" s="217">
        <f>Dados!BY9</f>
        <v>75</v>
      </c>
      <c r="DG4" s="218">
        <f t="shared" si="2"/>
        <v>750</v>
      </c>
      <c r="DH4" s="217">
        <f>Dados!CA9</f>
        <v>50</v>
      </c>
      <c r="DI4" s="218">
        <f t="shared" si="3"/>
        <v>500</v>
      </c>
      <c r="DJ4" s="217">
        <f>Dados!CC9</f>
        <v>40</v>
      </c>
      <c r="DK4" s="218">
        <f t="shared" si="4"/>
        <v>400</v>
      </c>
      <c r="DL4" s="217">
        <f>Dados!CE9</f>
        <v>35</v>
      </c>
      <c r="DM4" s="218">
        <f t="shared" si="5"/>
        <v>350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1.0984011836896383E-3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1000</v>
      </c>
      <c r="DH5" s="217">
        <f>Dados!CA10</f>
        <v>75</v>
      </c>
      <c r="DI5" s="218">
        <f t="shared" si="3"/>
        <v>750</v>
      </c>
      <c r="DJ5" s="217">
        <f>Dados!CC10</f>
        <v>60</v>
      </c>
      <c r="DK5" s="218">
        <f t="shared" si="4"/>
        <v>600</v>
      </c>
      <c r="DL5" s="217">
        <f>Dados!CE10</f>
        <v>50</v>
      </c>
      <c r="DM5" s="218">
        <f t="shared" si="5"/>
        <v>500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1000</v>
      </c>
      <c r="DJ6" s="217">
        <f>Dados!CC11</f>
        <v>80</v>
      </c>
      <c r="DK6" s="218">
        <f t="shared" si="4"/>
        <v>800</v>
      </c>
      <c r="DL6" s="217">
        <f>Dados!CE11</f>
        <v>65</v>
      </c>
      <c r="DM6" s="218">
        <f t="shared" si="5"/>
        <v>650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2.67353</v>
      </c>
      <c r="R7" s="439"/>
      <c r="S7" s="440" t="str">
        <f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1000</v>
      </c>
      <c r="DL7" s="217">
        <f>Dados!CE12</f>
        <v>80</v>
      </c>
      <c r="DM7" s="218">
        <f t="shared" si="5"/>
        <v>800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100</v>
      </c>
      <c r="F12" s="406"/>
      <c r="G12" s="51" t="str">
        <f>IF($J$4="",$CY$1,$S$4)</f>
        <v>µL</v>
      </c>
      <c r="H12" s="1" t="s">
        <v>269</v>
      </c>
      <c r="K12" s="408" t="str">
        <f>IF('Resultados - 11'!K12="","",'Resultados - 11'!K12)</f>
        <v>E.MS.LQ-006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1</v>
      </c>
      <c r="F13" s="407"/>
      <c r="G13" s="62" t="str">
        <f>G12</f>
        <v>µL</v>
      </c>
      <c r="H13" s="1" t="s">
        <v>268</v>
      </c>
      <c r="K13" s="408" t="str">
        <f>IF('Resultados - 11'!K13="","",'Resultados - 11'!K13)</f>
        <v>E.TH.LQ-010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2.67353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2.67353</v>
      </c>
      <c r="DD16" s="1">
        <f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- 11'!K12,'Resultados - 11'!H17,'Resultados - 11'!AH18)</f>
        <v>g</v>
      </c>
      <c r="I17" s="415"/>
      <c r="J17" s="416"/>
      <c r="K17" s="422"/>
      <c r="L17" s="423"/>
      <c r="M17" s="424"/>
      <c r="O17" s="1" t="s">
        <v>476</v>
      </c>
      <c r="Q17" s="418">
        <f>'Resultados - 11'!Q17</f>
        <v>0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1000000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9.9999999996214228E-6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9.9999999996214228E-6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1000000</v>
      </c>
      <c r="AN18" s="51">
        <f ca="1">IF(K12="","",IF(K12="","",VLOOKUP(K12,'Controle dos padrões'!$CV$97:$CW$116,2,FALSE)))</f>
        <v>9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5</v>
      </c>
      <c r="CZ18" s="1">
        <f ca="1">AN18</f>
        <v>9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9.9999999996214228E-6</v>
      </c>
      <c r="DK18" s="322" t="s">
        <v>676</v>
      </c>
      <c r="DL18" s="320" t="s">
        <v>677</v>
      </c>
      <c r="DM18" s="320">
        <f ca="1">MAX(DM19:DM28)</f>
        <v>9.9999999996214228E-6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R12'!$S$4:$W$163,2,FALSE))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e">
        <f>HLOOKUP(Q17,BP25:BU27,2,FALSE)</f>
        <v>#N/A</v>
      </c>
      <c r="R19" s="30" t="str">
        <f>G12</f>
        <v>µL</v>
      </c>
      <c r="S19" s="29" t="e">
        <f>HLOOKUP(Q17,BP25:BU27,3,FALSE)</f>
        <v>#N/A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0</v>
      </c>
      <c r="DL19" s="1">
        <f ca="1">ABS(DK19)</f>
        <v>0</v>
      </c>
    </row>
    <row r="20" spans="1:117" x14ac:dyDescent="0.3">
      <c r="A20" s="61" t="str">
        <f>CONCATENATE(BM10,".",BN20)</f>
        <v>1.11</v>
      </c>
      <c r="B20" s="190" t="str">
        <f ca="1">IFERROR(VLOOKUP(BM10,'Incerteza - R12'!$S$4:$W$163,5,FALSE),"")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R12'!$S$4:$W$163,3,FALSE))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#N/A</v>
      </c>
      <c r="R20" s="411"/>
      <c r="S20" s="411" t="e">
        <f>IF(S19="-","-",IF(X20&lt;=S19,"Aprovado",IF(X20&gt;S19,"Reprovado","")))</f>
        <v>#N/A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</v>
      </c>
      <c r="DD20" s="51">
        <f ca="1">HLOOKUP(CONCATENATE($CZ20,DD18),'Controle dos padrões'!$AB$96:$BO$116,CY18+1,FALSE)</f>
        <v>1000000</v>
      </c>
      <c r="DE20" s="1">
        <f t="shared" ref="DE20:DE28" ca="1" si="18">IF(DB20="-","-",DB20/DC20)</f>
        <v>1.0000000000000001E-5</v>
      </c>
      <c r="DG20" s="1">
        <f t="shared" ref="DG20:DG28" si="19">CZ20</f>
        <v>2</v>
      </c>
      <c r="DH20" s="51">
        <f ca="1">HLOOKUP(CONCATENATE($CZ20,DH18),'Controle dos padrões'!$AB$96:$BY$116,CY18+1,FALSE)</f>
        <v>0</v>
      </c>
      <c r="DI20" s="1">
        <f t="shared" ref="DI20:DI28" ca="1" si="20">ABS(DH20)</f>
        <v>0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R12'!$S$4:$W$163,4,FALSE))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1000000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9.9999999996214228E-6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9.9999999996214228E-6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0</v>
      </c>
      <c r="DL22" s="1">
        <f t="shared" ca="1" si="21"/>
        <v>0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-1.0000000000331966E-4</v>
      </c>
      <c r="DI23" s="1">
        <f t="shared" ca="1" si="20"/>
        <v>1.0000000000331966E-4</v>
      </c>
      <c r="DJ23" s="1" t="str">
        <f ca="1">IF(CY23=1,MAX(DI19:DI23),"-")</f>
        <v>-</v>
      </c>
      <c r="DK23" s="51">
        <f ca="1">HLOOKUP(CONCATENATE($CZ23,DK18),'Controle dos padrões'!$AB$96:$CI$116,CY18+1,FALSE)</f>
        <v>1.0000000000331966E-4</v>
      </c>
      <c r="DL23" s="1">
        <f t="shared" ca="1" si="21"/>
        <v>1.0000000000331966E-4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-1.0000000000331966E-4</v>
      </c>
      <c r="DI24" s="1">
        <f t="shared" ca="1" si="20"/>
        <v>1.0000000000331966E-4</v>
      </c>
      <c r="DJ24" s="1" t="str">
        <f ca="1">IF(CY24=1,MAX(DI19:DI24),"-")</f>
        <v>-</v>
      </c>
      <c r="DK24" s="51">
        <f ca="1">HLOOKUP(CONCATENATE($CZ24,DK18),'Controle dos padrões'!$AB$96:$CI$116,CY18+1,FALSE)</f>
        <v>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2.0000000000663931E-4</v>
      </c>
      <c r="DI25" s="1">
        <f t="shared" ca="1" si="20"/>
        <v>2.0000000000663931E-4</v>
      </c>
      <c r="DJ25" s="1" t="str">
        <f ca="1">IF(CY25=1,MAX(DI19:DI25),"-")</f>
        <v>-</v>
      </c>
      <c r="DK25" s="51">
        <f ca="1">HLOOKUP(CONCATENATE($CZ25,DK18),'Controle dos padrões'!$AB$96:$CI$116,CY18+1,FALSE)</f>
        <v>1.0000000000331966E-4</v>
      </c>
      <c r="DL25" s="1">
        <f t="shared" ca="1" si="21"/>
        <v>1.0000000000331966E-4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8</v>
      </c>
      <c r="BR26" s="1">
        <f>VLOOKUP(CONCATENATE($A$2,".",BM10),'Tol. 8655-2'!$A$77:$Y$171,24,FALSE)</f>
        <v>16</v>
      </c>
      <c r="BS26" s="1">
        <f>VLOOKUP(CONCATENATE($A$2,".",BM10),'Tol. 8655-3'!$A$77:$Y$211,12,FALSE)</f>
        <v>6</v>
      </c>
      <c r="BT26" s="1">
        <f>VLOOKUP(CONCATENATE($A$2,".",BM10),'Tol. 8655-3'!$A$77:$Y$211,24,FALSE)</f>
        <v>6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3</v>
      </c>
      <c r="BR27" s="1">
        <f>VLOOKUP(CONCATENATE($A$2,".",BM10),'Tol. 8655-2'!$A$77:$Y$171,25,FALSE)</f>
        <v>6</v>
      </c>
      <c r="BS27" s="1">
        <f>VLOOKUP(CONCATENATE($A$2,".",BM10),'Tol. 8655-3'!$A$77:$Y$211,13,FALSE)</f>
        <v>1</v>
      </c>
      <c r="BT27" s="1">
        <f>VLOOKUP(CONCATENATE($A$2,".",BM10),'Tol. 8655-3'!$A$77:$Y$211,25,FALSE)</f>
        <v>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E.MS.LQ-006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1</v>
      </c>
      <c r="F34" s="407"/>
      <c r="G34" s="62" t="str">
        <f>G33</f>
        <v>µL</v>
      </c>
      <c r="H34" s="1" t="s">
        <v>268</v>
      </c>
      <c r="K34" s="408" t="str">
        <f>IF(K13="","",K13)</f>
        <v>E.TH.LQ-010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2.67353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2.67353</v>
      </c>
      <c r="DD37" s="1">
        <f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>
        <f>Q17</f>
        <v>0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1000000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9.9999999996214228E-6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9.9999999996214228E-6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1000000</v>
      </c>
      <c r="AN39" s="51">
        <f ca="1">IF(K33="","",IF(K33="","",VLOOKUP(K33,'Controle dos padrões'!$CV$97:$CW$116,2,FALSE)))</f>
        <v>9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5</v>
      </c>
      <c r="CZ39" s="1">
        <f ca="1">AN39</f>
        <v>9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9.9999999996214228E-6</v>
      </c>
      <c r="DK39" s="322" t="s">
        <v>676</v>
      </c>
      <c r="DL39" s="320" t="s">
        <v>677</v>
      </c>
      <c r="DM39" s="320">
        <f ca="1">MAX(DM40:DM49)</f>
        <v>9.9999999996214228E-6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R12'!$S$4:$W$163,2,FALSE))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e">
        <f>HLOOKUP(Q38,BP46:BU48,2,FALSE)</f>
        <v>#N/A</v>
      </c>
      <c r="R40" s="30" t="str">
        <f>G33</f>
        <v>µL</v>
      </c>
      <c r="S40" s="29" t="e">
        <f>HLOOKUP(Q38,BP46:BU48,3,FALSE)</f>
        <v>#N/A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0</v>
      </c>
      <c r="DL40" s="1">
        <f ca="1">ABS(DK40)</f>
        <v>0</v>
      </c>
    </row>
    <row r="41" spans="1:117" x14ac:dyDescent="0.3">
      <c r="A41" s="61" t="str">
        <f>CONCATENATE(BM31,".",BN41)</f>
        <v>2.11</v>
      </c>
      <c r="B41" s="190" t="str">
        <f ca="1">IFERROR(VLOOKUP(BM31,'Incerteza - R12'!$S$4:$W$163,5,FALSE),"")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R12'!$S$4:$W$163,3,FALSE))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#N/A</v>
      </c>
      <c r="R41" s="376"/>
      <c r="S41" s="374" t="e">
        <f>IF(S40="-","-",IF(X41&lt;=S40,"Aprovado",IF(X41&gt;S40,"Reprovado","")))</f>
        <v>#N/A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</v>
      </c>
      <c r="DD41" s="51">
        <f ca="1">HLOOKUP(CONCATENATE($CZ41,DD39),'Controle dos padrões'!$AB$96:$BO$116,CY39+1,FALSE)</f>
        <v>1000000</v>
      </c>
      <c r="DE41" s="1">
        <f t="shared" ref="DE41:DE49" ca="1" si="52">IF(DB41="-","-",DB41/DC41)</f>
        <v>1.0000000000000001E-5</v>
      </c>
      <c r="DG41" s="1">
        <f t="shared" ref="DG41:DG49" si="53">CZ41</f>
        <v>2</v>
      </c>
      <c r="DH41" s="51">
        <f ca="1">HLOOKUP(CONCATENATE($CZ41,DH39),'Controle dos padrões'!$AB$96:$BY$116,CY39+1,FALSE)</f>
        <v>0</v>
      </c>
      <c r="DI41" s="1">
        <f t="shared" ref="DI41:DI49" ca="1" si="54">ABS(DH41)</f>
        <v>0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R12'!$S$4:$W$163,4,FALSE))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1000000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9.9999999996214228E-6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9.9999999996214228E-6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0</v>
      </c>
      <c r="DL43" s="1">
        <f t="shared" ca="1" si="55"/>
        <v>0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-1.0000000000331966E-4</v>
      </c>
      <c r="DI44" s="1">
        <f t="shared" ca="1" si="54"/>
        <v>1.0000000000331966E-4</v>
      </c>
      <c r="DJ44" s="1" t="str">
        <f ca="1">IF(CY44=1,MAX(DI40:DI44),"-")</f>
        <v>-</v>
      </c>
      <c r="DK44" s="51">
        <f ca="1">HLOOKUP(CONCATENATE($CZ44,DK39),'Controle dos padrões'!$AB$96:$CI$116,CY39+1,FALSE)</f>
        <v>1.0000000000331966E-4</v>
      </c>
      <c r="DL44" s="1">
        <f t="shared" ca="1" si="55"/>
        <v>1.0000000000331966E-4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-1.0000000000331966E-4</v>
      </c>
      <c r="DI45" s="1">
        <f t="shared" ca="1" si="54"/>
        <v>1.0000000000331966E-4</v>
      </c>
      <c r="DJ45" s="1" t="str">
        <f ca="1">IF(CY45=1,MAX(DI40:DI45),"-")</f>
        <v>-</v>
      </c>
      <c r="DK45" s="51">
        <f ca="1">HLOOKUP(CONCATENATE($CZ45,DK39),'Controle dos padrões'!$AB$96:$CI$116,CY39+1,FALSE)</f>
        <v>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2.0000000000663931E-4</v>
      </c>
      <c r="DI46" s="1">
        <f t="shared" ca="1" si="54"/>
        <v>2.0000000000663931E-4</v>
      </c>
      <c r="DJ46" s="1" t="str">
        <f ca="1">IF(CY46=1,MAX(DI40:DI46),"-")</f>
        <v>-</v>
      </c>
      <c r="DK46" s="51">
        <f ca="1">HLOOKUP(CONCATENATE($CZ46,DK39),'Controle dos padrões'!$AB$96:$CI$116,CY39+1,FALSE)</f>
        <v>1.0000000000331966E-4</v>
      </c>
      <c r="DL46" s="1">
        <f t="shared" ca="1" si="55"/>
        <v>1.0000000000331966E-4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8</v>
      </c>
      <c r="BR47" s="1">
        <f>VLOOKUP(CONCATENATE($A$2,".",BM31),'Tol. 8655-2'!$A$77:$Y$171,24,FALSE)</f>
        <v>16</v>
      </c>
      <c r="BS47" s="1">
        <f>VLOOKUP(CONCATENATE($A$2,".",BM31),'Tol. 8655-3'!$A$77:$Y$211,12,FALSE)</f>
        <v>6</v>
      </c>
      <c r="BT47" s="1">
        <f>VLOOKUP(CONCATENATE($A$2,".",BM31),'Tol. 8655-3'!$A$77:$Y$211,24,FALSE)</f>
        <v>6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3</v>
      </c>
      <c r="BR48" s="1">
        <f>VLOOKUP(CONCATENATE($A$2,".",BM31),'Tol. 8655-2'!$A$77:$Y$171,25,FALSE)</f>
        <v>6</v>
      </c>
      <c r="BS48" s="1">
        <f>VLOOKUP(CONCATENATE($A$2,".",BM31),'Tol. 8655-3'!$A$77:$Y$211,13,FALSE)</f>
        <v>1</v>
      </c>
      <c r="BT48" s="1">
        <f>VLOOKUP(CONCATENATE($A$2,".",BM31),'Tol. 8655-3'!$A$77:$Y$211,25,FALSE)</f>
        <v>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E.MS.LQ-006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1</v>
      </c>
      <c r="F55" s="407"/>
      <c r="G55" s="62" t="str">
        <f>G54</f>
        <v>µL</v>
      </c>
      <c r="H55" s="1" t="s">
        <v>268</v>
      </c>
      <c r="K55" s="408" t="str">
        <f>IF(K34="","",K34)</f>
        <v>E.TH.LQ-010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2.67353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1.000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2.67353</v>
      </c>
      <c r="DD58" s="1">
        <f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>
        <f t="shared" ref="Q59" si="92">Q38</f>
        <v>0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1000000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9.9999999996214228E-6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9.9999999996214228E-6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1000000</v>
      </c>
      <c r="AN60" s="51">
        <f ca="1">IF(K54="","",IF(K54="","",VLOOKUP(K54,'Controle dos padrões'!$CV$97:$CW$116,2,FALSE)))</f>
        <v>9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5</v>
      </c>
      <c r="CZ60" s="1">
        <f t="shared" ref="CZ60" ca="1" si="120">AN60</f>
        <v>9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9.9999999996214228E-6</v>
      </c>
      <c r="DK60" s="322" t="s">
        <v>676</v>
      </c>
      <c r="DL60" s="320" t="s">
        <v>677</v>
      </c>
      <c r="DM60" s="320">
        <f t="shared" ref="DM60" ca="1" si="123">MAX(DM61:DM70)</f>
        <v>9.9999999996214228E-6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R12'!$S$4:$W$163,2,FALSE))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e">
        <f t="shared" ref="Q61" si="124">HLOOKUP(Q59,BP67:BU69,2,FALSE)</f>
        <v>#N/A</v>
      </c>
      <c r="R61" s="30" t="str">
        <f t="shared" ref="R61" si="125">G54</f>
        <v>µL</v>
      </c>
      <c r="S61" s="29" t="e">
        <f t="shared" ref="S61" si="126">HLOOKUP(Q59,BP67:BU69,3,FALSE)</f>
        <v>#N/A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0</v>
      </c>
      <c r="DL61" s="1">
        <f t="shared" ref="DL61:DL112" ca="1" si="169">ABS(DK61)</f>
        <v>0</v>
      </c>
    </row>
    <row r="62" spans="1:117" x14ac:dyDescent="0.3">
      <c r="A62" s="61" t="str">
        <f>CONCATENATE(BM52,".",BN62)</f>
        <v>3.11</v>
      </c>
      <c r="B62" s="190" t="str">
        <f ca="1">IFERROR(VLOOKUP(BM52,'Incerteza - R12'!$S$4:$W$163,5,FALSE),"")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R12'!$S$4:$W$163,3,FALSE))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#N/A</v>
      </c>
      <c r="R62" s="376"/>
      <c r="S62" s="374" t="e">
        <f t="shared" ref="S62" si="172">IF(S61="-","-",IF(X62&lt;=S61,"Aprovado",IF(X62&gt;S61,"Reprovado","")))</f>
        <v>#N/A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</v>
      </c>
      <c r="DD62" s="51">
        <f ca="1">HLOOKUP(CONCATENATE($CZ62,DD60),'Controle dos padrões'!$AB$96:$BO$116,CY60+1,FALSE)</f>
        <v>1000000</v>
      </c>
      <c r="DE62" s="1">
        <f t="shared" ca="1" si="166"/>
        <v>1.0000000000000001E-5</v>
      </c>
      <c r="DG62" s="1">
        <f t="shared" si="167"/>
        <v>2</v>
      </c>
      <c r="DH62" s="51">
        <f ca="1">HLOOKUP(CONCATENATE($CZ62,DH60),'Controle dos padrões'!$AB$96:$BY$116,CY60+1,FALSE)</f>
        <v>0</v>
      </c>
      <c r="DI62" s="1">
        <f t="shared" ca="1" si="168"/>
        <v>0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R12'!$S$4:$W$163,4,FALSE))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1000000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9.9999999996214228E-6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9.9999999996214228E-6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0</v>
      </c>
      <c r="DL64" s="1">
        <f t="shared" ca="1" si="169"/>
        <v>0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-1.0000000000331966E-4</v>
      </c>
      <c r="DI65" s="1">
        <f t="shared" ca="1" si="168"/>
        <v>1.0000000000331966E-4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1.0000000000331966E-4</v>
      </c>
      <c r="DL65" s="1">
        <f t="shared" ca="1" si="169"/>
        <v>1.0000000000331966E-4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-1.0000000000331966E-4</v>
      </c>
      <c r="DI66" s="1">
        <f t="shared" ca="1" si="168"/>
        <v>1.0000000000331966E-4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2.0000000000663931E-4</v>
      </c>
      <c r="DI67" s="1">
        <f t="shared" ca="1" si="168"/>
        <v>2.0000000000663931E-4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1.0000000000331966E-4</v>
      </c>
      <c r="DL67" s="1">
        <f t="shared" ca="1" si="169"/>
        <v>1.0000000000331966E-4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8</v>
      </c>
      <c r="BR68" s="1">
        <f>VLOOKUP(CONCATENATE($A$2,".",BM52),'Tol. 8655-2'!$A$77:$Y$171,24,FALSE)</f>
        <v>16</v>
      </c>
      <c r="BS68" s="1">
        <f>VLOOKUP(CONCATENATE($A$2,".",BM52),'Tol. 8655-3'!$A$77:$Y$211,12,FALSE)</f>
        <v>6</v>
      </c>
      <c r="BT68" s="1">
        <f>VLOOKUP(CONCATENATE($A$2,".",BM52),'Tol. 8655-3'!$A$77:$Y$211,24,FALSE)</f>
        <v>6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3</v>
      </c>
      <c r="BR69" s="1">
        <f>VLOOKUP(CONCATENATE($A$2,".",BM52),'Tol. 8655-2'!$A$77:$Y$171,25,FALSE)</f>
        <v>6</v>
      </c>
      <c r="BS69" s="1">
        <f>VLOOKUP(CONCATENATE($A$2,".",BM52),'Tol. 8655-3'!$A$77:$Y$211,13,FALSE)</f>
        <v>1</v>
      </c>
      <c r="BT69" s="1">
        <f>VLOOKUP(CONCATENATE($A$2,".",BM52),'Tol. 8655-3'!$A$77:$Y$211,25,FALSE)</f>
        <v>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E.MS.LQ-006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1</v>
      </c>
      <c r="F76" s="407"/>
      <c r="G76" s="62" t="str">
        <f>G75</f>
        <v>µL</v>
      </c>
      <c r="H76" s="1" t="s">
        <v>268</v>
      </c>
      <c r="K76" s="408" t="str">
        <f>IF(K55="","",K55)</f>
        <v>E.TH.LQ-010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2.67353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2.67353</v>
      </c>
      <c r="DD79" s="1">
        <f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>
        <f t="shared" ref="Q80" si="501">Q59</f>
        <v>0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1000000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9.9999999996214228E-6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9.9999999996214228E-6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1000000</v>
      </c>
      <c r="AN81" s="51">
        <f ca="1">IF(K75="","",IF(K75="","",VLOOKUP(K75,'Controle dos padrões'!$CV$97:$CW$116,2,FALSE)))</f>
        <v>9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5</v>
      </c>
      <c r="CZ81" s="1">
        <f t="shared" ref="CZ81" ca="1" si="529">AN81</f>
        <v>9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9.9999999996214228E-6</v>
      </c>
      <c r="DK81" s="322" t="s">
        <v>676</v>
      </c>
      <c r="DL81" s="320" t="s">
        <v>677</v>
      </c>
      <c r="DM81" s="320">
        <f t="shared" ref="DM81" ca="1" si="532">MAX(DM82:DM91)</f>
        <v>9.9999999996214228E-6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R12'!$S$4:$W$163,2,FALSE))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#N/A</v>
      </c>
      <c r="R82" s="30" t="str">
        <f t="shared" ref="R82" si="534">G75</f>
        <v>µL</v>
      </c>
      <c r="S82" s="29" t="e">
        <f t="shared" ref="S82" si="535">HLOOKUP(Q80,BP88:BU90,3,FALSE)</f>
        <v>#N/A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0</v>
      </c>
      <c r="DL82" s="1">
        <f t="shared" ref="DL82" ca="1" si="578">ABS(DK82)</f>
        <v>0</v>
      </c>
    </row>
    <row r="83" spans="1:117" x14ac:dyDescent="0.3">
      <c r="A83" s="61" t="str">
        <f>CONCATENATE(BM73,".",BN83)</f>
        <v>4.11</v>
      </c>
      <c r="B83" s="190" t="str">
        <f ca="1">IFERROR(VLOOKUP(BM73,'Incerteza - R12'!$S$4:$W$163,5,FALSE),"")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R12'!$S$4:$W$163,3,FALSE))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#N/A</v>
      </c>
      <c r="R83" s="376"/>
      <c r="S83" s="374" t="e">
        <f t="shared" ref="S83" si="581">IF(S82="-","-",IF(X83&lt;=S82,"Aprovado",IF(X83&gt;S82,"Reprovado","")))</f>
        <v>#N/A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</v>
      </c>
      <c r="DD83" s="51">
        <f ca="1">HLOOKUP(CONCATENATE($CZ83,DD81),'Controle dos padrões'!$AB$96:$BO$116,CY81+1,FALSE)</f>
        <v>1000000</v>
      </c>
      <c r="DE83" s="1">
        <f t="shared" ca="1" si="575"/>
        <v>1.0000000000000001E-5</v>
      </c>
      <c r="DG83" s="1">
        <f t="shared" si="576"/>
        <v>2</v>
      </c>
      <c r="DH83" s="51">
        <f ca="1">HLOOKUP(CONCATENATE($CZ83,DH81),'Controle dos padrões'!$AB$96:$BY$116,CY81+1,FALSE)</f>
        <v>0</v>
      </c>
      <c r="DI83" s="1">
        <f t="shared" ca="1" si="168"/>
        <v>0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R12'!$S$4:$W$163,4,FALSE))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1000000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9.9999999996214228E-6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9.9999999996214228E-6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0</v>
      </c>
      <c r="DL85" s="1">
        <f t="shared" ca="1" si="169"/>
        <v>0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-1.0000000000331966E-4</v>
      </c>
      <c r="DI86" s="1">
        <f t="shared" ca="1" si="168"/>
        <v>1.0000000000331966E-4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1.0000000000331966E-4</v>
      </c>
      <c r="DL86" s="1">
        <f t="shared" ca="1" si="169"/>
        <v>1.0000000000331966E-4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-1.0000000000331966E-4</v>
      </c>
      <c r="DI87" s="1">
        <f t="shared" ca="1" si="168"/>
        <v>1.0000000000331966E-4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2.0000000000663931E-4</v>
      </c>
      <c r="DI88" s="1">
        <f t="shared" ca="1" si="168"/>
        <v>2.0000000000663931E-4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1.0000000000331966E-4</v>
      </c>
      <c r="DL88" s="1">
        <f t="shared" ca="1" si="169"/>
        <v>1.0000000000331966E-4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E.MS.LQ-006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1</v>
      </c>
      <c r="F97" s="407"/>
      <c r="G97" s="62" t="str">
        <f>G96</f>
        <v>µL</v>
      </c>
      <c r="H97" s="1" t="s">
        <v>268</v>
      </c>
      <c r="K97" s="408" t="str">
        <f>IF(K76="","",K76)</f>
        <v>E.TH.LQ-010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2.67353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2.67353</v>
      </c>
      <c r="DD100" s="1">
        <f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>
        <f t="shared" ref="Q101" si="909">Q80</f>
        <v>0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1000000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9.9999999996214228E-6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9.9999999996214228E-6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1000000</v>
      </c>
      <c r="AN102" s="51">
        <f ca="1">IF(K96="","",IF(K96="","",VLOOKUP(K96,'Controle dos padrões'!$CV$97:$CW$116,2,FALSE)))</f>
        <v>9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5</v>
      </c>
      <c r="CZ102" s="1">
        <f t="shared" ref="CZ102" ca="1" si="937">AN102</f>
        <v>9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9.9999999996214228E-6</v>
      </c>
      <c r="DK102" s="322" t="s">
        <v>676</v>
      </c>
      <c r="DL102" s="320" t="s">
        <v>677</v>
      </c>
      <c r="DM102" s="320">
        <f t="shared" ref="DM102" ca="1" si="940">MAX(DM103:DM112)</f>
        <v>9.9999999996214228E-6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R12'!$S$4:$W$163,2,FALSE))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#N/A</v>
      </c>
      <c r="R103" s="30" t="str">
        <f t="shared" ref="R103" si="942">G96</f>
        <v>µL</v>
      </c>
      <c r="S103" s="29" t="e">
        <f t="shared" ref="S103" si="943">HLOOKUP(Q101,BP109:BU111,3,FALSE)</f>
        <v>#N/A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0</v>
      </c>
      <c r="DL103" s="1">
        <f t="shared" ref="DL103" ca="1" si="986">ABS(DK103)</f>
        <v>0</v>
      </c>
    </row>
    <row r="104" spans="1:117" x14ac:dyDescent="0.3">
      <c r="A104" s="61" t="str">
        <f>CONCATENATE(BM94,".",BN104)</f>
        <v>5.11</v>
      </c>
      <c r="B104" s="190" t="str">
        <f ca="1">IFERROR(VLOOKUP(BM94,'Incerteza - R12'!$S$4:$W$163,5,FALSE),"")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R12'!$S$4:$W$163,3,FALSE))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#N/A</v>
      </c>
      <c r="R104" s="376"/>
      <c r="S104" s="374" t="e">
        <f t="shared" ref="S104" si="989">IF(S103="-","-",IF(X104&lt;=S103,"Aprovado",IF(X104&gt;S103,"Reprovado","")))</f>
        <v>#N/A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</v>
      </c>
      <c r="DD104" s="51">
        <f ca="1">HLOOKUP(CONCATENATE($CZ104,DD102),'Controle dos padrões'!$AB$96:$BO$116,CY102+1,FALSE)</f>
        <v>1000000</v>
      </c>
      <c r="DE104" s="1">
        <f t="shared" ca="1" si="983"/>
        <v>1.0000000000000001E-5</v>
      </c>
      <c r="DG104" s="1">
        <f t="shared" si="984"/>
        <v>2</v>
      </c>
      <c r="DH104" s="51">
        <f ca="1">HLOOKUP(CONCATENATE($CZ104,DH102),'Controle dos padrões'!$AB$96:$BY$116,CY102+1,FALSE)</f>
        <v>0</v>
      </c>
      <c r="DI104" s="1">
        <f t="shared" ca="1" si="168"/>
        <v>0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R12'!$S$4:$W$163,4,FALSE))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1000000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9.9999999996214228E-6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9.9999999996214228E-6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0</v>
      </c>
      <c r="DL106" s="1">
        <f t="shared" ca="1" si="169"/>
        <v>0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-1.0000000000331966E-4</v>
      </c>
      <c r="DI107" s="1">
        <f t="shared" ca="1" si="168"/>
        <v>1.0000000000331966E-4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1.0000000000331966E-4</v>
      </c>
      <c r="DL107" s="1">
        <f t="shared" ca="1" si="169"/>
        <v>1.0000000000331966E-4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-1.0000000000331966E-4</v>
      </c>
      <c r="DI108" s="1">
        <f t="shared" ca="1" si="168"/>
        <v>1.0000000000331966E-4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2.0000000000663931E-4</v>
      </c>
      <c r="DI109" s="1">
        <f t="shared" ca="1" si="168"/>
        <v>2.0000000000663931E-4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1.0000000000331966E-4</v>
      </c>
      <c r="DL109" s="1">
        <f t="shared" ca="1" si="169"/>
        <v>1.0000000000331966E-4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E.MS.LQ-006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1</v>
      </c>
      <c r="F118" s="407"/>
      <c r="G118" s="62" t="str">
        <f>G117</f>
        <v>µL</v>
      </c>
      <c r="H118" s="1" t="s">
        <v>268</v>
      </c>
      <c r="K118" s="408" t="str">
        <f>IF(K97="","",K97)</f>
        <v>E.TH.LQ-010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2.67353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2.67353</v>
      </c>
      <c r="DD121" s="1">
        <f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>
        <f t="shared" ref="Q122" si="1316">Q101</f>
        <v>0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1000000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9.9999999996214228E-6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9.9999999996214228E-6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1000000</v>
      </c>
      <c r="AN123" s="51">
        <f ca="1">IF(K117="","",IF(K117="","",VLOOKUP(K117,'Controle dos padrões'!$CV$97:$CW$116,2,FALSE)))</f>
        <v>9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5</v>
      </c>
      <c r="CZ123" s="1">
        <f t="shared" ref="CZ123" ca="1" si="1344">AN123</f>
        <v>9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9.9999999996214228E-6</v>
      </c>
      <c r="DK123" s="322" t="s">
        <v>676</v>
      </c>
      <c r="DL123" s="320" t="s">
        <v>677</v>
      </c>
      <c r="DM123" s="320">
        <f t="shared" ref="DM123" ca="1" si="1347">MAX(DM124:DM133)</f>
        <v>9.9999999996214228E-6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R12'!$S$4:$W$163,2,FALSE))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#N/A</v>
      </c>
      <c r="R124" s="30" t="str">
        <f t="shared" ref="R124" si="1349">G117</f>
        <v>µL</v>
      </c>
      <c r="S124" s="29" t="e">
        <f t="shared" ref="S124" si="1350">HLOOKUP(Q122,BP130:BU132,3,FALSE)</f>
        <v>#N/A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0</v>
      </c>
      <c r="DL124" s="1">
        <f t="shared" ref="DL124:DL154" ca="1" si="1393">ABS(DK124)</f>
        <v>0</v>
      </c>
    </row>
    <row r="125" spans="1:117" x14ac:dyDescent="0.3">
      <c r="A125" s="61" t="str">
        <f>CONCATENATE(BM115,".",BN125)</f>
        <v>6.11</v>
      </c>
      <c r="B125" s="190" t="str">
        <f ca="1">IFERROR(VLOOKUP(BM115,'Incerteza - R12'!$S$4:$W$163,5,FALSE),"")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R12'!$S$4:$W$163,3,FALSE))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#N/A</v>
      </c>
      <c r="R125" s="376"/>
      <c r="S125" s="374" t="e">
        <f t="shared" ref="S125" si="1396">IF(S124="-","-",IF(X125&lt;=S124,"Aprovado",IF(X125&gt;S124,"Reprovado","")))</f>
        <v>#N/A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</v>
      </c>
      <c r="DD125" s="51">
        <f ca="1">HLOOKUP(CONCATENATE($CZ125,DD123),'Controle dos padrões'!$AB$96:$BO$116,CY123+1,FALSE)</f>
        <v>1000000</v>
      </c>
      <c r="DE125" s="1">
        <f t="shared" ca="1" si="1390"/>
        <v>1.0000000000000001E-5</v>
      </c>
      <c r="DG125" s="1">
        <f t="shared" si="1391"/>
        <v>2</v>
      </c>
      <c r="DH125" s="51">
        <f ca="1">HLOOKUP(CONCATENATE($CZ125,DH123),'Controle dos padrões'!$AB$96:$BY$116,CY123+1,FALSE)</f>
        <v>0</v>
      </c>
      <c r="DI125" s="1">
        <f t="shared" ca="1" si="1392"/>
        <v>0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R12'!$S$4:$W$163,4,FALSE))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1000000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9.9999999996214228E-6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9.9999999996214228E-6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0</v>
      </c>
      <c r="DL127" s="1">
        <f t="shared" ca="1" si="1393"/>
        <v>0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-1.0000000000331966E-4</v>
      </c>
      <c r="DI128" s="1">
        <f t="shared" ca="1" si="1392"/>
        <v>1.0000000000331966E-4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1.0000000000331966E-4</v>
      </c>
      <c r="DL128" s="1">
        <f t="shared" ca="1" si="1393"/>
        <v>1.0000000000331966E-4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-1.0000000000331966E-4</v>
      </c>
      <c r="DI129" s="1">
        <f t="shared" ca="1" si="1392"/>
        <v>1.0000000000331966E-4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2.0000000000663931E-4</v>
      </c>
      <c r="DI130" s="1">
        <f t="shared" ca="1" si="1392"/>
        <v>2.0000000000663931E-4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1.0000000000331966E-4</v>
      </c>
      <c r="DL130" s="1">
        <f t="shared" ca="1" si="1393"/>
        <v>1.0000000000331966E-4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E.MS.LQ-006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E.TH.LQ-010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2.67353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2.67353</v>
      </c>
      <c r="DD142" s="1">
        <f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>
        <f t="shared" ref="Q143" si="1724">Q122</f>
        <v>0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1000000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9.9999999996214228E-6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9.9999999996214228E-6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1000000</v>
      </c>
      <c r="AN144" s="51">
        <f ca="1">IF(K138="","",IF(K138="","",VLOOKUP(K138,'Controle dos padrões'!$CV$97:$CW$116,2,FALSE)))</f>
        <v>9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5</v>
      </c>
      <c r="CZ144" s="1">
        <f t="shared" ref="CZ144" ca="1" si="1752">AN144</f>
        <v>9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9.9999999996214228E-6</v>
      </c>
      <c r="DK144" s="322" t="s">
        <v>676</v>
      </c>
      <c r="DL144" s="320" t="s">
        <v>677</v>
      </c>
      <c r="DM144" s="320">
        <f t="shared" ref="DM144" ca="1" si="1755">MAX(DM145:DM154)</f>
        <v>9.9999999996214228E-6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R12'!$S$4:$W$163,2,FALSE))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#N/A</v>
      </c>
      <c r="R145" s="30" t="str">
        <f t="shared" ref="R145" si="1757">G138</f>
        <v>µL</v>
      </c>
      <c r="S145" s="29" t="e">
        <f t="shared" ref="S145" si="1758">HLOOKUP(Q143,BP151:BU153,3,FALSE)</f>
        <v>#N/A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0</v>
      </c>
      <c r="DL145" s="1">
        <f t="shared" ref="DL145" ca="1" si="1801">ABS(DK145)</f>
        <v>0</v>
      </c>
    </row>
    <row r="146" spans="1:117" x14ac:dyDescent="0.3">
      <c r="A146" s="61" t="str">
        <f>CONCATENATE(BM136,".",BN146)</f>
        <v>7.11</v>
      </c>
      <c r="B146" s="190" t="str">
        <f ca="1">IFERROR(VLOOKUP(BM136,'Incerteza - R12'!$S$4:$W$163,5,FALSE),"")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R12'!$S$4:$W$163,3,FALSE))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#N/A</v>
      </c>
      <c r="R146" s="376"/>
      <c r="S146" s="374" t="e">
        <f t="shared" ref="S146" si="1804">IF(S145="-","-",IF(X146&lt;=S145,"Aprovado",IF(X146&gt;S145,"Reprovado","")))</f>
        <v>#N/A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</v>
      </c>
      <c r="DD146" s="51">
        <f ca="1">HLOOKUP(CONCATENATE($CZ146,DD144),'Controle dos padrões'!$AB$96:$BO$116,CY144+1,FALSE)</f>
        <v>1000000</v>
      </c>
      <c r="DE146" s="1">
        <f t="shared" ca="1" si="1798"/>
        <v>1.0000000000000001E-5</v>
      </c>
      <c r="DG146" s="1">
        <f t="shared" si="1799"/>
        <v>2</v>
      </c>
      <c r="DH146" s="51">
        <f ca="1">HLOOKUP(CONCATENATE($CZ146,DH144),'Controle dos padrões'!$AB$96:$BY$116,CY144+1,FALSE)</f>
        <v>0</v>
      </c>
      <c r="DI146" s="1">
        <f t="shared" ca="1" si="1392"/>
        <v>0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R12'!$S$4:$W$163,4,FALSE))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1000000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9.9999999996214228E-6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9.9999999996214228E-6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0</v>
      </c>
      <c r="DL148" s="1">
        <f t="shared" ca="1" si="1393"/>
        <v>0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-1.0000000000331966E-4</v>
      </c>
      <c r="DI149" s="1">
        <f t="shared" ca="1" si="1392"/>
        <v>1.0000000000331966E-4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1.0000000000331966E-4</v>
      </c>
      <c r="DL149" s="1">
        <f t="shared" ca="1" si="1393"/>
        <v>1.0000000000331966E-4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-1.0000000000331966E-4</v>
      </c>
      <c r="DI150" s="1">
        <f t="shared" ca="1" si="1392"/>
        <v>1.0000000000331966E-4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2.0000000000663931E-4</v>
      </c>
      <c r="DI151" s="1">
        <f t="shared" ca="1" si="1392"/>
        <v>2.0000000000663931E-4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1.0000000000331966E-4</v>
      </c>
      <c r="DL151" s="1">
        <f t="shared" ca="1" si="1393"/>
        <v>1.0000000000331966E-4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O4kPFrW+b6J9QUME7Lpb/RWHc8C56DFwV9zXHSTPNVnGpXtX/HG2UIaWFH+jUsd18Q/gwjBZu9iFRm3SUVgBKQ==" saltValue="MwmG1WeUD21AOK+Mcy9Nq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8" priority="34">
      <formula>LEN(TRIM(B6))=0</formula>
    </cfRule>
  </conditionalFormatting>
  <conditionalFormatting sqref="Q41:T41">
    <cfRule type="containsText" dxfId="37" priority="32" operator="containsText" text="Reprovado">
      <formula>NOT(ISERROR(SEARCH("Reprovado",Q41)))</formula>
    </cfRule>
    <cfRule type="containsText" dxfId="36" priority="33" operator="containsText" text="Aprovado">
      <formula>NOT(ISERROR(SEARCH("Aprovado",Q41)))</formula>
    </cfRule>
  </conditionalFormatting>
  <conditionalFormatting sqref="R43:T43">
    <cfRule type="expression" dxfId="35" priority="31">
      <formula>$O43=""</formula>
    </cfRule>
  </conditionalFormatting>
  <conditionalFormatting sqref="S45:T45">
    <cfRule type="expression" dxfId="34" priority="30">
      <formula>$AS49</formula>
    </cfRule>
  </conditionalFormatting>
  <conditionalFormatting sqref="Q20:T20">
    <cfRule type="containsText" dxfId="33" priority="28" operator="containsText" text="Reprovado">
      <formula>NOT(ISERROR(SEARCH("Reprovado",Q20)))</formula>
    </cfRule>
    <cfRule type="containsText" dxfId="32" priority="29" operator="containsText" text="Aprovado">
      <formula>NOT(ISERROR(SEARCH("Aprovado",Q20)))</formula>
    </cfRule>
  </conditionalFormatting>
  <conditionalFormatting sqref="R22:T22">
    <cfRule type="expression" dxfId="31" priority="27">
      <formula>$O22=""</formula>
    </cfRule>
  </conditionalFormatting>
  <conditionalFormatting sqref="S24:T24">
    <cfRule type="expression" dxfId="30" priority="26">
      <formula>$AS28</formula>
    </cfRule>
  </conditionalFormatting>
  <conditionalFormatting sqref="B23:G23">
    <cfRule type="notContainsBlanks" dxfId="29" priority="25">
      <formula>LEN(TRIM(B23))&gt;0</formula>
    </cfRule>
  </conditionalFormatting>
  <conditionalFormatting sqref="B44:G44">
    <cfRule type="notContainsBlanks" dxfId="28" priority="24">
      <formula>LEN(TRIM(B44))&gt;0</formula>
    </cfRule>
  </conditionalFormatting>
  <conditionalFormatting sqref="Q62:T62 Q83:T83 Q104:T104 Q125:T125 Q146:T146">
    <cfRule type="containsText" dxfId="27" priority="22" operator="containsText" text="Reprovado">
      <formula>NOT(ISERROR(SEARCH("Reprovado",Q62)))</formula>
    </cfRule>
    <cfRule type="containsText" dxfId="26" priority="23" operator="containsText" text="Aprovado">
      <formula>NOT(ISERROR(SEARCH("Aprovado",Q62)))</formula>
    </cfRule>
  </conditionalFormatting>
  <conditionalFormatting sqref="R64:T64 R85:T85 R106:T106 R127:T127 R148:T148">
    <cfRule type="expression" dxfId="25" priority="21">
      <formula>$O64=""</formula>
    </cfRule>
  </conditionalFormatting>
  <conditionalFormatting sqref="S66:T66 S87:T87 S108:T108 S129:T129 S150:T150">
    <cfRule type="expression" dxfId="24" priority="20">
      <formula>$AS70</formula>
    </cfRule>
  </conditionalFormatting>
  <conditionalFormatting sqref="B65:G65 B86:G86 B107:G107 B128:G128 B149:G149">
    <cfRule type="notContainsBlanks" dxfId="23" priority="19">
      <formula>LEN(TRIM(B65))&gt;0</formula>
    </cfRule>
  </conditionalFormatting>
  <conditionalFormatting sqref="N4:T4">
    <cfRule type="expression" dxfId="22" priority="18">
      <formula>$J$4=""</formula>
    </cfRule>
  </conditionalFormatting>
  <conditionalFormatting sqref="Q5:R5">
    <cfRule type="expression" dxfId="21" priority="17">
      <formula>$J$4=""</formula>
    </cfRule>
  </conditionalFormatting>
  <conditionalFormatting sqref="S5:T5">
    <cfRule type="expression" dxfId="20" priority="16">
      <formula>$J$4=""</formula>
    </cfRule>
  </conditionalFormatting>
  <conditionalFormatting sqref="K12:M12">
    <cfRule type="expression" dxfId="19" priority="14">
      <formula>$O12&lt;&gt;""</formula>
    </cfRule>
  </conditionalFormatting>
  <conditionalFormatting sqref="O12:T12">
    <cfRule type="notContainsBlanks" dxfId="18" priority="13">
      <formula>LEN(TRIM(O12))&gt;0</formula>
    </cfRule>
  </conditionalFormatting>
  <conditionalFormatting sqref="O33:T33">
    <cfRule type="notContainsBlanks" dxfId="17" priority="12">
      <formula>LEN(TRIM(O33))&gt;0</formula>
    </cfRule>
  </conditionalFormatting>
  <conditionalFormatting sqref="K33:M33">
    <cfRule type="expression" dxfId="16" priority="11">
      <formula>$O33&lt;&gt;""</formula>
    </cfRule>
  </conditionalFormatting>
  <conditionalFormatting sqref="O54:T54">
    <cfRule type="notContainsBlanks" dxfId="15" priority="10">
      <formula>LEN(TRIM(O54))&gt;0</formula>
    </cfRule>
  </conditionalFormatting>
  <conditionalFormatting sqref="K54:M54">
    <cfRule type="expression" dxfId="14" priority="9">
      <formula>$O54&lt;&gt;""</formula>
    </cfRule>
  </conditionalFormatting>
  <conditionalFormatting sqref="O75:T75">
    <cfRule type="notContainsBlanks" dxfId="13" priority="8">
      <formula>LEN(TRIM(O75))&gt;0</formula>
    </cfRule>
  </conditionalFormatting>
  <conditionalFormatting sqref="K75:M75">
    <cfRule type="expression" dxfId="12" priority="7">
      <formula>$O75&lt;&gt;""</formula>
    </cfRule>
  </conditionalFormatting>
  <conditionalFormatting sqref="O96:T96">
    <cfRule type="notContainsBlanks" dxfId="11" priority="6">
      <formula>LEN(TRIM(O96))&gt;0</formula>
    </cfRule>
  </conditionalFormatting>
  <conditionalFormatting sqref="K96:M96">
    <cfRule type="expression" dxfId="10" priority="5">
      <formula>$O96&lt;&gt;""</formula>
    </cfRule>
  </conditionalFormatting>
  <conditionalFormatting sqref="O117:T117">
    <cfRule type="notContainsBlanks" dxfId="9" priority="4">
      <formula>LEN(TRIM(O117))&gt;0</formula>
    </cfRule>
  </conditionalFormatting>
  <conditionalFormatting sqref="K117:M117">
    <cfRule type="expression" dxfId="8" priority="3">
      <formula>$O117&lt;&gt;""</formula>
    </cfRule>
  </conditionalFormatting>
  <conditionalFormatting sqref="O138:T138">
    <cfRule type="notContainsBlanks" dxfId="7" priority="2">
      <formula>LEN(TRIM(O138))&gt;0</formula>
    </cfRule>
  </conditionalFormatting>
  <conditionalFormatting sqref="K138:M138">
    <cfRule type="expression" dxfId="6" priority="1">
      <formula>$O138&lt;&gt;""</formula>
    </cfRule>
  </conditionalFormatting>
  <dataValidations count="10">
    <dataValidation type="list" allowBlank="1" sqref="S4:T4" xr:uid="{1D7891CA-9F47-4CCD-A240-CA5E3310AC73}">
      <formula1>$CU$1:$CU$8</formula1>
    </dataValidation>
    <dataValidation type="list" allowBlank="1" showInputMessage="1" showErrorMessage="1" sqref="H17:J17 H38:J38 H59:J59 H122:J122 H80:J80 H101:J101 H143:J143" xr:uid="{3CE10AC9-A135-4C50-9782-A46A5E3C4EF8}">
      <formula1>$BN$1:$BN$4</formula1>
    </dataValidation>
    <dataValidation type="list" allowBlank="1" showInputMessage="1" showErrorMessage="1" sqref="E14:G14 E119:G119 E35:G35 E56:G56 E77:G77 E98:G98 E140:G140" xr:uid="{03340425-CA91-44A1-A562-8646EABA2337}">
      <formula1>$BX$1:$BX$6</formula1>
    </dataValidation>
    <dataValidation type="list" allowBlank="1" showInputMessage="1" showErrorMessage="1" sqref="Q17:T17 Q38:T38 Q59:T59 Q80:T80 Q101:T101 Q122:T122 Q143:T143" xr:uid="{B0DD9EFA-5158-4603-993E-74192F8BF3FB}">
      <formula1>$BP$25:$BU$25</formula1>
    </dataValidation>
    <dataValidation type="list" allowBlank="1" sqref="R19 T19 T22 R40 T40 T43 R61 R82 R103 R124 R145 T61 T82 T103 T124 T145 T64 T85 T106 T127 T148" xr:uid="{50DB78BB-296C-4C00-A072-2E4DCC4C7417}">
      <formula1>$CB$1:$CB$2</formula1>
    </dataValidation>
    <dataValidation type="list" allowBlank="1" showInputMessage="1" showErrorMessage="1" sqref="O146:P146 O41:P41 O62:P62 O83:P83 O104:P104 O125:P125 O20:P20" xr:uid="{939B2E15-B506-4800-9403-10A49CB39841}">
      <formula1>$CD$1:$CD$2</formula1>
    </dataValidation>
    <dataValidation type="list" allowBlank="1" showInputMessage="1" showErrorMessage="1" sqref="K96:M96 K12:M12 K33:M33 K117:M117 K54:M54 K75:M75 K138:M138" xr:uid="{5703A2EA-1D31-494B-AEA8-EF5B5CC8872C}">
      <formula1>$CQ$2:$CQ$21</formula1>
    </dataValidation>
    <dataValidation type="list" allowBlank="1" showInputMessage="1" showErrorMessage="1" sqref="K118:M118 K13:M13 K34:M34 K55:M55 K76:M76 K97:M97 K139:M139" xr:uid="{E4FCE255-DC6C-4274-A19E-6E78C3328B93}">
      <formula1>$CM$2:$CM$21</formula1>
    </dataValidation>
    <dataValidation type="list" allowBlank="1" sqref="S7:T7" xr:uid="{3D2C68E5-C6CB-4D4E-903E-B21F40076A4D}">
      <formula1>$BN$1:$BN$4</formula1>
    </dataValidation>
    <dataValidation type="whole" allowBlank="1" showInputMessage="1" showErrorMessage="1" sqref="S14" xr:uid="{177B712F-CCE1-418E-861B-F2DFD937A11C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980B0-E59E-4D6E-AE87-78443633905C}">
  <sheetPr codeName="Planilha6"/>
  <dimension ref="A1:AB163"/>
  <sheetViews>
    <sheetView workbookViewId="0">
      <selection sqref="A1:N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- 1'!$A$2</f>
        <v>1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</v>
      </c>
    </row>
    <row r="2" spans="1:28" ht="23.4" thickBot="1" x14ac:dyDescent="0.35">
      <c r="A2" s="490" t="str">
        <f>CONCATENATE("Volume - Resultados - ",P1)</f>
        <v>Volume - Resultados - 1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- 1'!$A$10:$BL$156,41,FALSE)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2,01</v>
      </c>
      <c r="V4" s="116" t="str">
        <f ca="1">IF(M22&gt;=1000,"∞",FIXED(M22,0,TRUE))</f>
        <v>277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- 1'!$A$10:$BL$156,42,FALSE)</f>
        <v>8.4293751175141644E-3</v>
      </c>
      <c r="D6" s="86" t="str">
        <f>VLOOKUP(CONCATENATE(B3,".3"),'Resultados - 1'!$A$10:$BL$156,7,FALSE)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>D6</f>
        <v>µL</v>
      </c>
      <c r="L6" s="95">
        <f t="shared" ref="L6:L20" ca="1" si="5">ABS(C6/G6*H6)</f>
        <v>8.4293751175141644E-3</v>
      </c>
      <c r="M6" s="86">
        <f ca="1">IF(VLOOKUP(CONCATENATE(B3,".5"),'Resultados - 1'!$A$10:$BL$156,42,FALSE)=1,1,VLOOKUP(CONCATENATE(B3,".5"),'Resultados - 1'!$A$10:$BL$156,42,FALSE)-1)</f>
        <v>9</v>
      </c>
      <c r="N6" s="96">
        <f t="shared" ref="N6" ca="1" si="6">ABS(L6/L24%)</f>
        <v>16.998870066014256</v>
      </c>
      <c r="O6" s="97"/>
      <c r="P6" s="86" t="s">
        <v>328</v>
      </c>
      <c r="Q6" s="86">
        <f t="shared" ref="Q6" ca="1" si="7">Q4-Q5</f>
        <v>0</v>
      </c>
      <c r="R6" s="87"/>
      <c r="S6" s="87"/>
      <c r="T6" s="87" t="s">
        <v>387</v>
      </c>
      <c r="U6" s="87">
        <f ca="1">VLOOKUP(CONCATENATE(B3,".20"),'Resultados - 1'!$A$10:$BL$156,26,FALSE)</f>
        <v>1.0029257535080716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- 1'!$A$10:$BL$156,37,FALSE)</f>
        <v>3.0000000000000001E-5</v>
      </c>
      <c r="D7" s="86" t="str">
        <f ca="1">VLOOKUP(CONCATENATE(B3,".9"),'Resultados - 1'!$A$10:$BL$156,34,FALSE)</f>
        <v>g</v>
      </c>
      <c r="E7" s="86" t="s">
        <v>323</v>
      </c>
      <c r="F7" s="86" t="str">
        <f t="shared" ref="F7:F8" ca="1" si="8">IF(G7=2,"N","Ts")</f>
        <v>N</v>
      </c>
      <c r="G7" s="86">
        <f ca="1">VLOOKUP(CONCATENATE(B3,".9"),'Resultados - 1'!$A$10:$BL$156,38,FALSE)</f>
        <v>2</v>
      </c>
      <c r="H7" s="86">
        <f ca="1">(VLOOKUP(CONCATENATE(B3,".20"),'Resultados - 1'!$A$10:$BL$156,29,FALSE)/T19)*T22</f>
        <v>1002.7393955335049</v>
      </c>
      <c r="I7" s="86" t="str">
        <f t="shared" ca="1" si="4"/>
        <v>g</v>
      </c>
      <c r="J7" s="94" t="s">
        <v>325</v>
      </c>
      <c r="K7" s="86" t="str">
        <f t="shared" ref="K7:K20" si="9">K6</f>
        <v>µL</v>
      </c>
      <c r="L7" s="95">
        <f t="shared" ca="1" si="5"/>
        <v>1.5041090933002573E-2</v>
      </c>
      <c r="M7" s="86">
        <f ca="1">VLOOKUP(CONCATENATE(B3,".9"),'Resultados - 1'!$A$10:$BL$156,39,FALSE)</f>
        <v>1000000</v>
      </c>
      <c r="N7" s="96">
        <f t="shared" ref="N7" ca="1" si="10">ABS(L7/L24%)</f>
        <v>30.332206937851492</v>
      </c>
      <c r="O7" s="97"/>
      <c r="P7" s="86" t="s">
        <v>332</v>
      </c>
      <c r="Q7" s="86">
        <f t="shared" ref="Q7" ca="1" si="11">ABS(Q6/ Q5) * 100</f>
        <v>0</v>
      </c>
      <c r="R7" s="87"/>
      <c r="T7" s="87" t="s">
        <v>388</v>
      </c>
      <c r="U7" s="87">
        <f ca="1">VLOOKUP(CONCATENATE(B3,".20"),'Resultados - 1'!$A$10:$BL$156,27,FALSE)</f>
        <v>0.99985917933542434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- 1'!$A$10:$BL$156,61,FALSE)</f>
        <v>0.1</v>
      </c>
      <c r="D8" s="86" t="s">
        <v>126</v>
      </c>
      <c r="E8" s="86" t="s">
        <v>323</v>
      </c>
      <c r="F8" s="86" t="str">
        <f t="shared" ca="1" si="8"/>
        <v>N</v>
      </c>
      <c r="G8" s="86">
        <f ca="1">VLOOKUP(CONCATENATE(B3,".9"),'Resultados - 1'!$A$10:$BL$156,62,FALSE)</f>
        <v>2</v>
      </c>
      <c r="H8" s="86">
        <f ca="1">(ABS(U9*U6*U7*(-U8)))/T19</f>
        <v>4.5174038765375089E-2</v>
      </c>
      <c r="I8" s="86" t="str">
        <f t="shared" si="4"/>
        <v>°C</v>
      </c>
      <c r="J8" s="94" t="s">
        <v>325</v>
      </c>
      <c r="K8" s="86" t="str">
        <f t="shared" si="9"/>
        <v>µL</v>
      </c>
      <c r="L8" s="95">
        <f t="shared" ca="1" si="5"/>
        <v>2.2587019382687545E-3</v>
      </c>
      <c r="M8" s="86">
        <f ca="1">VLOOKUP(CONCATENATE(B3,".9"),'Resultados - 1'!$A$10:$BL$156,63,FALSE)</f>
        <v>1000000</v>
      </c>
      <c r="N8" s="96">
        <f t="shared" ref="N8" ca="1" si="12">ABS(L8/L24%)</f>
        <v>4.5549498309440484</v>
      </c>
      <c r="O8" s="85"/>
      <c r="P8" s="86" t="s">
        <v>335</v>
      </c>
      <c r="Q8" s="86">
        <f t="shared" ref="Q8" ca="1" si="13">IF(Q4=0,0,IF(Q7&lt;=5,ROUND(Q4,Q9),ROUNDUP(Q4,Q9)))</f>
        <v>0.05</v>
      </c>
      <c r="R8" s="87"/>
      <c r="T8" s="113" t="s">
        <v>392</v>
      </c>
      <c r="U8" s="87">
        <f>'Resultados - 1'!$AU$7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- 1'!$A$10:$BL$156,36,FALSE)</f>
        <v>9.9999999996214228E-6</v>
      </c>
      <c r="D9" s="86" t="str">
        <f t="shared" ref="D9" ca="1" si="14">D7</f>
        <v>g</v>
      </c>
      <c r="E9" s="86" t="s">
        <v>323</v>
      </c>
      <c r="F9" s="86" t="s">
        <v>331</v>
      </c>
      <c r="G9" s="86">
        <f t="shared" ref="G9:G14" si="15">SQRT(3)</f>
        <v>1.7320508075688772</v>
      </c>
      <c r="H9" s="86">
        <f t="shared" ref="H9:H12" ca="1" si="16">H7</f>
        <v>1002.7393955335049</v>
      </c>
      <c r="I9" s="86" t="str">
        <f t="shared" ca="1" si="4"/>
        <v>g</v>
      </c>
      <c r="J9" s="94" t="s">
        <v>325</v>
      </c>
      <c r="K9" s="86" t="str">
        <f t="shared" si="9"/>
        <v>µL</v>
      </c>
      <c r="L9" s="95">
        <f t="shared" ca="1" si="5"/>
        <v>5.7893185991639467E-3</v>
      </c>
      <c r="M9" s="86">
        <v>1000000</v>
      </c>
      <c r="N9" s="96">
        <f t="shared" ref="N9" ca="1" si="17">ABS(L9/L24%)</f>
        <v>11.674871893347346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- 1'!$A$10:$BL$156,41,FALSE)</f>
        <v>0.100108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- 1'!$A$10:$BL$156,49,FALSE)</f>
        <v>0.10000000000000142</v>
      </c>
      <c r="D10" s="86" t="s">
        <v>126</v>
      </c>
      <c r="E10" s="86" t="s">
        <v>323</v>
      </c>
      <c r="F10" s="86" t="s">
        <v>331</v>
      </c>
      <c r="G10" s="86">
        <f t="shared" si="15"/>
        <v>1.7320508075688772</v>
      </c>
      <c r="H10" s="86">
        <f t="shared" ca="1" si="16"/>
        <v>4.5174038765375089E-2</v>
      </c>
      <c r="I10" s="86" t="str">
        <f t="shared" si="4"/>
        <v>°C</v>
      </c>
      <c r="J10" s="94" t="s">
        <v>325</v>
      </c>
      <c r="K10" s="86" t="str">
        <f t="shared" si="9"/>
        <v>µL</v>
      </c>
      <c r="L10" s="95">
        <f t="shared" ca="1" si="5"/>
        <v>2.6081243441572269E-3</v>
      </c>
      <c r="M10" s="86">
        <v>1000000</v>
      </c>
      <c r="N10" s="96">
        <f t="shared" ref="N10" ca="1" si="18">ABS(L10/L24%)</f>
        <v>5.2596030220816488</v>
      </c>
      <c r="O10" s="97"/>
      <c r="P10" s="86" t="s">
        <v>341</v>
      </c>
      <c r="Q10" s="86">
        <f t="shared" ref="Q10" ca="1" si="19">IF(Q9&lt;1-INT(LOG10(L22))-1,TRUNC(L22,1-INT(LOG10(L22))-1),TRUNC(L22, Q9))</f>
        <v>3.9912085399999998E-2</v>
      </c>
      <c r="R10" s="87"/>
      <c r="T10" s="87" t="s">
        <v>389</v>
      </c>
      <c r="U10" s="87">
        <f ca="1">VLOOKUP(CONCATENATE(B3,".20"),'Resultados - 1'!$A$10:$BL$156,28,FALSE)</f>
        <v>0.99995500000000015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- 1'!$A$10:$BL$156,33,FALSE)</f>
        <v>9.9999999996214228E-6</v>
      </c>
      <c r="D11" s="86" t="str">
        <f t="shared" ref="D11" ca="1" si="20">D9</f>
        <v>g</v>
      </c>
      <c r="E11" s="86" t="s">
        <v>323</v>
      </c>
      <c r="F11" s="86" t="s">
        <v>331</v>
      </c>
      <c r="G11" s="86">
        <f t="shared" si="15"/>
        <v>1.7320508075688772</v>
      </c>
      <c r="H11" s="99">
        <f t="shared" ca="1" si="16"/>
        <v>1002.7393955335049</v>
      </c>
      <c r="I11" s="86" t="str">
        <f t="shared" ca="1" si="4"/>
        <v>g</v>
      </c>
      <c r="J11" s="94" t="s">
        <v>325</v>
      </c>
      <c r="K11" s="86" t="str">
        <f t="shared" si="9"/>
        <v>µL</v>
      </c>
      <c r="L11" s="95">
        <f t="shared" ca="1" si="5"/>
        <v>5.7893185991639467E-3</v>
      </c>
      <c r="M11" s="86">
        <v>1000000</v>
      </c>
      <c r="N11" s="96">
        <f t="shared" ref="N11" ca="1" si="21">ABS(L11/L24%)</f>
        <v>11.674871893347346</v>
      </c>
      <c r="O11" s="97"/>
      <c r="P11" s="86" t="s">
        <v>328</v>
      </c>
      <c r="Q11" s="86">
        <f t="shared" ref="Q11" ca="1" si="22">L22-Q10</f>
        <v>8.4636783692637607E-11</v>
      </c>
      <c r="R11" s="87"/>
      <c r="T11" s="87" t="s">
        <v>424</v>
      </c>
      <c r="U11" s="87">
        <f>'Resultados - 1'!$AU$6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- 1'!$A$10:$BL$156,50,FALSE)</f>
        <v>3.5374328320040616E-2</v>
      </c>
      <c r="D12" s="86" t="s">
        <v>126</v>
      </c>
      <c r="E12" s="86" t="s">
        <v>323</v>
      </c>
      <c r="F12" s="86" t="s">
        <v>331</v>
      </c>
      <c r="G12" s="86">
        <f t="shared" si="15"/>
        <v>1.7320508075688772</v>
      </c>
      <c r="H12" s="99">
        <f t="shared" ca="1" si="16"/>
        <v>4.5174038765375089E-2</v>
      </c>
      <c r="I12" s="86" t="str">
        <f t="shared" si="4"/>
        <v>°C</v>
      </c>
      <c r="J12" s="94" t="s">
        <v>325</v>
      </c>
      <c r="K12" s="86" t="str">
        <f t="shared" si="9"/>
        <v>µL</v>
      </c>
      <c r="L12" s="95">
        <f t="shared" ca="1" si="5"/>
        <v>9.2260646849707043E-4</v>
      </c>
      <c r="M12" s="86">
        <f ca="1">VLOOKUP(CONCATENATE(B3,".9"),'Resultados - 1'!$A$10:$BL$156,51,FALSE)</f>
        <v>3</v>
      </c>
      <c r="N12" s="96">
        <f t="shared" ref="N12" ca="1" si="23">ABS(L12/L24%)</f>
        <v>1.8605492413619142</v>
      </c>
      <c r="O12" s="100"/>
      <c r="P12" s="86" t="s">
        <v>332</v>
      </c>
      <c r="Q12" s="86">
        <f t="shared" ref="Q12" ca="1" si="24">ABS(Q11/ Q10) * 100</f>
        <v>2.1205803416284936E-7</v>
      </c>
      <c r="R12" s="87"/>
      <c r="T12" s="87" t="s">
        <v>426</v>
      </c>
      <c r="U12" s="87">
        <f ca="1">VLOOKUP(CONCATENATE(B3,".20"),'Resultados - 1'!$A$10:$BL$156,43,FALSE)</f>
        <v>0.9981811827377205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5">IF(G13=2,"N","Ts")</f>
        <v>N</v>
      </c>
      <c r="G13" s="86">
        <f>'Incerteza (Par)'!$N$24</f>
        <v>2</v>
      </c>
      <c r="H13" s="99">
        <f t="shared" ref="H13" ca="1" si="26">(U9*U10*U6*U6*(U7-1/U11))/T19</f>
        <v>87.76694083758531</v>
      </c>
      <c r="I13" s="86" t="str">
        <f t="shared" si="4"/>
        <v>g/cm³</v>
      </c>
      <c r="J13" s="94" t="s">
        <v>325</v>
      </c>
      <c r="K13" s="86" t="str">
        <f t="shared" si="9"/>
        <v>µL</v>
      </c>
      <c r="L13" s="95">
        <f t="shared" ca="1" si="5"/>
        <v>4.827181746067192E-4</v>
      </c>
      <c r="M13" s="86">
        <v>1000000</v>
      </c>
      <c r="N13" s="96">
        <f t="shared" ref="N13" ca="1" si="27">ABS(L13/L24%)</f>
        <v>0.97346047770419608</v>
      </c>
      <c r="O13" s="97"/>
      <c r="P13" s="86" t="s">
        <v>348</v>
      </c>
      <c r="Q13" s="86" t="str">
        <f t="shared" ref="Q13" ca="1" si="28">IF((IF(Q12&lt;= 5,ROUND(L22,Q9),ROUNDUP(L22,Q9)))&lt;Q8,FIXED(Q8,Q9),FIXED(IF(Q12 &lt;= 5,ROUND(L22,Q9),ROUNDUP(L22,Q9)),Q9))</f>
        <v>0,0500000000</v>
      </c>
      <c r="R13" s="87"/>
      <c r="T13" s="87" t="s">
        <v>386</v>
      </c>
      <c r="U13" s="87">
        <f>'Resultados - 1'!$AU$5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5"/>
        <v>1.7320508075688772</v>
      </c>
      <c r="H14" s="94">
        <f t="shared" ref="H14" ca="1" si="29">((U9/(U12-U13))*U7*U10)/T19</f>
        <v>100.38223540806808</v>
      </c>
      <c r="I14" s="86" t="str">
        <f t="shared" si="4"/>
        <v>g/ml</v>
      </c>
      <c r="J14" s="94" t="s">
        <v>325</v>
      </c>
      <c r="K14" s="86" t="str">
        <f t="shared" si="9"/>
        <v>µL</v>
      </c>
      <c r="L14" s="95">
        <f t="shared" ca="1" si="5"/>
        <v>2.0864055828493616E-3</v>
      </c>
      <c r="M14" s="86">
        <v>1000000</v>
      </c>
      <c r="N14" s="96">
        <f t="shared" ref="N14" ca="1" si="30">ABS(L14/L24%)</f>
        <v>4.2074930719564625</v>
      </c>
      <c r="O14" s="97"/>
      <c r="P14" s="86" t="s">
        <v>351</v>
      </c>
      <c r="Q14" s="86" t="str">
        <f t="shared" ref="Q14" ca="1" si="31">ArredSig(Q13,2)</f>
        <v>0,050</v>
      </c>
      <c r="R14" s="87"/>
      <c r="T14" s="87" t="s">
        <v>385</v>
      </c>
      <c r="U14" s="87">
        <f ca="1">VLOOKUP(CONCATENATE(B3,".20"),'Resultados - 1'!$A$10:$BL$156,44,FALSE)</f>
        <v>20.099999999999998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2">(U9*U6*(U13/U11^2)*U10)/T19</f>
        <v>1.8125492317909791E-3</v>
      </c>
      <c r="I15" s="86" t="str">
        <f t="shared" si="4"/>
        <v>g/cm³</v>
      </c>
      <c r="J15" s="94" t="s">
        <v>325</v>
      </c>
      <c r="K15" s="86" t="str">
        <f t="shared" si="9"/>
        <v>µL</v>
      </c>
      <c r="L15" s="95">
        <f t="shared" ca="1" si="5"/>
        <v>1.2687844622536856E-4</v>
      </c>
      <c r="M15" s="86">
        <v>1000000</v>
      </c>
      <c r="N15" s="96">
        <f t="shared" ref="N15" ca="1" si="33">ABS(L15/L24%)</f>
        <v>0.25586596770163172</v>
      </c>
      <c r="O15" s="85"/>
      <c r="P15" s="86" t="s">
        <v>354</v>
      </c>
      <c r="Q15" s="86" t="str">
        <f t="shared" ref="Q15" ca="1" si="34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- 1'!$A$10:$BL$156,32,FALSE)</f>
        <v>1.0000000000000001E-5</v>
      </c>
      <c r="D16" s="86" t="str">
        <f t="shared" ref="D16:D17" ca="1" si="35">D11</f>
        <v>g</v>
      </c>
      <c r="E16" s="86" t="s">
        <v>323</v>
      </c>
      <c r="F16" s="86" t="s">
        <v>331</v>
      </c>
      <c r="G16" s="86">
        <f t="shared" ref="G16:G17" si="36">SQRT(12)</f>
        <v>3.4641016151377544</v>
      </c>
      <c r="H16" s="94">
        <f t="shared" ref="H16" ca="1" si="37">H7</f>
        <v>1002.7393955335049</v>
      </c>
      <c r="I16" s="86" t="str">
        <f t="shared" ca="1" si="4"/>
        <v>g</v>
      </c>
      <c r="J16" s="94" t="s">
        <v>325</v>
      </c>
      <c r="K16" s="86" t="str">
        <f t="shared" si="9"/>
        <v>µL</v>
      </c>
      <c r="L16" s="95">
        <f t="shared" ca="1" si="5"/>
        <v>2.8946592996915588E-3</v>
      </c>
      <c r="M16" s="86">
        <v>1000000</v>
      </c>
      <c r="N16" s="96">
        <f t="shared" ref="N16" ca="1" si="38">ABS(L16/L24%)</f>
        <v>5.8374359468946659</v>
      </c>
      <c r="O16" s="85"/>
      <c r="P16" s="86" t="s">
        <v>357</v>
      </c>
      <c r="Q16" s="86">
        <f t="shared" ref="Q16" ca="1" si="39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- 1'!$A$10:$BL$156,47,FALSE)</f>
        <v>0.1</v>
      </c>
      <c r="D17" s="86" t="str">
        <f t="shared" si="35"/>
        <v>°C</v>
      </c>
      <c r="E17" s="86" t="s">
        <v>323</v>
      </c>
      <c r="F17" s="86" t="s">
        <v>331</v>
      </c>
      <c r="G17" s="86">
        <f t="shared" si="36"/>
        <v>3.4641016151377544</v>
      </c>
      <c r="H17" s="94">
        <f t="shared" ref="H17" ca="1" si="40">H12</f>
        <v>4.5174038765375089E-2</v>
      </c>
      <c r="I17" s="86" t="str">
        <f t="shared" si="4"/>
        <v>°C</v>
      </c>
      <c r="J17" s="94" t="s">
        <v>325</v>
      </c>
      <c r="K17" s="86" t="str">
        <f t="shared" si="9"/>
        <v>µL</v>
      </c>
      <c r="L17" s="95">
        <f t="shared" ca="1" si="5"/>
        <v>1.304062172078595E-3</v>
      </c>
      <c r="M17" s="86">
        <v>1000000</v>
      </c>
      <c r="N17" s="96">
        <f t="shared" ref="N17" ca="1" si="41">ABS(L17/L24%)</f>
        <v>2.6298015110407871</v>
      </c>
      <c r="O17" s="85"/>
      <c r="P17" s="86" t="s">
        <v>360</v>
      </c>
      <c r="Q17" s="86">
        <f t="shared" ref="Q17" ca="1" si="42">IF(LEN(Q13)=1,0,LEN(Q13)-2)</f>
        <v>10</v>
      </c>
      <c r="R17" s="87"/>
      <c r="T17" s="86" t="s">
        <v>80</v>
      </c>
      <c r="U17" s="86" t="str">
        <f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3">SQRT(3)</f>
        <v>1.7320508075688772</v>
      </c>
      <c r="H18" s="99">
        <f t="shared" ref="H18" ca="1" si="44">(ABS(U9*U6*U7*(U14-20)))/T19</f>
        <v>10.03867528119425</v>
      </c>
      <c r="I18" s="86" t="str">
        <f t="shared" si="4"/>
        <v>°C-¹</v>
      </c>
      <c r="J18" s="94" t="s">
        <v>325</v>
      </c>
      <c r="K18" s="86" t="str">
        <f t="shared" si="9"/>
        <v>µL</v>
      </c>
      <c r="L18" s="95">
        <f t="shared" ca="1" si="5"/>
        <v>2.8979159379523717E-4</v>
      </c>
      <c r="M18" s="86">
        <v>1000000</v>
      </c>
      <c r="N18" s="96">
        <f t="shared" ref="N18" ca="1" si="45">ABS(L18/L24%)</f>
        <v>0.58440033578682915</v>
      </c>
      <c r="O18" s="85"/>
      <c r="P18" s="86" t="s">
        <v>364</v>
      </c>
      <c r="Q18" s="86">
        <f t="shared" ref="Q18" ca="1" si="46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- 1'!$A$10:$BL$156,43,FALSE)</f>
        <v>2.7000000000000001E-3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- 1'!$A$10:$BL$156,44,FALSE)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3"/>
        <v>1.7320508075688772</v>
      </c>
      <c r="H19" s="94">
        <f t="shared" ref="H19" ca="1" si="47">H10</f>
        <v>4.5174038765375089E-2</v>
      </c>
      <c r="I19" s="86" t="str">
        <f t="shared" si="4"/>
        <v>°C</v>
      </c>
      <c r="J19" s="94" t="s">
        <v>325</v>
      </c>
      <c r="K19" s="86" t="str">
        <f t="shared" si="9"/>
        <v>µL</v>
      </c>
      <c r="L19" s="95">
        <f t="shared" ca="1" si="5"/>
        <v>0</v>
      </c>
      <c r="M19" s="86">
        <v>1000000</v>
      </c>
      <c r="N19" s="96">
        <f t="shared" ref="N19" ca="1" si="48">ABS(L19/L24%)</f>
        <v>0</v>
      </c>
      <c r="O19" s="101"/>
      <c r="P19" s="86" t="s">
        <v>367</v>
      </c>
      <c r="Q19" s="86">
        <f t="shared" ref="Q19" ca="1" si="49">IF(Q16=Q17,Q17,Q16+1)</f>
        <v>3</v>
      </c>
      <c r="R19" s="101"/>
      <c r="T19" s="115">
        <f t="shared" ref="T19" si="50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2.7103203560178393E-3</v>
      </c>
      <c r="D20" s="86" t="str">
        <f t="shared" ref="D20" si="51">D6</f>
        <v>µL</v>
      </c>
      <c r="E20" s="86" t="s">
        <v>323</v>
      </c>
      <c r="F20" s="86" t="s">
        <v>331</v>
      </c>
      <c r="G20" s="86">
        <f t="shared" si="43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9"/>
        <v>µL</v>
      </c>
      <c r="L20" s="95">
        <f t="shared" ca="1" si="5"/>
        <v>1.564804187137022E-3</v>
      </c>
      <c r="M20" s="86">
        <v>1000000</v>
      </c>
      <c r="N20" s="96">
        <f t="shared" ref="N20" ca="1" si="52">ABS(L20/L24%)</f>
        <v>3.1556198039673484</v>
      </c>
      <c r="O20" s="101"/>
      <c r="P20" s="101"/>
      <c r="Q20" s="101"/>
      <c r="R20" s="101"/>
      <c r="T20" s="86" t="s">
        <v>272</v>
      </c>
      <c r="U20" s="86" t="str">
        <f t="shared" ref="U20" ca="1" si="53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4">K6</f>
        <v>µL</v>
      </c>
      <c r="J21" s="466"/>
      <c r="K21" s="467"/>
      <c r="L21" s="103">
        <f t="shared" ref="L21" ca="1" si="55">SQRT(SUMSQ(L6:L20))</f>
        <v>1.9856758947580492E-2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- 1'!$A$10:$BL$156,42,FALSE)</f>
        <v>100.38223540806811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6">I21</f>
        <v>µL</v>
      </c>
      <c r="J22" s="458"/>
      <c r="K22" s="459"/>
      <c r="L22" s="106">
        <f ca="1">(L21*N24)</f>
        <v>3.9912085484636782E-2</v>
      </c>
      <c r="M22" s="473">
        <f ca="1">IF(AND(C6=0,C12=0,C7=0,C8=0),1000000,(L21^4)/(((L8^4)/M8)+((L6^4)/M6)+((L12^4)/M12)+((L7^4)/M7)))</f>
        <v>276.9924153923011</v>
      </c>
      <c r="N22" s="474"/>
      <c r="O22" s="101"/>
      <c r="P22" s="101"/>
      <c r="Q22" s="101"/>
      <c r="R22" s="101"/>
      <c r="T22" s="115">
        <f t="shared" ref="T22" ca="1" si="57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6"/>
        <v>µL</v>
      </c>
      <c r="J23" s="458"/>
      <c r="K23" s="459"/>
      <c r="L23" s="106" t="str">
        <f t="shared" ref="L23" ca="1" si="58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59">SUM(N6:N20)</f>
        <v>99.999999999999957</v>
      </c>
      <c r="L24" s="87">
        <f t="shared" ref="L24" ca="1" si="60">SUM(L6:L20)</f>
        <v>4.9587855456151554E-2</v>
      </c>
      <c r="M24" s="108" t="s">
        <v>378</v>
      </c>
      <c r="N24" s="109">
        <f ca="1">IF(M22&gt;1000000,2,ROUND(TINV(1-(95.45/100),M22),2))</f>
        <v>2.0099999999999998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- 1'!$A$10:$BL$156,41,FALSE)</f>
        <v>0.05</v>
      </c>
      <c r="R27" s="87"/>
      <c r="S27" s="86">
        <f>B26</f>
        <v>2</v>
      </c>
      <c r="T27" s="86" t="str">
        <f ca="1">L46</f>
        <v>0,060</v>
      </c>
      <c r="U27" s="114" t="str">
        <f ca="1">FIXED(N47,2)</f>
        <v>2,00</v>
      </c>
      <c r="V27" s="116" t="str">
        <f ca="1">IF(M45&gt;=1000,"∞",FIXED(M45,0,TRUE))</f>
        <v>∞</v>
      </c>
      <c r="W27" s="88">
        <f ca="1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- 1'!$A$10:$BL$156,42,FALSE)</f>
        <v>7.831645038981502E-3</v>
      </c>
      <c r="D29" s="86" t="str">
        <f>VLOOKUP(CONCATENATE(B26,".3"),'Resultados - 1'!$A$10:$BL$156,7,FALSE)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7.831645038981502E-3</v>
      </c>
      <c r="M29" s="86">
        <f ca="1">IF(VLOOKUP(CONCATENATE(B26,".5"),'Resultados - 1'!$A$10:$BL$156,42,FALSE)=1,1,VLOOKUP(CONCATENATE(B26,".5"),'Resultados - 1'!$A$10:$BL$156,42,FALSE)-1)</f>
        <v>9</v>
      </c>
      <c r="N29" s="96">
        <f t="shared" ref="N29" ca="1" si="61">ABS(L29/L47%)</f>
        <v>8.2384771134025794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- 1'!$A$10:$BL$156,26,FALSE)</f>
        <v>1.0029257535080716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- 1'!$A$10:$BL$156,37,FALSE)</f>
        <v>3.0000000000000001E-5</v>
      </c>
      <c r="D30" s="86" t="str">
        <f ca="1">VLOOKUP(CONCATENATE(B26,".9"),'Resultados - 1'!$A$10:$BL$156,34,FALSE)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- 1'!$A$10:$BL$156,38,FALSE)</f>
        <v>2</v>
      </c>
      <c r="H30" s="86">
        <f ca="1">(VLOOKUP(CONCATENATE(B26,".20"),'Resultados - 1'!$A$10:$BL$156,29,FALSE)/T42)*T45</f>
        <v>1002.7393955335049</v>
      </c>
      <c r="I30" s="86" t="str">
        <f ca="1">D30</f>
        <v>g</v>
      </c>
      <c r="J30" s="94" t="s">
        <v>325</v>
      </c>
      <c r="K30" s="86" t="str">
        <f t="shared" ref="K30:K43" si="62">K29</f>
        <v>µL</v>
      </c>
      <c r="L30" s="95">
        <f t="shared" ref="L30:L43" ca="1" si="63">ABS(C30/G30*H30)</f>
        <v>1.5041090933002573E-2</v>
      </c>
      <c r="M30" s="86">
        <f ca="1">VLOOKUP(CONCATENATE(B26,".9"),'Resultados - 1'!$A$10:$BL$156,39,FALSE)</f>
        <v>1000000</v>
      </c>
      <c r="N30" s="96">
        <f ca="1">ABS(L30/L47%)</f>
        <v>15.822433574985396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- 1'!$A$10:$BL$156,27,FALSE)</f>
        <v>0.99985917933542434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- 1'!$A$10:$BL$156,61,FALSE)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- 1'!$A$10:$BL$156,62,FALSE)</f>
        <v>2</v>
      </c>
      <c r="H31" s="86">
        <f ca="1">(ABS(U32*U29*U30*(-U31)))/T42</f>
        <v>0.22391220691071528</v>
      </c>
      <c r="I31" s="86" t="str">
        <f t="shared" ref="I31:I41" si="64">D31</f>
        <v>°C</v>
      </c>
      <c r="J31" s="94" t="s">
        <v>325</v>
      </c>
      <c r="K31" s="86" t="str">
        <f t="shared" si="62"/>
        <v>µL</v>
      </c>
      <c r="L31" s="95">
        <f t="shared" ca="1" si="63"/>
        <v>1.1195610345535765E-2</v>
      </c>
      <c r="M31" s="86">
        <f ca="1">VLOOKUP(CONCATENATE(B26,".9"),'Resultados - 1'!$A$10:$BL$156,63,FALSE)</f>
        <v>1000000</v>
      </c>
      <c r="N31" s="96">
        <f ca="1">ABS(L31/L47%)</f>
        <v>11.777191017107764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- 1'!$AU$7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- 1'!$A$10:$BL$156,36,FALSE)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1002.7393955335049</v>
      </c>
      <c r="I32" s="86" t="str">
        <f t="shared" ca="1" si="64"/>
        <v>g</v>
      </c>
      <c r="J32" s="94" t="s">
        <v>325</v>
      </c>
      <c r="K32" s="86" t="str">
        <f t="shared" si="62"/>
        <v>µL</v>
      </c>
      <c r="L32" s="95">
        <f t="shared" ca="1" si="63"/>
        <v>5.7893185991639467E-3</v>
      </c>
      <c r="M32" s="86">
        <v>1000000</v>
      </c>
      <c r="N32" s="96">
        <f ca="1">ABS(L32/L47%)</f>
        <v>6.090057522271306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- 1'!$A$10:$BL$156,41,FALSE)</f>
        <v>0.496201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- 1'!$A$10:$BL$156,49,FALSE)</f>
        <v>0.10000000000000142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0.22391220691071528</v>
      </c>
      <c r="I33" s="86" t="str">
        <f t="shared" si="64"/>
        <v>°C</v>
      </c>
      <c r="J33" s="94" t="s">
        <v>325</v>
      </c>
      <c r="K33" s="86" t="str">
        <f t="shared" si="62"/>
        <v>µL</v>
      </c>
      <c r="L33" s="95">
        <f t="shared" ca="1" si="63"/>
        <v>1.292757729347465E-2</v>
      </c>
      <c r="M33" s="86">
        <v>1000000</v>
      </c>
      <c r="N33" s="96">
        <f ca="1">ABS(L33/L47%)</f>
        <v>13.599128808049814</v>
      </c>
      <c r="O33" s="97"/>
      <c r="P33" s="86" t="s">
        <v>341</v>
      </c>
      <c r="Q33" s="86">
        <f ca="1">IF(Q32&lt;1-INT(LOG10(L45))-1,TRUNC(L45,1-INT(LOG10(L45))-1),TRUNC(L45, Q32))</f>
        <v>5.9780552299999998E-2</v>
      </c>
      <c r="R33" s="87"/>
      <c r="T33" s="87" t="s">
        <v>389</v>
      </c>
      <c r="U33" s="87">
        <f ca="1">VLOOKUP(CONCATENATE(B26,".20"),'Resultados - 1'!$A$10:$BL$156,28,FALSE)</f>
        <v>0.99995500000000015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- 1'!$A$10:$BL$156,33,FALSE)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65">SQRT(3)</f>
        <v>1.7320508075688772</v>
      </c>
      <c r="H34" s="99">
        <f ca="1">H32</f>
        <v>1002.7393955335049</v>
      </c>
      <c r="I34" s="86" t="str">
        <f t="shared" ca="1" si="64"/>
        <v>g</v>
      </c>
      <c r="J34" s="94" t="s">
        <v>325</v>
      </c>
      <c r="K34" s="86" t="str">
        <f t="shared" si="62"/>
        <v>µL</v>
      </c>
      <c r="L34" s="95">
        <f t="shared" ca="1" si="63"/>
        <v>5.7893185991639467E-3</v>
      </c>
      <c r="M34" s="86">
        <v>1000000</v>
      </c>
      <c r="N34" s="96">
        <f ca="1">ABS(L34/L47%)</f>
        <v>6.090057522271306</v>
      </c>
      <c r="O34" s="97"/>
      <c r="P34" s="86" t="s">
        <v>328</v>
      </c>
      <c r="Q34" s="86">
        <f ca="1">L45-Q33</f>
        <v>5.0073931112670778E-11</v>
      </c>
      <c r="R34" s="87"/>
      <c r="T34" s="87" t="s">
        <v>424</v>
      </c>
      <c r="U34" s="87">
        <f>'Resultados - 1'!$AU$6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- 1'!$A$10:$BL$156,50,FALSE)</f>
        <v>3.5374328320040616E-2</v>
      </c>
      <c r="D35" s="86" t="s">
        <v>126</v>
      </c>
      <c r="E35" s="86" t="s">
        <v>323</v>
      </c>
      <c r="F35" s="86" t="s">
        <v>331</v>
      </c>
      <c r="G35" s="86">
        <f t="shared" si="65"/>
        <v>1.7320508075688772</v>
      </c>
      <c r="H35" s="99">
        <f ca="1">H33</f>
        <v>0.22391220691071528</v>
      </c>
      <c r="I35" s="86" t="str">
        <f t="shared" si="64"/>
        <v>°C</v>
      </c>
      <c r="J35" s="94" t="s">
        <v>325</v>
      </c>
      <c r="K35" s="86" t="str">
        <f t="shared" si="62"/>
        <v>µL</v>
      </c>
      <c r="L35" s="95">
        <f t="shared" ca="1" si="63"/>
        <v>4.5730436356206782E-3</v>
      </c>
      <c r="M35" s="86">
        <f ca="1">VLOOKUP(CONCATENATE(B26,".9"),'Resultados - 1'!$A$10:$BL$156,51,FALSE)</f>
        <v>3</v>
      </c>
      <c r="N35" s="96">
        <f ca="1">ABS(L35/L47%)</f>
        <v>4.8106004732246985</v>
      </c>
      <c r="O35" s="100"/>
      <c r="P35" s="86" t="s">
        <v>332</v>
      </c>
      <c r="Q35" s="86">
        <f ca="1">ABS(Q34/ Q33) * 100</f>
        <v>8.3762911492322868E-8</v>
      </c>
      <c r="R35" s="87"/>
      <c r="T35" s="87" t="s">
        <v>426</v>
      </c>
      <c r="U35" s="87">
        <f ca="1">VLOOKUP(CONCATENATE(B26,".20"),'Resultados - 1'!$A$10:$BL$156,43,FALSE)</f>
        <v>0.9981811827377205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435.03060505205042</v>
      </c>
      <c r="I36" s="86" t="str">
        <f t="shared" si="64"/>
        <v>g/cm³</v>
      </c>
      <c r="J36" s="94" t="s">
        <v>325</v>
      </c>
      <c r="K36" s="86" t="str">
        <f t="shared" si="62"/>
        <v>µL</v>
      </c>
      <c r="L36" s="95">
        <f t="shared" ca="1" si="63"/>
        <v>2.3926683277862774E-3</v>
      </c>
      <c r="M36" s="86">
        <v>1000000</v>
      </c>
      <c r="N36" s="96">
        <f ca="1">ABS(L36/L47%)</f>
        <v>2.5169607611575286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0,0597805524</v>
      </c>
      <c r="R36" s="87"/>
      <c r="T36" s="87" t="s">
        <v>386</v>
      </c>
      <c r="U36" s="87">
        <f>'Resultados - 1'!$AU$5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65"/>
        <v>1.7320508075688772</v>
      </c>
      <c r="H37" s="94">
        <f ca="1">((U32/(U35-U36))*U30*U33)/T42</f>
        <v>497.56029080312055</v>
      </c>
      <c r="I37" s="86" t="str">
        <f t="shared" si="64"/>
        <v>g/ml</v>
      </c>
      <c r="J37" s="94" t="s">
        <v>325</v>
      </c>
      <c r="K37" s="86" t="str">
        <f t="shared" si="62"/>
        <v>µL</v>
      </c>
      <c r="L37" s="95">
        <f t="shared" ca="1" si="63"/>
        <v>1.0341596441997003E-2</v>
      </c>
      <c r="M37" s="86">
        <v>1000000</v>
      </c>
      <c r="N37" s="96">
        <f ca="1">ABS(L37/L47%)</f>
        <v>10.878813477802602</v>
      </c>
      <c r="O37" s="97"/>
      <c r="P37" s="86" t="s">
        <v>351</v>
      </c>
      <c r="Q37" s="86" t="str">
        <f ca="1">ArredSig(Q36,2)</f>
        <v>0,060</v>
      </c>
      <c r="R37" s="87"/>
      <c r="T37" s="87" t="s">
        <v>385</v>
      </c>
      <c r="U37" s="87">
        <f ca="1">VLOOKUP(CONCATENATE(B26,".20"),'Resultados - 1'!$A$10:$BL$156,44,FALSE)</f>
        <v>20.099999999999998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8.9841844943852212E-3</v>
      </c>
      <c r="I38" s="86" t="str">
        <f t="shared" si="64"/>
        <v>g/cm³</v>
      </c>
      <c r="J38" s="94" t="s">
        <v>325</v>
      </c>
      <c r="K38" s="86" t="str">
        <f t="shared" si="62"/>
        <v>µL</v>
      </c>
      <c r="L38" s="95">
        <f t="shared" ca="1" si="63"/>
        <v>6.288929146069655E-4</v>
      </c>
      <c r="M38" s="86">
        <v>1000000</v>
      </c>
      <c r="N38" s="96">
        <f ca="1">ABS(L38/L47%)</f>
        <v>0.66156214409384506</v>
      </c>
      <c r="O38" s="85"/>
      <c r="P38" s="86" t="s">
        <v>354</v>
      </c>
      <c r="Q38" s="86" t="str">
        <f ca="1">IF((OR(Q41=2,Q41&gt;2)),Q37,Q36)</f>
        <v>0,060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- 1'!$A$10:$BL$156,32,FALSE)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1002.7393955335049</v>
      </c>
      <c r="I39" s="86" t="str">
        <f t="shared" ca="1" si="64"/>
        <v>g</v>
      </c>
      <c r="J39" s="94" t="s">
        <v>325</v>
      </c>
      <c r="K39" s="86" t="str">
        <f t="shared" si="62"/>
        <v>µL</v>
      </c>
      <c r="L39" s="95">
        <f t="shared" ca="1" si="63"/>
        <v>2.8946592996915588E-3</v>
      </c>
      <c r="M39" s="86">
        <v>1000000</v>
      </c>
      <c r="N39" s="96">
        <f ca="1">ABS(L39/L47%)</f>
        <v>3.045028761250931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- 1'!$A$10:$BL$156,47,FALSE)</f>
        <v>0.1</v>
      </c>
      <c r="D40" s="86" t="str">
        <f>D35</f>
        <v>°C</v>
      </c>
      <c r="E40" s="86" t="s">
        <v>323</v>
      </c>
      <c r="F40" s="86" t="s">
        <v>331</v>
      </c>
      <c r="G40" s="86">
        <f>SQRT(12)</f>
        <v>3.4641016151377544</v>
      </c>
      <c r="H40" s="94">
        <f ca="1">H35</f>
        <v>0.22391220691071528</v>
      </c>
      <c r="I40" s="86" t="str">
        <f t="shared" si="64"/>
        <v>°C</v>
      </c>
      <c r="J40" s="94" t="s">
        <v>325</v>
      </c>
      <c r="K40" s="86" t="str">
        <f t="shared" si="62"/>
        <v>µL</v>
      </c>
      <c r="L40" s="95">
        <f t="shared" ca="1" si="63"/>
        <v>6.463788646737233E-3</v>
      </c>
      <c r="M40" s="86">
        <v>1000000</v>
      </c>
      <c r="N40" s="96">
        <f ca="1">ABS(L40/L47%)</f>
        <v>6.7995644040248102</v>
      </c>
      <c r="O40" s="85"/>
      <c r="P40" s="86" t="s">
        <v>360</v>
      </c>
      <c r="Q40" s="86">
        <f ca="1">IF(LEN(Q36)=1,0,LEN(Q36)-2)</f>
        <v>10</v>
      </c>
      <c r="R40" s="87"/>
      <c r="T40" s="86" t="s">
        <v>80</v>
      </c>
      <c r="U40" s="86" t="str">
        <f t="shared" ref="U40" si="66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" si="67">SQRT(3)</f>
        <v>1.7320508075688772</v>
      </c>
      <c r="H41" s="99">
        <f ca="1">(ABS(U32*U29*U30*(U37-20)))/T42</f>
        <v>49.758268202380115</v>
      </c>
      <c r="I41" s="86" t="str">
        <f t="shared" si="64"/>
        <v>°C-¹</v>
      </c>
      <c r="J41" s="94" t="s">
        <v>325</v>
      </c>
      <c r="K41" s="86" t="str">
        <f t="shared" si="62"/>
        <v>µL</v>
      </c>
      <c r="L41" s="95">
        <f t="shared" ca="1" si="63"/>
        <v>1.436397477052688E-3</v>
      </c>
      <c r="M41" s="86">
        <v>1000000</v>
      </c>
      <c r="N41" s="96">
        <f ca="1">ABS(L41/L47%)</f>
        <v>1.5110143120054813</v>
      </c>
      <c r="O41" s="85"/>
      <c r="P41" s="86" t="s">
        <v>364</v>
      </c>
      <c r="Q41" s="86">
        <f ca="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- 1'!$A$10:$BL$156,43,FALSE)</f>
        <v>2.7000000000000001E-3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- 1'!$A$10:$BL$156,44,FALSE)</f>
        <v>0</v>
      </c>
      <c r="D42" s="86" t="s">
        <v>126</v>
      </c>
      <c r="E42" s="86" t="s">
        <v>323</v>
      </c>
      <c r="F42" s="86" t="s">
        <v>331</v>
      </c>
      <c r="G42" s="86">
        <f>SQRT(3)</f>
        <v>1.7320508075688772</v>
      </c>
      <c r="H42" s="94">
        <f ca="1">H33</f>
        <v>0.22391220691071528</v>
      </c>
      <c r="I42" s="86" t="str">
        <f>D42</f>
        <v>°C</v>
      </c>
      <c r="J42" s="94" t="s">
        <v>325</v>
      </c>
      <c r="K42" s="86" t="str">
        <f t="shared" si="62"/>
        <v>µL</v>
      </c>
      <c r="L42" s="95">
        <f t="shared" ca="1" si="63"/>
        <v>0</v>
      </c>
      <c r="M42" s="86">
        <v>1000000</v>
      </c>
      <c r="N42" s="96">
        <f ca="1">ABS(L42/L47%)</f>
        <v>0</v>
      </c>
      <c r="O42" s="101"/>
      <c r="P42" s="86" t="s">
        <v>367</v>
      </c>
      <c r="Q42" s="86">
        <f ca="1">IF(Q39=Q40,Q40,Q39+1)</f>
        <v>3</v>
      </c>
      <c r="R42" s="101"/>
      <c r="T42" s="115">
        <f t="shared" ref="T42" si="68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1.343412785168426E-2</v>
      </c>
      <c r="D43" s="86" t="str">
        <f>D29</f>
        <v>µL</v>
      </c>
      <c r="E43" s="86" t="s">
        <v>323</v>
      </c>
      <c r="F43" s="86" t="s">
        <v>331</v>
      </c>
      <c r="G43" s="86">
        <f>SQRT(3)</f>
        <v>1.7320508075688772</v>
      </c>
      <c r="H43" s="94">
        <v>1</v>
      </c>
      <c r="I43" s="86" t="str">
        <f>D43</f>
        <v>µL</v>
      </c>
      <c r="J43" s="94" t="s">
        <v>325</v>
      </c>
      <c r="K43" s="86" t="str">
        <f t="shared" si="62"/>
        <v>µL</v>
      </c>
      <c r="L43" s="95">
        <f t="shared" ca="1" si="63"/>
        <v>7.7561973314977566E-3</v>
      </c>
      <c r="M43" s="86">
        <v>1000000</v>
      </c>
      <c r="N43" s="96">
        <f ca="1">ABS(L43/L47%)</f>
        <v>8.159110108351955</v>
      </c>
      <c r="O43" s="101"/>
      <c r="P43" s="101"/>
      <c r="Q43" s="101"/>
      <c r="R43" s="101"/>
      <c r="T43" s="86" t="s">
        <v>272</v>
      </c>
      <c r="U43" s="86" t="str">
        <f t="shared" ref="U43" ca="1" si="69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>K29</f>
        <v>µL</v>
      </c>
      <c r="J44" s="466"/>
      <c r="K44" s="467"/>
      <c r="L44" s="103">
        <f ca="1">SQRT(SUMSQ(L29:L43))</f>
        <v>2.9890276175036964E-2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- 1'!$A$10:$BL$156,42,FALSE)</f>
        <v>497.56029080312072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5.9780552350073929E-2</v>
      </c>
      <c r="M45" s="473">
        <f ca="1">IF(AND(C29=0,C35=0,C30=0,C31=0),1000000,(L44^4)/(((L31^4)/M31)+((L29^4)/M29)+((L35^4)/M35)+((L30^4)/M30)))</f>
        <v>1415.6731799376994</v>
      </c>
      <c r="N45" s="474"/>
      <c r="O45" s="101"/>
      <c r="P45" s="101"/>
      <c r="Q45" s="101"/>
      <c r="R45" s="101"/>
      <c r="T45" s="115">
        <f t="shared" ref="T45" ca="1" si="70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0,060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100.00000000000004</v>
      </c>
      <c r="L47" s="87">
        <f ca="1">SUM(L29:L43)</f>
        <v>9.5061804884312526E-2</v>
      </c>
      <c r="M47" s="108" t="s">
        <v>378</v>
      </c>
      <c r="N47" s="109">
        <f ca="1">IF(M45&gt;1000000,2,ROUND(TINV(1-(95.45/100),M45),2))</f>
        <v>2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 t="shared" ref="B49" si="71"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- 1'!$A$10:$BL$156,41,FALSE)</f>
        <v>9.9722934255504811E-2</v>
      </c>
      <c r="R50" s="87"/>
      <c r="S50" s="86">
        <f t="shared" ref="S50" si="72">B49</f>
        <v>3</v>
      </c>
      <c r="T50" s="86" t="str">
        <f t="shared" ref="T50" ca="1" si="73">L69</f>
        <v>0,10</v>
      </c>
      <c r="U50" s="114" t="str">
        <f t="shared" ref="U50" ca="1" si="74">FIXED(N70,2)</f>
        <v>2,00</v>
      </c>
      <c r="V50" s="116" t="str">
        <f t="shared" ref="V50" ca="1" si="75">IF(M68&gt;=1000,"∞",FIXED(M68,0,TRUE))</f>
        <v>∞</v>
      </c>
      <c r="W50" s="88">
        <f t="shared" ref="W50" ca="1" si="76">Q65</f>
        <v>2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t="shared" ref="Q51" ca="1" si="77">IF(Q55&lt;1-INT(LOG10(Q50))-1,TRUNC(Q50,1-INT(LOG10(Q50))-1),TRUNC(Q50, Q55))</f>
        <v>9.9722934200000002E-2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- 1'!$A$10:$BL$156,42,FALSE)</f>
        <v>9.1231530248892193E-3</v>
      </c>
      <c r="D52" s="86" t="str">
        <f>VLOOKUP(CONCATENATE(B49,".3"),'Resultados - 1'!$A$10:$BL$156,7,FALSE)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 t="shared" ref="I52:I66" si="78">D52</f>
        <v>µL</v>
      </c>
      <c r="J52" s="94" t="s">
        <v>325</v>
      </c>
      <c r="K52" s="86" t="str">
        <f t="shared" ref="K52" si="79">D52</f>
        <v>µL</v>
      </c>
      <c r="L52" s="95">
        <f t="shared" ref="L52:L66" ca="1" si="80">ABS(C52/G52*H52)</f>
        <v>9.1231530248892193E-3</v>
      </c>
      <c r="M52" s="86">
        <f ca="1">IF(VLOOKUP(CONCATENATE(B49,".5"),'Resultados - 1'!$A$10:$BL$156,42,FALSE)=1,1,VLOOKUP(CONCATENATE(B49,".5"),'Resultados - 1'!$A$10:$BL$156,42,FALSE)-1)</f>
        <v>9</v>
      </c>
      <c r="N52" s="96">
        <f t="shared" ref="N52" ca="1" si="81">ABS(L52/L70%)</f>
        <v>5.9120824910565251</v>
      </c>
      <c r="O52" s="97"/>
      <c r="P52" s="86" t="s">
        <v>328</v>
      </c>
      <c r="Q52" s="86">
        <f t="shared" ref="Q52" ca="1" si="82">Q50-Q51</f>
        <v>5.5504809082229656E-11</v>
      </c>
      <c r="R52" s="87"/>
      <c r="S52" s="87"/>
      <c r="T52" s="87" t="s">
        <v>387</v>
      </c>
      <c r="U52" s="87">
        <f ca="1">VLOOKUP(CONCATENATE(B49,".20"),'Resultados - 1'!$A$10:$BL$156,26,FALSE)</f>
        <v>1.0029257535080716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- 1'!$A$10:$BL$156,37,FALSE)</f>
        <v>3.0000000000000001E-5</v>
      </c>
      <c r="D53" s="86" t="str">
        <f ca="1">VLOOKUP(CONCATENATE(B49,".9"),'Resultados - 1'!$A$10:$BL$156,34,FALSE)</f>
        <v>g</v>
      </c>
      <c r="E53" s="86" t="s">
        <v>323</v>
      </c>
      <c r="F53" s="86" t="str">
        <f t="shared" ref="F53:F54" ca="1" si="83">IF(G53=2,"N","Ts")</f>
        <v>N</v>
      </c>
      <c r="G53" s="86">
        <f ca="1">VLOOKUP(CONCATENATE(B49,".9"),'Resultados - 1'!$A$10:$BL$156,38,FALSE)</f>
        <v>2</v>
      </c>
      <c r="H53" s="86">
        <f ca="1">(VLOOKUP(CONCATENATE(B49,".20"),'Resultados - 1'!$A$10:$BL$156,29,FALSE)/T65)*T68</f>
        <v>1002.7393955335049</v>
      </c>
      <c r="I53" s="86" t="str">
        <f t="shared" ca="1" si="78"/>
        <v>g</v>
      </c>
      <c r="J53" s="94" t="s">
        <v>325</v>
      </c>
      <c r="K53" s="86" t="str">
        <f t="shared" ref="K53:K112" si="84">K52</f>
        <v>µL</v>
      </c>
      <c r="L53" s="95">
        <f t="shared" ca="1" si="80"/>
        <v>1.5041090933002573E-2</v>
      </c>
      <c r="M53" s="86">
        <f ca="1">VLOOKUP(CONCATENATE(B49,".9"),'Resultados - 1'!$A$10:$BL$156,39,FALSE)</f>
        <v>1000000</v>
      </c>
      <c r="N53" s="96">
        <f t="shared" ref="N53" ca="1" si="85">ABS(L53/L70%)</f>
        <v>9.7470874497880455</v>
      </c>
      <c r="O53" s="97"/>
      <c r="P53" s="86" t="s">
        <v>332</v>
      </c>
      <c r="Q53" s="86">
        <f t="shared" ref="Q53" ca="1" si="86">ABS(Q52/ Q51) * 100</f>
        <v>5.5659021194574578E-8</v>
      </c>
      <c r="R53" s="87"/>
      <c r="T53" s="87" t="s">
        <v>388</v>
      </c>
      <c r="U53" s="87">
        <f ca="1">VLOOKUP(CONCATENATE(B49,".20"),'Resultados - 1'!$A$10:$BL$156,27,FALSE)</f>
        <v>0.99985917933542434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- 1'!$A$10:$BL$156,61,FALSE)</f>
        <v>0.1</v>
      </c>
      <c r="D54" s="86" t="s">
        <v>126</v>
      </c>
      <c r="E54" s="86" t="s">
        <v>323</v>
      </c>
      <c r="F54" s="86" t="str">
        <f t="shared" ca="1" si="83"/>
        <v>N</v>
      </c>
      <c r="G54" s="86">
        <f ca="1">VLOOKUP(CONCATENATE(B49,".9"),'Resultados - 1'!$A$10:$BL$156,62,FALSE)</f>
        <v>2</v>
      </c>
      <c r="H54" s="86">
        <f t="shared" ref="H54" ca="1" si="87">(ABS(U55*U52*U53*(-U54)))/T65</f>
        <v>0.44877339895272456</v>
      </c>
      <c r="I54" s="86" t="str">
        <f t="shared" si="78"/>
        <v>°C</v>
      </c>
      <c r="J54" s="94" t="s">
        <v>325</v>
      </c>
      <c r="K54" s="86" t="str">
        <f t="shared" si="84"/>
        <v>µL</v>
      </c>
      <c r="L54" s="95">
        <f t="shared" ca="1" si="80"/>
        <v>2.2438669947636228E-2</v>
      </c>
      <c r="M54" s="86">
        <f ca="1">VLOOKUP(CONCATENATE(B49,".9"),'Resultados - 1'!$A$10:$BL$156,63,FALSE)</f>
        <v>1000000</v>
      </c>
      <c r="N54" s="96">
        <f t="shared" ref="N54" ca="1" si="88">ABS(L54/L70%)</f>
        <v>14.540945148908891</v>
      </c>
      <c r="O54" s="85"/>
      <c r="P54" s="86" t="s">
        <v>335</v>
      </c>
      <c r="Q54" s="86">
        <f t="shared" ref="Q54" ca="1" si="89">IF(Q50=0,0,IF(Q53&lt;=5,ROUND(Q50,Q55),ROUNDUP(Q50,Q55)))</f>
        <v>9.9722934299999996E-2</v>
      </c>
      <c r="R54" s="87"/>
      <c r="T54" s="113" t="s">
        <v>392</v>
      </c>
      <c r="U54" s="87">
        <f>'Resultados - 1'!$AU$7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- 1'!$A$10:$BL$156,36,FALSE)</f>
        <v>9.9999999996214228E-6</v>
      </c>
      <c r="D55" s="86" t="str">
        <f t="shared" ref="D55" ca="1" si="90">D53</f>
        <v>g</v>
      </c>
      <c r="E55" s="86" t="s">
        <v>323</v>
      </c>
      <c r="F55" s="86" t="s">
        <v>331</v>
      </c>
      <c r="G55" s="86">
        <f t="shared" ref="G55:G106" si="91">SQRT(3)</f>
        <v>1.7320508075688772</v>
      </c>
      <c r="H55" s="86">
        <f t="shared" ref="H55:H58" ca="1" si="92">H53</f>
        <v>1002.7393955335049</v>
      </c>
      <c r="I55" s="86" t="str">
        <f t="shared" ca="1" si="78"/>
        <v>g</v>
      </c>
      <c r="J55" s="94" t="s">
        <v>325</v>
      </c>
      <c r="K55" s="86" t="str">
        <f t="shared" si="84"/>
        <v>µL</v>
      </c>
      <c r="L55" s="95">
        <f t="shared" ca="1" si="80"/>
        <v>5.7893185991639467E-3</v>
      </c>
      <c r="M55" s="86">
        <v>1000000</v>
      </c>
      <c r="N55" s="96">
        <f t="shared" ref="N55" ca="1" si="93">ABS(L55/L70%)</f>
        <v>3.7516557084912723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- 1'!$A$10:$BL$156,41,FALSE)</f>
        <v>0.99450499999999997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- 1'!$A$10:$BL$156,49,FALSE)</f>
        <v>0.10000000000000142</v>
      </c>
      <c r="D56" s="86" t="s">
        <v>126</v>
      </c>
      <c r="E56" s="86" t="s">
        <v>323</v>
      </c>
      <c r="F56" s="86" t="s">
        <v>331</v>
      </c>
      <c r="G56" s="86">
        <f t="shared" si="91"/>
        <v>1.7320508075688772</v>
      </c>
      <c r="H56" s="86">
        <f t="shared" ca="1" si="92"/>
        <v>0.44877339895272456</v>
      </c>
      <c r="I56" s="86" t="str">
        <f t="shared" si="78"/>
        <v>°C</v>
      </c>
      <c r="J56" s="94" t="s">
        <v>325</v>
      </c>
      <c r="K56" s="86" t="str">
        <f t="shared" si="84"/>
        <v>µL</v>
      </c>
      <c r="L56" s="95">
        <f t="shared" ca="1" si="80"/>
        <v>2.5909944269050255E-2</v>
      </c>
      <c r="M56" s="86">
        <v>1000000</v>
      </c>
      <c r="N56" s="96">
        <f t="shared" ref="N56" ca="1" si="94">ABS(L56/L70%)</f>
        <v>16.790437191988502</v>
      </c>
      <c r="O56" s="97"/>
      <c r="P56" s="86" t="s">
        <v>341</v>
      </c>
      <c r="Q56" s="86">
        <f t="shared" ref="Q56" ca="1" si="95">IF(Q55&lt;1-INT(LOG10(L68))-1,TRUNC(L68,1-INT(LOG10(L68))-1),TRUNC(L68, Q55))</f>
        <v>0.10031295329999999</v>
      </c>
      <c r="R56" s="87"/>
      <c r="T56" s="87" t="s">
        <v>389</v>
      </c>
      <c r="U56" s="87">
        <f ca="1">VLOOKUP(CONCATENATE(B49,".20"),'Resultados - 1'!$A$10:$BL$156,28,FALSE)</f>
        <v>0.99995500000000015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- 1'!$A$10:$BL$156,33,FALSE)</f>
        <v>9.9999999996214228E-6</v>
      </c>
      <c r="D57" s="86" t="str">
        <f t="shared" ref="D57" ca="1" si="96">D55</f>
        <v>g</v>
      </c>
      <c r="E57" s="86" t="s">
        <v>323</v>
      </c>
      <c r="F57" s="86" t="s">
        <v>331</v>
      </c>
      <c r="G57" s="86">
        <f t="shared" si="91"/>
        <v>1.7320508075688772</v>
      </c>
      <c r="H57" s="99">
        <f t="shared" ca="1" si="92"/>
        <v>1002.7393955335049</v>
      </c>
      <c r="I57" s="86" t="str">
        <f t="shared" ca="1" si="78"/>
        <v>g</v>
      </c>
      <c r="J57" s="94" t="s">
        <v>325</v>
      </c>
      <c r="K57" s="86" t="str">
        <f t="shared" si="84"/>
        <v>µL</v>
      </c>
      <c r="L57" s="95">
        <f t="shared" ca="1" si="80"/>
        <v>5.7893185991639467E-3</v>
      </c>
      <c r="M57" s="86">
        <v>1000000</v>
      </c>
      <c r="N57" s="96">
        <f t="shared" ref="N57" ca="1" si="97">ABS(L57/L70%)</f>
        <v>3.7516557084912723</v>
      </c>
      <c r="O57" s="97"/>
      <c r="P57" s="86" t="s">
        <v>328</v>
      </c>
      <c r="Q57" s="86">
        <f t="shared" ref="Q57" ca="1" si="98">L68-Q56</f>
        <v>8.8723750568675541E-12</v>
      </c>
      <c r="R57" s="87"/>
      <c r="T57" s="87" t="s">
        <v>424</v>
      </c>
      <c r="U57" s="87">
        <f>'Resultados - 1'!$AU$6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- 1'!$A$10:$BL$156,50,FALSE)</f>
        <v>3.5374328320040616E-2</v>
      </c>
      <c r="D58" s="86" t="s">
        <v>126</v>
      </c>
      <c r="E58" s="86" t="s">
        <v>323</v>
      </c>
      <c r="F58" s="86" t="s">
        <v>331</v>
      </c>
      <c r="G58" s="86">
        <f t="shared" si="91"/>
        <v>1.7320508075688772</v>
      </c>
      <c r="H58" s="99">
        <f t="shared" ca="1" si="92"/>
        <v>0.44877339895272456</v>
      </c>
      <c r="I58" s="86" t="str">
        <f t="shared" si="78"/>
        <v>°C</v>
      </c>
      <c r="J58" s="94" t="s">
        <v>325</v>
      </c>
      <c r="K58" s="86" t="str">
        <f t="shared" si="84"/>
        <v>µL</v>
      </c>
      <c r="L58" s="95">
        <f t="shared" ca="1" si="80"/>
        <v>9.1654687532732541E-3</v>
      </c>
      <c r="M58" s="86">
        <f ca="1">VLOOKUP(CONCATENATE(B49,".9"),'Resultados - 1'!$A$10:$BL$156,51,FALSE)</f>
        <v>3</v>
      </c>
      <c r="N58" s="96">
        <f t="shared" ref="N58" ca="1" si="99">ABS(L58/L70%)</f>
        <v>5.9395043786641368</v>
      </c>
      <c r="O58" s="100"/>
      <c r="P58" s="86" t="s">
        <v>332</v>
      </c>
      <c r="Q58" s="86">
        <f t="shared" ref="Q58" ca="1" si="100">ABS(Q57/ Q56) * 100</f>
        <v>8.8446952910791776E-9</v>
      </c>
      <c r="R58" s="87"/>
      <c r="T58" s="87" t="s">
        <v>426</v>
      </c>
      <c r="U58" s="87">
        <f ca="1">VLOOKUP(CONCATENATE(B49,".20"),'Resultados - 1'!$A$10:$BL$156,43,FALSE)</f>
        <v>0.9981811827377205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 t="shared" ref="F59" si="101">IF(G59=2,"N","Ts")</f>
        <v>N</v>
      </c>
      <c r="G59" s="86">
        <f>'Incerteza (Par)'!$N$24</f>
        <v>2</v>
      </c>
      <c r="H59" s="99">
        <f t="shared" ref="H59" ca="1" si="102">(U55*U56*U52*U52*(U53-1/U57))/T65</f>
        <v>871.90495762259548</v>
      </c>
      <c r="I59" s="86" t="str">
        <f t="shared" si="78"/>
        <v>g/cm³</v>
      </c>
      <c r="J59" s="94" t="s">
        <v>325</v>
      </c>
      <c r="K59" s="86" t="str">
        <f t="shared" si="84"/>
        <v>µL</v>
      </c>
      <c r="L59" s="95">
        <f t="shared" ca="1" si="80"/>
        <v>4.7954772669242746E-3</v>
      </c>
      <c r="M59" s="86">
        <v>1000000</v>
      </c>
      <c r="N59" s="96">
        <f t="shared" ref="N59" ca="1" si="103">ABS(L59/L70%)</f>
        <v>3.1076160959589809</v>
      </c>
      <c r="O59" s="97"/>
      <c r="P59" s="86" t="s">
        <v>348</v>
      </c>
      <c r="Q59" s="86" t="str">
        <f t="shared" ref="Q59" ca="1" si="104">IF((IF(Q58&lt;= 5,ROUND(L68,Q55),ROUNDUP(L68,Q55)))&lt;Q54,FIXED(Q54,Q55),FIXED(IF(Q58 &lt;= 5,ROUND(L68,Q55),ROUNDUP(L68,Q55)),Q55))</f>
        <v>0,1003129533</v>
      </c>
      <c r="R59" s="87"/>
      <c r="T59" s="87" t="s">
        <v>386</v>
      </c>
      <c r="U59" s="87">
        <f>'Resultados - 1'!$AU$5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 t="shared" ref="C60" si="105"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91"/>
        <v>1.7320508075688772</v>
      </c>
      <c r="H60" s="94">
        <f t="shared" ref="H60" ca="1" si="106">((U55/(U58-U59))*U53*U56)/T65</f>
        <v>997.22934255504799</v>
      </c>
      <c r="I60" s="86" t="str">
        <f t="shared" si="78"/>
        <v>g/ml</v>
      </c>
      <c r="J60" s="94" t="s">
        <v>325</v>
      </c>
      <c r="K60" s="86" t="str">
        <f t="shared" si="84"/>
        <v>µL</v>
      </c>
      <c r="L60" s="95">
        <f t="shared" ca="1" si="80"/>
        <v>2.0727022657246214E-2</v>
      </c>
      <c r="M60" s="86">
        <v>1000000</v>
      </c>
      <c r="N60" s="96">
        <f t="shared" ref="N60" ca="1" si="107">ABS(L60/L70%)</f>
        <v>13.431745297851693</v>
      </c>
      <c r="O60" s="97"/>
      <c r="P60" s="86" t="s">
        <v>351</v>
      </c>
      <c r="Q60" s="86" t="str">
        <f t="shared" ref="Q60" ca="1" si="108">ArredSig(Q59,2)</f>
        <v>0,10</v>
      </c>
      <c r="R60" s="87"/>
      <c r="T60" s="87" t="s">
        <v>385</v>
      </c>
      <c r="U60" s="87">
        <f ca="1">VLOOKUP(CONCATENATE(B49,".20"),'Resultados - 1'!$A$10:$BL$156,44,FALSE)</f>
        <v>20.099999999999998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t="shared" ref="H61" ca="1" si="109">(U55*U52*(U59/U57^2)*U56)/T65</f>
        <v>1.8006445776184595E-2</v>
      </c>
      <c r="I61" s="86" t="str">
        <f t="shared" si="78"/>
        <v>g/cm³</v>
      </c>
      <c r="J61" s="94" t="s">
        <v>325</v>
      </c>
      <c r="K61" s="86" t="str">
        <f t="shared" si="84"/>
        <v>µL</v>
      </c>
      <c r="L61" s="95">
        <f t="shared" ca="1" si="80"/>
        <v>1.2604512043329218E-3</v>
      </c>
      <c r="M61" s="86">
        <v>1000000</v>
      </c>
      <c r="N61" s="96">
        <f t="shared" ref="N61" ca="1" si="110">ABS(L61/L70%)</f>
        <v>0.81681097265802616</v>
      </c>
      <c r="O61" s="85"/>
      <c r="P61" s="86" t="s">
        <v>354</v>
      </c>
      <c r="Q61" s="86" t="str">
        <f t="shared" ref="Q61" ca="1" si="111">IF((OR(Q64=2,Q64&gt;2)),Q60,Q59)</f>
        <v>0,10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- 1'!$A$10:$BL$156,32,FALSE)</f>
        <v>1.0000000000000001E-5</v>
      </c>
      <c r="D62" s="86" t="str">
        <f t="shared" ref="D62:D63" ca="1" si="112">D57</f>
        <v>g</v>
      </c>
      <c r="E62" s="86" t="s">
        <v>323</v>
      </c>
      <c r="F62" s="86" t="s">
        <v>331</v>
      </c>
      <c r="G62" s="86">
        <f t="shared" ref="G62:G63" si="113">SQRT(12)</f>
        <v>3.4641016151377544</v>
      </c>
      <c r="H62" s="94">
        <f t="shared" ref="H62" ca="1" si="114">H53</f>
        <v>1002.7393955335049</v>
      </c>
      <c r="I62" s="86" t="str">
        <f t="shared" ca="1" si="78"/>
        <v>g</v>
      </c>
      <c r="J62" s="94" t="s">
        <v>325</v>
      </c>
      <c r="K62" s="86" t="str">
        <f t="shared" si="84"/>
        <v>µL</v>
      </c>
      <c r="L62" s="95">
        <f t="shared" ca="1" si="80"/>
        <v>2.8946592996915588E-3</v>
      </c>
      <c r="M62" s="86">
        <v>1000000</v>
      </c>
      <c r="N62" s="96">
        <f t="shared" ref="N62" ca="1" si="115">ABS(L62/L70%)</f>
        <v>1.8758278543166509</v>
      </c>
      <c r="O62" s="85"/>
      <c r="P62" s="86" t="s">
        <v>357</v>
      </c>
      <c r="Q62" s="86">
        <f t="shared" ref="Q62" ca="1" si="116">1-INT(LOG10(Q60))-1</f>
        <v>1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- 1'!$A$10:$BL$156,47,FALSE)</f>
        <v>0.1</v>
      </c>
      <c r="D63" s="86" t="str">
        <f t="shared" si="112"/>
        <v>°C</v>
      </c>
      <c r="E63" s="86" t="s">
        <v>323</v>
      </c>
      <c r="F63" s="86" t="s">
        <v>331</v>
      </c>
      <c r="G63" s="86">
        <f t="shared" si="113"/>
        <v>3.4641016151377544</v>
      </c>
      <c r="H63" s="94">
        <f t="shared" ref="H63" ca="1" si="117">H58</f>
        <v>0.44877339895272456</v>
      </c>
      <c r="I63" s="86" t="str">
        <f t="shared" si="78"/>
        <v>°C</v>
      </c>
      <c r="J63" s="94" t="s">
        <v>325</v>
      </c>
      <c r="K63" s="86" t="str">
        <f t="shared" si="84"/>
        <v>µL</v>
      </c>
      <c r="L63" s="95">
        <f t="shared" ca="1" si="80"/>
        <v>1.2954972134524944E-2</v>
      </c>
      <c r="M63" s="86">
        <v>1000000</v>
      </c>
      <c r="N63" s="96">
        <f t="shared" ref="N63" ca="1" si="118">ABS(L63/L70%)</f>
        <v>8.3952185959941321</v>
      </c>
      <c r="O63" s="85"/>
      <c r="P63" s="86" t="s">
        <v>360</v>
      </c>
      <c r="Q63" s="86">
        <f t="shared" ref="Q63" ca="1" si="119">IF(LEN(Q59)=1,0,LEN(Q59)-2)</f>
        <v>10</v>
      </c>
      <c r="R63" s="87"/>
      <c r="T63" s="86" t="s">
        <v>80</v>
      </c>
      <c r="U63" s="86" t="str">
        <f t="shared" ref="U63" si="120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112" si="121">SQRT(3)</f>
        <v>1.7320508075688772</v>
      </c>
      <c r="H64" s="99">
        <f t="shared" ref="H64" ca="1" si="122">(ABS(U55*U52*U53*(U60-20)))/T65</f>
        <v>99.727421989492214</v>
      </c>
      <c r="I64" s="86" t="str">
        <f t="shared" si="78"/>
        <v>°C-¹</v>
      </c>
      <c r="J64" s="94" t="s">
        <v>325</v>
      </c>
      <c r="K64" s="86" t="str">
        <f t="shared" si="84"/>
        <v>µL</v>
      </c>
      <c r="L64" s="95">
        <f t="shared" ca="1" si="80"/>
        <v>2.8788826965610373E-3</v>
      </c>
      <c r="M64" s="86">
        <v>1000000</v>
      </c>
      <c r="N64" s="96">
        <f t="shared" ref="N64" ca="1" si="123">ABS(L64/L70%)</f>
        <v>1.8656041324431007</v>
      </c>
      <c r="O64" s="85"/>
      <c r="P64" s="86" t="s">
        <v>364</v>
      </c>
      <c r="Q64" s="86">
        <f t="shared" ref="Q64" ca="1" si="124">Q63-Q62</f>
        <v>9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- 1'!$A$10:$BL$156,43,FALSE)</f>
        <v>2.7000000000000001E-3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- 1'!$A$10:$BL$156,44,FALSE)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21"/>
        <v>1.7320508075688772</v>
      </c>
      <c r="H65" s="94">
        <f t="shared" ref="H65" ca="1" si="125">H56</f>
        <v>0.44877339895272456</v>
      </c>
      <c r="I65" s="86" t="str">
        <f t="shared" si="78"/>
        <v>°C</v>
      </c>
      <c r="J65" s="94" t="s">
        <v>325</v>
      </c>
      <c r="K65" s="86" t="str">
        <f t="shared" si="84"/>
        <v>µL</v>
      </c>
      <c r="L65" s="95">
        <f t="shared" ca="1" si="80"/>
        <v>0</v>
      </c>
      <c r="M65" s="86">
        <v>1000000</v>
      </c>
      <c r="N65" s="96">
        <f t="shared" ref="N65" ca="1" si="126">ABS(L65/L70%)</f>
        <v>0</v>
      </c>
      <c r="O65" s="101"/>
      <c r="P65" s="86" t="s">
        <v>367</v>
      </c>
      <c r="Q65" s="86">
        <f t="shared" ref="Q65" ca="1" si="127">IF(Q62=Q63,Q63,Q62+1)</f>
        <v>2</v>
      </c>
      <c r="R65" s="101"/>
      <c r="T65" s="115">
        <f t="shared" ref="T65" si="128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t="shared" ref="C66" ca="1" si="129">V67*V64%</f>
        <v>2.6925192248986301E-2</v>
      </c>
      <c r="D66" s="86" t="str">
        <f t="shared" ref="D66" si="130">D52</f>
        <v>µL</v>
      </c>
      <c r="E66" s="86" t="s">
        <v>323</v>
      </c>
      <c r="F66" s="86" t="s">
        <v>331</v>
      </c>
      <c r="G66" s="86">
        <f t="shared" si="121"/>
        <v>1.7320508075688772</v>
      </c>
      <c r="H66" s="94">
        <v>1</v>
      </c>
      <c r="I66" s="86" t="str">
        <f t="shared" si="78"/>
        <v>µL</v>
      </c>
      <c r="J66" s="94" t="s">
        <v>325</v>
      </c>
      <c r="K66" s="86" t="str">
        <f t="shared" si="84"/>
        <v>µL</v>
      </c>
      <c r="L66" s="95">
        <f t="shared" ca="1" si="80"/>
        <v>1.5545266992934667E-2</v>
      </c>
      <c r="M66" s="86">
        <v>1000000</v>
      </c>
      <c r="N66" s="96">
        <f t="shared" ref="N66" ca="1" si="131">ABS(L66/L70%)</f>
        <v>10.073808973388775</v>
      </c>
      <c r="O66" s="101"/>
      <c r="P66" s="101"/>
      <c r="Q66" s="101"/>
      <c r="R66" s="101"/>
      <c r="T66" s="86" t="s">
        <v>272</v>
      </c>
      <c r="U66" s="86" t="str">
        <f t="shared" ref="U66" ca="1" si="132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33">K52</f>
        <v>µL</v>
      </c>
      <c r="J67" s="466"/>
      <c r="K67" s="467"/>
      <c r="L67" s="103">
        <f t="shared" ref="L67" ca="1" si="134">SQRT(SUMSQ(L52:L66))</f>
        <v>5.0156476654436184E-2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- 1'!$A$10:$BL$156,42,FALSE)</f>
        <v>997.22934255504811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 t="shared" ref="I68:I69" si="135">I67</f>
        <v>µL</v>
      </c>
      <c r="J68" s="458"/>
      <c r="K68" s="459"/>
      <c r="L68" s="106">
        <f t="shared" ref="L68" ca="1" si="136">(L67*N70)</f>
        <v>0.10031295330887237</v>
      </c>
      <c r="M68" s="473">
        <f t="shared" ref="M68" ca="1" si="137">IF(AND(C52=0,C58=0,C53=0,C54=0),1000000,(L67^4)/(((L54^4)/M54)+((L52^4)/M52)+((L58^4)/M58)+((L53^4)/M53)))</f>
        <v>2026.8672728366666</v>
      </c>
      <c r="N68" s="474"/>
      <c r="O68" s="101"/>
      <c r="P68" s="101"/>
      <c r="Q68" s="101"/>
      <c r="R68" s="101"/>
      <c r="T68" s="115">
        <f t="shared" ref="T68" ca="1" si="138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 t="shared" si="135"/>
        <v>µL</v>
      </c>
      <c r="J69" s="458"/>
      <c r="K69" s="459"/>
      <c r="L69" s="106" t="str">
        <f t="shared" ref="L69" ca="1" si="139">FIXED(Q61,Q65)</f>
        <v>0,10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t="shared" ref="K70" ca="1" si="140">SUM(N52:N66)</f>
        <v>100.00000000000001</v>
      </c>
      <c r="L70" s="87">
        <f t="shared" ref="L70" ca="1" si="141">SUM(L52:L66)</f>
        <v>0.15431369637839504</v>
      </c>
      <c r="M70" s="108" t="s">
        <v>378</v>
      </c>
      <c r="N70" s="109">
        <f t="shared" ref="N70" ca="1" si="142">IF(M68&gt;1000000,2,ROUND(TINV(1-(95.45/100),M68),2))</f>
        <v>2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 t="shared" ref="B72" si="143"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- 1'!$A$10:$BL$156,41,FALSE)</f>
        <v>#N/A</v>
      </c>
      <c r="R73" s="87"/>
      <c r="S73" s="86">
        <f t="shared" ref="S73" si="144">B72</f>
        <v>4</v>
      </c>
      <c r="T73" s="86" t="e">
        <f t="shared" ref="T73" ca="1" si="145">L92</f>
        <v>#VALUE!</v>
      </c>
      <c r="U73" s="114" t="e">
        <f t="shared" ref="U73" ca="1" si="146">FIXED(N93,2)</f>
        <v>#VALUE!</v>
      </c>
      <c r="V73" s="116" t="e">
        <f t="shared" ref="V73" ca="1" si="147">IF(M91&gt;=1000,"∞",FIXED(M91,0,TRUE))</f>
        <v>#VALUE!</v>
      </c>
      <c r="W73" s="88" t="e">
        <f t="shared" ref="W73" ca="1" si="148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 t="shared" ref="Q74" si="149"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- 1'!$A$10:$BL$156,42,FALSE)</f>
        <v>0</v>
      </c>
      <c r="D75" s="86" t="str">
        <f>VLOOKUP(CONCATENATE(B72,".3"),'Resultados - 1'!$A$10:$BL$156,7,FALSE)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 t="shared" ref="I75:I89" si="150">D75</f>
        <v>µL</v>
      </c>
      <c r="J75" s="94" t="s">
        <v>325</v>
      </c>
      <c r="K75" s="86" t="str">
        <f t="shared" ref="K75" si="151">D75</f>
        <v>µL</v>
      </c>
      <c r="L75" s="95">
        <f t="shared" ref="L75:L89" si="152">ABS(C75/G75*H75)</f>
        <v>0</v>
      </c>
      <c r="M75" s="86">
        <f>IF(VLOOKUP(CONCATENATE(B72,".5"),'Resultados - 1'!$A$10:$BL$156,42,FALSE)=1,1,VLOOKUP(CONCATENATE(B72,".5"),'Resultados - 1'!$A$10:$BL$156,42,FALSE)-1)</f>
        <v>-1</v>
      </c>
      <c r="N75" s="96" t="e">
        <f t="shared" ref="N75" ca="1" si="153">ABS(L75/L93%)</f>
        <v>#VALUE!</v>
      </c>
      <c r="O75" s="97"/>
      <c r="P75" s="86" t="s">
        <v>328</v>
      </c>
      <c r="Q75" s="86" t="e">
        <f t="shared" ref="Q75" si="154">Q73-Q74</f>
        <v>#N/A</v>
      </c>
      <c r="R75" s="87"/>
      <c r="S75" s="87"/>
      <c r="T75" s="87" t="s">
        <v>387</v>
      </c>
      <c r="U75" s="87" t="str">
        <f>VLOOKUP(CONCATENATE(B72,".20"),'Resultados - 1'!$A$10:$BL$156,26,FALSE)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- 1'!$A$10:$BL$156,37,FALSE)</f>
        <v>3.0000000000000001E-5</v>
      </c>
      <c r="D76" s="86" t="str">
        <f ca="1">VLOOKUP(CONCATENATE(B72,".9"),'Resultados - 1'!$A$10:$BL$156,34,FALSE)</f>
        <v>g</v>
      </c>
      <c r="E76" s="86" t="s">
        <v>323</v>
      </c>
      <c r="F76" s="86" t="str">
        <f t="shared" ref="F76:F77" ca="1" si="155">IF(G76=2,"N","Ts")</f>
        <v>N</v>
      </c>
      <c r="G76" s="86">
        <f ca="1">VLOOKUP(CONCATENATE(B72,".9"),'Resultados - 1'!$A$10:$BL$156,38,FALSE)</f>
        <v>2</v>
      </c>
      <c r="H76" s="86" t="e">
        <f ca="1">(VLOOKUP(CONCATENATE(B72,".20"),'Resultados - 1'!$A$10:$BL$156,29,FALSE)/T88)*T91</f>
        <v>#VALUE!</v>
      </c>
      <c r="I76" s="86" t="str">
        <f t="shared" ca="1" si="150"/>
        <v>g</v>
      </c>
      <c r="J76" s="94" t="s">
        <v>325</v>
      </c>
      <c r="K76" s="86" t="str">
        <f t="shared" si="84"/>
        <v>µL</v>
      </c>
      <c r="L76" s="95" t="e">
        <f t="shared" ca="1" si="152"/>
        <v>#VALUE!</v>
      </c>
      <c r="M76" s="86">
        <f ca="1">VLOOKUP(CONCATENATE(B72,".9"),'Resultados - 1'!$A$10:$BL$156,39,FALSE)</f>
        <v>1000000</v>
      </c>
      <c r="N76" s="96" t="e">
        <f t="shared" ref="N76" ca="1" si="156">ABS(L76/L93%)</f>
        <v>#VALUE!</v>
      </c>
      <c r="O76" s="97"/>
      <c r="P76" s="86" t="s">
        <v>332</v>
      </c>
      <c r="Q76" s="86" t="e">
        <f t="shared" ref="Q76" si="157">ABS(Q75/ Q74) * 100</f>
        <v>#N/A</v>
      </c>
      <c r="R76" s="87"/>
      <c r="T76" s="87" t="s">
        <v>388</v>
      </c>
      <c r="U76" s="87" t="str">
        <f>VLOOKUP(CONCATENATE(B72,".20"),'Resultados - 1'!$A$10:$BL$156,27,FALSE)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- 1'!$A$10:$BL$156,61,FALSE)</f>
        <v/>
      </c>
      <c r="D77" s="86" t="s">
        <v>126</v>
      </c>
      <c r="E77" s="86" t="s">
        <v>323</v>
      </c>
      <c r="F77" s="86" t="str">
        <f t="shared" si="155"/>
        <v>Ts</v>
      </c>
      <c r="G77" s="86" t="str">
        <f>VLOOKUP(CONCATENATE(B72,".9"),'Resultados - 1'!$A$10:$BL$156,62,FALSE)</f>
        <v/>
      </c>
      <c r="H77" s="86" t="e">
        <f t="shared" ref="H77" si="158">(ABS(U78*U75*U76*(-U77)))/T88</f>
        <v>#VALUE!</v>
      </c>
      <c r="I77" s="86" t="str">
        <f t="shared" si="150"/>
        <v>°C</v>
      </c>
      <c r="J77" s="94" t="s">
        <v>325</v>
      </c>
      <c r="K77" s="86" t="str">
        <f t="shared" si="84"/>
        <v>µL</v>
      </c>
      <c r="L77" s="95" t="e">
        <f t="shared" si="152"/>
        <v>#VALUE!</v>
      </c>
      <c r="M77" s="86" t="str">
        <f>VLOOKUP(CONCATENATE(B72,".9"),'Resultados - 1'!$A$10:$BL$156,63,FALSE)</f>
        <v/>
      </c>
      <c r="N77" s="96" t="e">
        <f t="shared" ref="N77" ca="1" si="159">ABS(L77/L93%)</f>
        <v>#VALUE!</v>
      </c>
      <c r="O77" s="85"/>
      <c r="P77" s="86" t="s">
        <v>335</v>
      </c>
      <c r="Q77" s="86" t="e">
        <f t="shared" ref="Q77" si="160">IF(Q73=0,0,IF(Q76&lt;=5,ROUND(Q73,Q78),ROUNDUP(Q73,Q78)))</f>
        <v>#N/A</v>
      </c>
      <c r="R77" s="87"/>
      <c r="T77" s="113" t="s">
        <v>392</v>
      </c>
      <c r="U77" s="87">
        <f>'Resultados - 1'!$AU$7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- 1'!$A$10:$BL$156,36,FALSE)</f>
        <v>9.9999999996214228E-6</v>
      </c>
      <c r="D78" s="86" t="str">
        <f t="shared" ref="D78" ca="1" si="161">D76</f>
        <v>g</v>
      </c>
      <c r="E78" s="86" t="s">
        <v>323</v>
      </c>
      <c r="F78" s="86" t="s">
        <v>331</v>
      </c>
      <c r="G78" s="86">
        <f t="shared" ref="G78:G79" si="162">SQRT(3)</f>
        <v>1.7320508075688772</v>
      </c>
      <c r="H78" s="86" t="e">
        <f t="shared" ref="H78:H81" ca="1" si="163">H76</f>
        <v>#VALUE!</v>
      </c>
      <c r="I78" s="86" t="str">
        <f t="shared" ca="1" si="150"/>
        <v>g</v>
      </c>
      <c r="J78" s="94" t="s">
        <v>325</v>
      </c>
      <c r="K78" s="86" t="str">
        <f t="shared" si="84"/>
        <v>µL</v>
      </c>
      <c r="L78" s="95" t="e">
        <f t="shared" ca="1" si="152"/>
        <v>#VALUE!</v>
      </c>
      <c r="M78" s="86">
        <v>1000000</v>
      </c>
      <c r="N78" s="96" t="e">
        <f t="shared" ref="N78" ca="1" si="164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- 1'!$A$10:$BL$156,49,FALSE)</f>
        <v/>
      </c>
      <c r="D79" s="86" t="s">
        <v>126</v>
      </c>
      <c r="E79" s="86" t="s">
        <v>323</v>
      </c>
      <c r="F79" s="86" t="s">
        <v>331</v>
      </c>
      <c r="G79" s="86">
        <f t="shared" si="162"/>
        <v>1.7320508075688772</v>
      </c>
      <c r="H79" s="86" t="e">
        <f t="shared" si="163"/>
        <v>#VALUE!</v>
      </c>
      <c r="I79" s="86" t="str">
        <f t="shared" si="150"/>
        <v>°C</v>
      </c>
      <c r="J79" s="94" t="s">
        <v>325</v>
      </c>
      <c r="K79" s="86" t="str">
        <f t="shared" si="84"/>
        <v>µL</v>
      </c>
      <c r="L79" s="95" t="e">
        <f t="shared" si="152"/>
        <v>#VALUE!</v>
      </c>
      <c r="M79" s="86">
        <v>1000000</v>
      </c>
      <c r="N79" s="96" t="e">
        <f t="shared" ref="N79" ca="1" si="165">ABS(L79/L93%)</f>
        <v>#VALUE!</v>
      </c>
      <c r="O79" s="97"/>
      <c r="P79" s="86" t="s">
        <v>341</v>
      </c>
      <c r="Q79" s="86" t="e">
        <f t="shared" ref="Q79" ca="1" si="166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- 1'!$A$10:$BL$156,33,FALSE)</f>
        <v>9.9999999996214228E-6</v>
      </c>
      <c r="D80" s="86" t="str">
        <f t="shared" ref="D80" ca="1" si="167">D78</f>
        <v>g</v>
      </c>
      <c r="E80" s="86" t="s">
        <v>323</v>
      </c>
      <c r="F80" s="86" t="s">
        <v>331</v>
      </c>
      <c r="G80" s="86">
        <f t="shared" si="91"/>
        <v>1.7320508075688772</v>
      </c>
      <c r="H80" s="99" t="e">
        <f t="shared" ca="1" si="163"/>
        <v>#VALUE!</v>
      </c>
      <c r="I80" s="86" t="str">
        <f t="shared" ca="1" si="150"/>
        <v>g</v>
      </c>
      <c r="J80" s="94" t="s">
        <v>325</v>
      </c>
      <c r="K80" s="86" t="str">
        <f t="shared" si="84"/>
        <v>µL</v>
      </c>
      <c r="L80" s="95" t="e">
        <f t="shared" ca="1" si="152"/>
        <v>#VALUE!</v>
      </c>
      <c r="M80" s="86">
        <v>1000000</v>
      </c>
      <c r="N80" s="96" t="e">
        <f t="shared" ref="N80" ca="1" si="168">ABS(L80/L93%)</f>
        <v>#VALUE!</v>
      </c>
      <c r="O80" s="97"/>
      <c r="P80" s="86" t="s">
        <v>328</v>
      </c>
      <c r="Q80" s="86" t="e">
        <f t="shared" ref="Q80" ca="1" si="169">L91-Q79</f>
        <v>#VALUE!</v>
      </c>
      <c r="R80" s="87"/>
      <c r="T80" s="87" t="s">
        <v>424</v>
      </c>
      <c r="U80" s="87">
        <f>'Resultados - 1'!$AU$6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- 1'!$A$10:$BL$156,50,FALSE)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91"/>
        <v>1.7320508075688772</v>
      </c>
      <c r="H81" s="99" t="e">
        <f t="shared" si="163"/>
        <v>#VALUE!</v>
      </c>
      <c r="I81" s="86" t="str">
        <f t="shared" si="150"/>
        <v>°C</v>
      </c>
      <c r="J81" s="94" t="s">
        <v>325</v>
      </c>
      <c r="K81" s="86" t="str">
        <f t="shared" si="84"/>
        <v>µL</v>
      </c>
      <c r="L81" s="95" t="e">
        <f t="shared" si="152"/>
        <v>#VALUE!</v>
      </c>
      <c r="M81" s="86" t="str">
        <f>VLOOKUP(CONCATENATE(B72,".9"),'Resultados - 1'!$A$10:$BL$156,51,FALSE)</f>
        <v/>
      </c>
      <c r="N81" s="96" t="e">
        <f t="shared" ref="N81" ca="1" si="170">ABS(L81/L93%)</f>
        <v>#VALUE!</v>
      </c>
      <c r="O81" s="100"/>
      <c r="P81" s="86" t="s">
        <v>332</v>
      </c>
      <c r="Q81" s="86" t="e">
        <f t="shared" ref="Q81" ca="1" si="171">ABS(Q80/ Q79) * 100</f>
        <v>#VALUE!</v>
      </c>
      <c r="R81" s="87"/>
      <c r="T81" s="87" t="s">
        <v>426</v>
      </c>
      <c r="U81" s="87" t="str">
        <f>VLOOKUP(CONCATENATE(B72,".20"),'Resultados - 1'!$A$10:$BL$156,43,FALSE)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 t="shared" ref="F82" si="172">IF(G82=2,"N","Ts")</f>
        <v>N</v>
      </c>
      <c r="G82" s="86">
        <f>'Incerteza (Par)'!$N$24</f>
        <v>2</v>
      </c>
      <c r="H82" s="99" t="e">
        <f t="shared" ref="H82" si="173">(U78*U79*U75*U75*(U76-1/U80))/T88</f>
        <v>#VALUE!</v>
      </c>
      <c r="I82" s="86" t="str">
        <f t="shared" si="150"/>
        <v>g/cm³</v>
      </c>
      <c r="J82" s="94" t="s">
        <v>325</v>
      </c>
      <c r="K82" s="86" t="str">
        <f t="shared" si="84"/>
        <v>µL</v>
      </c>
      <c r="L82" s="95" t="e">
        <f t="shared" ca="1" si="152"/>
        <v>#VALUE!</v>
      </c>
      <c r="M82" s="86">
        <v>1000000</v>
      </c>
      <c r="N82" s="96" t="e">
        <f t="shared" ref="N82" ca="1" si="174">ABS(L82/L93%)</f>
        <v>#VALUE!</v>
      </c>
      <c r="O82" s="97"/>
      <c r="P82" s="86" t="s">
        <v>348</v>
      </c>
      <c r="Q82" s="86" t="e">
        <f t="shared" ref="Q82" ca="1" si="175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- 1'!$AU$5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 t="shared" ref="C83" si="176"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91"/>
        <v>1.7320508075688772</v>
      </c>
      <c r="H83" s="94" t="e">
        <f t="shared" ref="H83" si="177">((U78/(U81-U82))*U76*U79)/T88</f>
        <v>#VALUE!</v>
      </c>
      <c r="I83" s="86" t="str">
        <f t="shared" si="150"/>
        <v>g/ml</v>
      </c>
      <c r="J83" s="94" t="s">
        <v>325</v>
      </c>
      <c r="K83" s="86" t="str">
        <f t="shared" si="84"/>
        <v>µL</v>
      </c>
      <c r="L83" s="95" t="e">
        <f t="shared" si="152"/>
        <v>#VALUE!</v>
      </c>
      <c r="M83" s="86">
        <v>1000000</v>
      </c>
      <c r="N83" s="96" t="e">
        <f t="shared" ref="N83" ca="1" si="178">ABS(L83/L93%)</f>
        <v>#VALUE!</v>
      </c>
      <c r="O83" s="97"/>
      <c r="P83" s="86" t="s">
        <v>351</v>
      </c>
      <c r="Q83" s="86" t="e">
        <f t="shared" ref="Q83" ca="1" si="179">ArredSig(Q82,2)</f>
        <v>#VALUE!</v>
      </c>
      <c r="R83" s="87"/>
      <c r="T83" s="87" t="s">
        <v>385</v>
      </c>
      <c r="U83" s="87" t="str">
        <f>VLOOKUP(CONCATENATE(B72,".20"),'Resultados - 1'!$A$10:$BL$156,44,FALSE)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 t="shared" ref="H84" si="180">(U78*U75*(U82/U80^2)*U79)/T88</f>
        <v>#VALUE!</v>
      </c>
      <c r="I84" s="86" t="str">
        <f t="shared" si="150"/>
        <v>g/cm³</v>
      </c>
      <c r="J84" s="94" t="s">
        <v>325</v>
      </c>
      <c r="K84" s="86" t="str">
        <f t="shared" si="84"/>
        <v>µL</v>
      </c>
      <c r="L84" s="95" t="e">
        <f t="shared" si="152"/>
        <v>#VALUE!</v>
      </c>
      <c r="M84" s="86">
        <v>1000000</v>
      </c>
      <c r="N84" s="96" t="e">
        <f t="shared" ref="N84" ca="1" si="181">ABS(L84/L93%)</f>
        <v>#VALUE!</v>
      </c>
      <c r="O84" s="85"/>
      <c r="P84" s="86" t="s">
        <v>354</v>
      </c>
      <c r="Q84" s="86" t="e">
        <f t="shared" ref="Q84" ca="1" si="182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- 1'!$A$10:$BL$156,32,FALSE)</f>
        <v>1.0000000000000001E-5</v>
      </c>
      <c r="D85" s="86" t="str">
        <f t="shared" ref="D85:D86" ca="1" si="183">D80</f>
        <v>g</v>
      </c>
      <c r="E85" s="86" t="s">
        <v>323</v>
      </c>
      <c r="F85" s="86" t="s">
        <v>331</v>
      </c>
      <c r="G85" s="86">
        <f t="shared" ref="G85:G86" si="184">SQRT(12)</f>
        <v>3.4641016151377544</v>
      </c>
      <c r="H85" s="94" t="e">
        <f t="shared" ref="H85" ca="1" si="185">H76</f>
        <v>#VALUE!</v>
      </c>
      <c r="I85" s="86" t="str">
        <f t="shared" ca="1" si="150"/>
        <v>g</v>
      </c>
      <c r="J85" s="94" t="s">
        <v>325</v>
      </c>
      <c r="K85" s="86" t="str">
        <f t="shared" si="84"/>
        <v>µL</v>
      </c>
      <c r="L85" s="95" t="e">
        <f t="shared" ca="1" si="152"/>
        <v>#VALUE!</v>
      </c>
      <c r="M85" s="86">
        <v>1000000</v>
      </c>
      <c r="N85" s="96" t="e">
        <f t="shared" ref="N85" ca="1" si="186">ABS(L85/L93%)</f>
        <v>#VALUE!</v>
      </c>
      <c r="O85" s="85"/>
      <c r="P85" s="86" t="s">
        <v>357</v>
      </c>
      <c r="Q85" s="86" t="e">
        <f t="shared" ref="Q85" ca="1" si="187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- 1'!$A$10:$BL$156,47,FALSE)</f>
        <v/>
      </c>
      <c r="D86" s="86" t="str">
        <f t="shared" si="183"/>
        <v>°C</v>
      </c>
      <c r="E86" s="86" t="s">
        <v>323</v>
      </c>
      <c r="F86" s="86" t="s">
        <v>331</v>
      </c>
      <c r="G86" s="86">
        <f t="shared" si="184"/>
        <v>3.4641016151377544</v>
      </c>
      <c r="H86" s="94" t="e">
        <f t="shared" ref="H86" si="188">H81</f>
        <v>#VALUE!</v>
      </c>
      <c r="I86" s="86" t="str">
        <f t="shared" si="150"/>
        <v>°C</v>
      </c>
      <c r="J86" s="94" t="s">
        <v>325</v>
      </c>
      <c r="K86" s="86" t="str">
        <f t="shared" si="84"/>
        <v>µL</v>
      </c>
      <c r="L86" s="95" t="e">
        <f t="shared" si="152"/>
        <v>#VALUE!</v>
      </c>
      <c r="M86" s="86">
        <v>1000000</v>
      </c>
      <c r="N86" s="96" t="e">
        <f t="shared" ref="N86" ca="1" si="189">ABS(L86/L93%)</f>
        <v>#VALUE!</v>
      </c>
      <c r="O86" s="85"/>
      <c r="P86" s="86" t="s">
        <v>360</v>
      </c>
      <c r="Q86" s="86" t="e">
        <f t="shared" ref="Q86" ca="1" si="190">IF(LEN(Q82)=1,0,LEN(Q82)-2)</f>
        <v>#VALUE!</v>
      </c>
      <c r="R86" s="87"/>
      <c r="T86" s="86" t="s">
        <v>80</v>
      </c>
      <c r="U86" s="86" t="str">
        <f t="shared" ref="U86" si="191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si="121"/>
        <v>1.7320508075688772</v>
      </c>
      <c r="H87" s="99" t="e">
        <f t="shared" ref="H87" si="192">(ABS(U78*U75*U76*(U83-20)))/T88</f>
        <v>#VALUE!</v>
      </c>
      <c r="I87" s="86" t="str">
        <f t="shared" si="150"/>
        <v>°C-¹</v>
      </c>
      <c r="J87" s="94" t="s">
        <v>325</v>
      </c>
      <c r="K87" s="86" t="str">
        <f t="shared" si="84"/>
        <v>µL</v>
      </c>
      <c r="L87" s="95" t="e">
        <f t="shared" si="152"/>
        <v>#VALUE!</v>
      </c>
      <c r="M87" s="86">
        <v>1000000</v>
      </c>
      <c r="N87" s="96" t="e">
        <f t="shared" ref="N87" ca="1" si="193">ABS(L87/L93%)</f>
        <v>#VALUE!</v>
      </c>
      <c r="O87" s="85"/>
      <c r="P87" s="86" t="s">
        <v>364</v>
      </c>
      <c r="Q87" s="86" t="e">
        <f t="shared" ref="Q87" ca="1" si="194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- 1'!$A$10:$BL$156,43,FALSE)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- 1'!$A$10:$BL$156,44,FALSE)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21"/>
        <v>1.7320508075688772</v>
      </c>
      <c r="H88" s="94" t="e">
        <f t="shared" ref="H88" si="195">H79</f>
        <v>#VALUE!</v>
      </c>
      <c r="I88" s="86" t="str">
        <f t="shared" si="150"/>
        <v>°C</v>
      </c>
      <c r="J88" s="94" t="s">
        <v>325</v>
      </c>
      <c r="K88" s="86" t="str">
        <f t="shared" si="84"/>
        <v>µL</v>
      </c>
      <c r="L88" s="95" t="e">
        <f t="shared" si="152"/>
        <v>#VALUE!</v>
      </c>
      <c r="M88" s="86">
        <v>1000000</v>
      </c>
      <c r="N88" s="96" t="e">
        <f t="shared" ref="N88" ca="1" si="196">ABS(L88/L93%)</f>
        <v>#VALUE!</v>
      </c>
      <c r="O88" s="101"/>
      <c r="P88" s="86" t="s">
        <v>367</v>
      </c>
      <c r="Q88" s="86" t="e">
        <f t="shared" ref="Q88" ca="1" si="197">IF(Q85=Q86,Q86,Q85+1)</f>
        <v>#VALUE!</v>
      </c>
      <c r="R88" s="101"/>
      <c r="T88" s="115">
        <f t="shared" ref="T88" si="198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 t="shared" ref="C89" si="199">V90*V87%</f>
        <v>#VALUE!</v>
      </c>
      <c r="D89" s="86" t="str">
        <f t="shared" ref="D89" si="200">D75</f>
        <v>µL</v>
      </c>
      <c r="E89" s="86" t="s">
        <v>323</v>
      </c>
      <c r="F89" s="86" t="s">
        <v>331</v>
      </c>
      <c r="G89" s="86">
        <f t="shared" si="121"/>
        <v>1.7320508075688772</v>
      </c>
      <c r="H89" s="94">
        <v>1</v>
      </c>
      <c r="I89" s="86" t="str">
        <f t="shared" si="150"/>
        <v>µL</v>
      </c>
      <c r="J89" s="94" t="s">
        <v>325</v>
      </c>
      <c r="K89" s="86" t="str">
        <f t="shared" si="84"/>
        <v>µL</v>
      </c>
      <c r="L89" s="95" t="e">
        <f t="shared" si="152"/>
        <v>#VALUE!</v>
      </c>
      <c r="M89" s="86">
        <v>1000000</v>
      </c>
      <c r="N89" s="96" t="e">
        <f t="shared" ref="N89" ca="1" si="201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202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203">K75</f>
        <v>µL</v>
      </c>
      <c r="J90" s="466"/>
      <c r="K90" s="467"/>
      <c r="L90" s="103" t="e">
        <f t="shared" ref="L90" ca="1" si="204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- 1'!$A$10:$BL$156,42,FALSE)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 t="shared" ref="I91:I92" si="205">I90</f>
        <v>µL</v>
      </c>
      <c r="J91" s="458"/>
      <c r="K91" s="459"/>
      <c r="L91" s="106" t="e">
        <f t="shared" ref="L91" ca="1" si="206">(L90*N93)</f>
        <v>#VALUE!</v>
      </c>
      <c r="M91" s="473" t="e">
        <f t="shared" ref="M91" ca="1" si="207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208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 t="shared" si="205"/>
        <v>µL</v>
      </c>
      <c r="J92" s="458"/>
      <c r="K92" s="459"/>
      <c r="L92" s="106" t="e">
        <f t="shared" ref="L92" ca="1" si="209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t="shared" ref="K93" ca="1" si="210">SUM(N75:N89)</f>
        <v>#VALUE!</v>
      </c>
      <c r="L93" s="87" t="e">
        <f t="shared" ref="L93" ca="1" si="211">SUM(L75:L89)</f>
        <v>#VALUE!</v>
      </c>
      <c r="M93" s="108" t="s">
        <v>378</v>
      </c>
      <c r="N93" s="109" t="e">
        <f t="shared" ref="N93" ca="1" si="212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 t="shared" ref="B95" si="213"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- 1'!$A$10:$BL$156,41,FALSE)</f>
        <v>#N/A</v>
      </c>
      <c r="R96" s="87"/>
      <c r="S96" s="86">
        <f t="shared" ref="S96" si="214">B95</f>
        <v>5</v>
      </c>
      <c r="T96" s="86" t="e">
        <f t="shared" ref="T96" ca="1" si="215">L115</f>
        <v>#VALUE!</v>
      </c>
      <c r="U96" s="114" t="e">
        <f t="shared" ref="U96" ca="1" si="216">FIXED(N116,2)</f>
        <v>#VALUE!</v>
      </c>
      <c r="V96" s="116" t="e">
        <f t="shared" ref="V96" ca="1" si="217">IF(M114&gt;=1000,"∞",FIXED(M114,0,TRUE))</f>
        <v>#VALUE!</v>
      </c>
      <c r="W96" s="88" t="e">
        <f t="shared" ref="W96" ca="1" si="218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 t="shared" ref="Q97" si="219"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- 1'!$A$10:$BL$156,42,FALSE)</f>
        <v>0</v>
      </c>
      <c r="D98" s="86" t="str">
        <f>VLOOKUP(CONCATENATE(B95,".3"),'Resultados - 1'!$A$10:$BL$156,7,FALSE)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 t="shared" ref="I98:I112" si="220">D98</f>
        <v>µL</v>
      </c>
      <c r="J98" s="94" t="s">
        <v>325</v>
      </c>
      <c r="K98" s="86" t="str">
        <f t="shared" ref="K98" si="221">D98</f>
        <v>µL</v>
      </c>
      <c r="L98" s="95">
        <f t="shared" ref="L98:L112" si="222">ABS(C98/G98*H98)</f>
        <v>0</v>
      </c>
      <c r="M98" s="86">
        <f>IF(VLOOKUP(CONCATENATE(B95,".5"),'Resultados - 1'!$A$10:$BL$156,42,FALSE)=1,1,VLOOKUP(CONCATENATE(B95,".5"),'Resultados - 1'!$A$10:$BL$156,42,FALSE)-1)</f>
        <v>-1</v>
      </c>
      <c r="N98" s="96" t="e">
        <f t="shared" ref="N98" ca="1" si="223">ABS(L98/L116%)</f>
        <v>#VALUE!</v>
      </c>
      <c r="O98" s="97"/>
      <c r="P98" s="86" t="s">
        <v>328</v>
      </c>
      <c r="Q98" s="86" t="e">
        <f t="shared" ref="Q98" si="224">Q96-Q97</f>
        <v>#N/A</v>
      </c>
      <c r="R98" s="87"/>
      <c r="S98" s="87"/>
      <c r="T98" s="87" t="s">
        <v>387</v>
      </c>
      <c r="U98" s="87" t="str">
        <f>VLOOKUP(CONCATENATE(B95,".20"),'Resultados - 1'!$A$10:$BL$156,26,FALSE)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- 1'!$A$10:$BL$156,37,FALSE)</f>
        <v>3.0000000000000001E-5</v>
      </c>
      <c r="D99" s="86" t="str">
        <f ca="1">VLOOKUP(CONCATENATE(B95,".9"),'Resultados - 1'!$A$10:$BL$156,34,FALSE)</f>
        <v>g</v>
      </c>
      <c r="E99" s="86" t="s">
        <v>323</v>
      </c>
      <c r="F99" s="86" t="str">
        <f t="shared" ref="F99:F100" ca="1" si="225">IF(G99=2,"N","Ts")</f>
        <v>N</v>
      </c>
      <c r="G99" s="86">
        <f ca="1">VLOOKUP(CONCATENATE(B95,".9"),'Resultados - 1'!$A$10:$BL$156,38,FALSE)</f>
        <v>2</v>
      </c>
      <c r="H99" s="86" t="e">
        <f ca="1">(VLOOKUP(CONCATENATE(B95,".20"),'Resultados - 1'!$A$10:$BL$156,29,FALSE)/T111)*T114</f>
        <v>#VALUE!</v>
      </c>
      <c r="I99" s="86" t="str">
        <f t="shared" ca="1" si="220"/>
        <v>g</v>
      </c>
      <c r="J99" s="94" t="s">
        <v>325</v>
      </c>
      <c r="K99" s="86" t="str">
        <f t="shared" si="84"/>
        <v>µL</v>
      </c>
      <c r="L99" s="95" t="e">
        <f t="shared" ca="1" si="222"/>
        <v>#VALUE!</v>
      </c>
      <c r="M99" s="86">
        <f ca="1">VLOOKUP(CONCATENATE(B95,".9"),'Resultados - 1'!$A$10:$BL$156,39,FALSE)</f>
        <v>1000000</v>
      </c>
      <c r="N99" s="96" t="e">
        <f t="shared" ref="N99" ca="1" si="226">ABS(L99/L116%)</f>
        <v>#VALUE!</v>
      </c>
      <c r="O99" s="97"/>
      <c r="P99" s="86" t="s">
        <v>332</v>
      </c>
      <c r="Q99" s="86" t="e">
        <f t="shared" ref="Q99" si="227">ABS(Q98/ Q97) * 100</f>
        <v>#N/A</v>
      </c>
      <c r="R99" s="87"/>
      <c r="T99" s="87" t="s">
        <v>388</v>
      </c>
      <c r="U99" s="87" t="str">
        <f>VLOOKUP(CONCATENATE(B95,".20"),'Resultados - 1'!$A$10:$BL$156,27,FALSE)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- 1'!$A$10:$BL$156,61,FALSE)</f>
        <v/>
      </c>
      <c r="D100" s="86" t="s">
        <v>126</v>
      </c>
      <c r="E100" s="86" t="s">
        <v>323</v>
      </c>
      <c r="F100" s="86" t="str">
        <f t="shared" si="225"/>
        <v>Ts</v>
      </c>
      <c r="G100" s="86" t="str">
        <f>VLOOKUP(CONCATENATE(B95,".9"),'Resultados - 1'!$A$10:$BL$156,62,FALSE)</f>
        <v/>
      </c>
      <c r="H100" s="86" t="e">
        <f t="shared" ref="H100" si="228">(ABS(U101*U98*U99*(-U100)))/T111</f>
        <v>#VALUE!</v>
      </c>
      <c r="I100" s="86" t="str">
        <f t="shared" si="220"/>
        <v>°C</v>
      </c>
      <c r="J100" s="94" t="s">
        <v>325</v>
      </c>
      <c r="K100" s="86" t="str">
        <f t="shared" si="84"/>
        <v>µL</v>
      </c>
      <c r="L100" s="95" t="e">
        <f t="shared" si="222"/>
        <v>#VALUE!</v>
      </c>
      <c r="M100" s="86" t="str">
        <f>VLOOKUP(CONCATENATE(B95,".9"),'Resultados - 1'!$A$10:$BL$156,63,FALSE)</f>
        <v/>
      </c>
      <c r="N100" s="96" t="e">
        <f t="shared" ref="N100" ca="1" si="229">ABS(L100/L116%)</f>
        <v>#VALUE!</v>
      </c>
      <c r="O100" s="85"/>
      <c r="P100" s="86" t="s">
        <v>335</v>
      </c>
      <c r="Q100" s="86" t="e">
        <f t="shared" ref="Q100" si="230">IF(Q96=0,0,IF(Q99&lt;=5,ROUND(Q96,Q101),ROUNDUP(Q96,Q101)))</f>
        <v>#N/A</v>
      </c>
      <c r="R100" s="87"/>
      <c r="T100" s="113" t="s">
        <v>392</v>
      </c>
      <c r="U100" s="87">
        <f>'Resultados - 1'!$AU$7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- 1'!$A$10:$BL$156,36,FALSE)</f>
        <v>9.9999999996214228E-6</v>
      </c>
      <c r="D101" s="86" t="str">
        <f t="shared" ref="D101" ca="1" si="231">D99</f>
        <v>g</v>
      </c>
      <c r="E101" s="86" t="s">
        <v>323</v>
      </c>
      <c r="F101" s="86" t="s">
        <v>331</v>
      </c>
      <c r="G101" s="86">
        <f t="shared" ref="G101:G102" si="232">SQRT(3)</f>
        <v>1.7320508075688772</v>
      </c>
      <c r="H101" s="86" t="e">
        <f t="shared" ref="H101:H104" ca="1" si="233">H99</f>
        <v>#VALUE!</v>
      </c>
      <c r="I101" s="86" t="str">
        <f t="shared" ca="1" si="220"/>
        <v>g</v>
      </c>
      <c r="J101" s="94" t="s">
        <v>325</v>
      </c>
      <c r="K101" s="86" t="str">
        <f t="shared" si="84"/>
        <v>µL</v>
      </c>
      <c r="L101" s="95" t="e">
        <f t="shared" ca="1" si="222"/>
        <v>#VALUE!</v>
      </c>
      <c r="M101" s="86">
        <v>1000000</v>
      </c>
      <c r="N101" s="96" t="e">
        <f t="shared" ref="N101" ca="1" si="234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- 1'!$A$10:$BL$156,49,FALSE)</f>
        <v/>
      </c>
      <c r="D102" s="86" t="s">
        <v>126</v>
      </c>
      <c r="E102" s="86" t="s">
        <v>323</v>
      </c>
      <c r="F102" s="86" t="s">
        <v>331</v>
      </c>
      <c r="G102" s="86">
        <f t="shared" si="232"/>
        <v>1.7320508075688772</v>
      </c>
      <c r="H102" s="86" t="e">
        <f t="shared" si="233"/>
        <v>#VALUE!</v>
      </c>
      <c r="I102" s="86" t="str">
        <f t="shared" si="220"/>
        <v>°C</v>
      </c>
      <c r="J102" s="94" t="s">
        <v>325</v>
      </c>
      <c r="K102" s="86" t="str">
        <f t="shared" si="84"/>
        <v>µL</v>
      </c>
      <c r="L102" s="95" t="e">
        <f t="shared" si="222"/>
        <v>#VALUE!</v>
      </c>
      <c r="M102" s="86">
        <v>1000000</v>
      </c>
      <c r="N102" s="96" t="e">
        <f t="shared" ref="N102" ca="1" si="235">ABS(L102/L116%)</f>
        <v>#VALUE!</v>
      </c>
      <c r="O102" s="97"/>
      <c r="P102" s="86" t="s">
        <v>341</v>
      </c>
      <c r="Q102" s="86" t="e">
        <f t="shared" ref="Q102" ca="1" si="236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- 1'!$A$10:$BL$156,33,FALSE)</f>
        <v>9.9999999996214228E-6</v>
      </c>
      <c r="D103" s="86" t="str">
        <f t="shared" ref="D103" ca="1" si="237">D101</f>
        <v>g</v>
      </c>
      <c r="E103" s="86" t="s">
        <v>323</v>
      </c>
      <c r="F103" s="86" t="s">
        <v>331</v>
      </c>
      <c r="G103" s="86">
        <f t="shared" si="91"/>
        <v>1.7320508075688772</v>
      </c>
      <c r="H103" s="99" t="e">
        <f t="shared" ca="1" si="233"/>
        <v>#VALUE!</v>
      </c>
      <c r="I103" s="86" t="str">
        <f t="shared" ca="1" si="220"/>
        <v>g</v>
      </c>
      <c r="J103" s="94" t="s">
        <v>325</v>
      </c>
      <c r="K103" s="86" t="str">
        <f t="shared" si="84"/>
        <v>µL</v>
      </c>
      <c r="L103" s="95" t="e">
        <f t="shared" ca="1" si="222"/>
        <v>#VALUE!</v>
      </c>
      <c r="M103" s="86">
        <v>1000000</v>
      </c>
      <c r="N103" s="96" t="e">
        <f t="shared" ref="N103" ca="1" si="238">ABS(L103/L116%)</f>
        <v>#VALUE!</v>
      </c>
      <c r="O103" s="97"/>
      <c r="P103" s="86" t="s">
        <v>328</v>
      </c>
      <c r="Q103" s="86" t="e">
        <f t="shared" ref="Q103" ca="1" si="239">L114-Q102</f>
        <v>#VALUE!</v>
      </c>
      <c r="R103" s="87"/>
      <c r="T103" s="87" t="s">
        <v>424</v>
      </c>
      <c r="U103" s="87">
        <f>'Resultados - 1'!$AU$6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- 1'!$A$10:$BL$156,50,FALSE)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91"/>
        <v>1.7320508075688772</v>
      </c>
      <c r="H104" s="99" t="e">
        <f t="shared" si="233"/>
        <v>#VALUE!</v>
      </c>
      <c r="I104" s="86" t="str">
        <f t="shared" si="220"/>
        <v>°C</v>
      </c>
      <c r="J104" s="94" t="s">
        <v>325</v>
      </c>
      <c r="K104" s="86" t="str">
        <f t="shared" si="84"/>
        <v>µL</v>
      </c>
      <c r="L104" s="95" t="e">
        <f t="shared" si="222"/>
        <v>#VALUE!</v>
      </c>
      <c r="M104" s="86" t="str">
        <f>VLOOKUP(CONCATENATE(B95,".9"),'Resultados - 1'!$A$10:$BL$156,51,FALSE)</f>
        <v/>
      </c>
      <c r="N104" s="96" t="e">
        <f t="shared" ref="N104" ca="1" si="240">ABS(L104/L116%)</f>
        <v>#VALUE!</v>
      </c>
      <c r="O104" s="100"/>
      <c r="P104" s="86" t="s">
        <v>332</v>
      </c>
      <c r="Q104" s="86" t="e">
        <f t="shared" ref="Q104" ca="1" si="241">ABS(Q103/ Q102) * 100</f>
        <v>#VALUE!</v>
      </c>
      <c r="R104" s="87"/>
      <c r="T104" s="87" t="s">
        <v>426</v>
      </c>
      <c r="U104" s="87" t="str">
        <f>VLOOKUP(CONCATENATE(B95,".20"),'Resultados - 1'!$A$10:$BL$156,43,FALSE)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 t="shared" ref="F105" si="242">IF(G105=2,"N","Ts")</f>
        <v>N</v>
      </c>
      <c r="G105" s="86">
        <f>'Incerteza (Par)'!$N$24</f>
        <v>2</v>
      </c>
      <c r="H105" s="99" t="e">
        <f t="shared" ref="H105" si="243">(U101*U102*U98*U98*(U99-1/U103))/T111</f>
        <v>#VALUE!</v>
      </c>
      <c r="I105" s="86" t="str">
        <f t="shared" si="220"/>
        <v>g/cm³</v>
      </c>
      <c r="J105" s="94" t="s">
        <v>325</v>
      </c>
      <c r="K105" s="86" t="str">
        <f t="shared" si="84"/>
        <v>µL</v>
      </c>
      <c r="L105" s="95" t="e">
        <f t="shared" ca="1" si="222"/>
        <v>#VALUE!</v>
      </c>
      <c r="M105" s="86">
        <v>1000000</v>
      </c>
      <c r="N105" s="96" t="e">
        <f t="shared" ref="N105" ca="1" si="244">ABS(L105/L116%)</f>
        <v>#VALUE!</v>
      </c>
      <c r="O105" s="97"/>
      <c r="P105" s="86" t="s">
        <v>348</v>
      </c>
      <c r="Q105" s="86" t="e">
        <f t="shared" ref="Q105" ca="1" si="245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- 1'!$AU$5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 t="shared" ref="C106" si="246"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91"/>
        <v>1.7320508075688772</v>
      </c>
      <c r="H106" s="94" t="e">
        <f t="shared" ref="H106" si="247">((U101/(U104-U105))*U99*U102)/T111</f>
        <v>#VALUE!</v>
      </c>
      <c r="I106" s="86" t="str">
        <f t="shared" si="220"/>
        <v>g/ml</v>
      </c>
      <c r="J106" s="94" t="s">
        <v>325</v>
      </c>
      <c r="K106" s="86" t="str">
        <f t="shared" si="84"/>
        <v>µL</v>
      </c>
      <c r="L106" s="95" t="e">
        <f t="shared" si="222"/>
        <v>#VALUE!</v>
      </c>
      <c r="M106" s="86">
        <v>1000000</v>
      </c>
      <c r="N106" s="96" t="e">
        <f t="shared" ref="N106" ca="1" si="248">ABS(L106/L116%)</f>
        <v>#VALUE!</v>
      </c>
      <c r="O106" s="97"/>
      <c r="P106" s="86" t="s">
        <v>351</v>
      </c>
      <c r="Q106" s="86" t="e">
        <f t="shared" ref="Q106" ca="1" si="249">ArredSig(Q105,2)</f>
        <v>#VALUE!</v>
      </c>
      <c r="R106" s="87"/>
      <c r="T106" s="87" t="s">
        <v>385</v>
      </c>
      <c r="U106" s="87" t="str">
        <f>VLOOKUP(CONCATENATE(B95,".20"),'Resultados - 1'!$A$10:$BL$156,44,FALSE)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 t="shared" ref="H107" si="250">(U101*U98*(U105/U103^2)*U102)/T111</f>
        <v>#VALUE!</v>
      </c>
      <c r="I107" s="86" t="str">
        <f t="shared" si="220"/>
        <v>g/cm³</v>
      </c>
      <c r="J107" s="94" t="s">
        <v>325</v>
      </c>
      <c r="K107" s="86" t="str">
        <f t="shared" si="84"/>
        <v>µL</v>
      </c>
      <c r="L107" s="95" t="e">
        <f t="shared" si="222"/>
        <v>#VALUE!</v>
      </c>
      <c r="M107" s="86">
        <v>1000000</v>
      </c>
      <c r="N107" s="96" t="e">
        <f t="shared" ref="N107" ca="1" si="251">ABS(L107/L116%)</f>
        <v>#VALUE!</v>
      </c>
      <c r="O107" s="85"/>
      <c r="P107" s="86" t="s">
        <v>354</v>
      </c>
      <c r="Q107" s="86" t="e">
        <f t="shared" ref="Q107" ca="1" si="252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- 1'!$A$10:$BL$156,32,FALSE)</f>
        <v>1.0000000000000001E-5</v>
      </c>
      <c r="D108" s="86" t="str">
        <f t="shared" ref="D108:D109" ca="1" si="253">D103</f>
        <v>g</v>
      </c>
      <c r="E108" s="86" t="s">
        <v>323</v>
      </c>
      <c r="F108" s="86" t="s">
        <v>331</v>
      </c>
      <c r="G108" s="86">
        <f t="shared" ref="G108:G109" si="254">SQRT(12)</f>
        <v>3.4641016151377544</v>
      </c>
      <c r="H108" s="94" t="e">
        <f t="shared" ref="H108" ca="1" si="255">H99</f>
        <v>#VALUE!</v>
      </c>
      <c r="I108" s="86" t="str">
        <f t="shared" ca="1" si="220"/>
        <v>g</v>
      </c>
      <c r="J108" s="94" t="s">
        <v>325</v>
      </c>
      <c r="K108" s="86" t="str">
        <f t="shared" si="84"/>
        <v>µL</v>
      </c>
      <c r="L108" s="95" t="e">
        <f t="shared" ca="1" si="222"/>
        <v>#VALUE!</v>
      </c>
      <c r="M108" s="86">
        <v>1000000</v>
      </c>
      <c r="N108" s="96" t="e">
        <f t="shared" ref="N108" ca="1" si="256">ABS(L108/L116%)</f>
        <v>#VALUE!</v>
      </c>
      <c r="O108" s="85"/>
      <c r="P108" s="86" t="s">
        <v>357</v>
      </c>
      <c r="Q108" s="86" t="e">
        <f t="shared" ref="Q108" ca="1" si="257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- 1'!$A$10:$BL$156,47,FALSE)</f>
        <v/>
      </c>
      <c r="D109" s="86" t="str">
        <f t="shared" si="253"/>
        <v>°C</v>
      </c>
      <c r="E109" s="86" t="s">
        <v>323</v>
      </c>
      <c r="F109" s="86" t="s">
        <v>331</v>
      </c>
      <c r="G109" s="86">
        <f t="shared" si="254"/>
        <v>3.4641016151377544</v>
      </c>
      <c r="H109" s="94" t="e">
        <f t="shared" ref="H109" si="258">H104</f>
        <v>#VALUE!</v>
      </c>
      <c r="I109" s="86" t="str">
        <f t="shared" si="220"/>
        <v>°C</v>
      </c>
      <c r="J109" s="94" t="s">
        <v>325</v>
      </c>
      <c r="K109" s="86" t="str">
        <f t="shared" si="84"/>
        <v>µL</v>
      </c>
      <c r="L109" s="95" t="e">
        <f t="shared" si="222"/>
        <v>#VALUE!</v>
      </c>
      <c r="M109" s="86">
        <v>1000000</v>
      </c>
      <c r="N109" s="96" t="e">
        <f t="shared" ref="N109" ca="1" si="259">ABS(L109/L116%)</f>
        <v>#VALUE!</v>
      </c>
      <c r="O109" s="85"/>
      <c r="P109" s="86" t="s">
        <v>360</v>
      </c>
      <c r="Q109" s="86" t="e">
        <f t="shared" ref="Q109" ca="1" si="260">IF(LEN(Q105)=1,0,LEN(Q105)-2)</f>
        <v>#VALUE!</v>
      </c>
      <c r="R109" s="87"/>
      <c r="T109" s="86" t="s">
        <v>80</v>
      </c>
      <c r="U109" s="86" t="str">
        <f t="shared" ref="U109" si="261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si="121"/>
        <v>1.7320508075688772</v>
      </c>
      <c r="H110" s="99" t="e">
        <f t="shared" ref="H110" si="262">(ABS(U101*U98*U99*(U106-20)))/T111</f>
        <v>#VALUE!</v>
      </c>
      <c r="I110" s="86" t="str">
        <f t="shared" si="220"/>
        <v>°C-¹</v>
      </c>
      <c r="J110" s="94" t="s">
        <v>325</v>
      </c>
      <c r="K110" s="86" t="str">
        <f t="shared" si="84"/>
        <v>µL</v>
      </c>
      <c r="L110" s="95" t="e">
        <f t="shared" si="222"/>
        <v>#VALUE!</v>
      </c>
      <c r="M110" s="86">
        <v>1000000</v>
      </c>
      <c r="N110" s="96" t="e">
        <f t="shared" ref="N110" ca="1" si="263">ABS(L110/L116%)</f>
        <v>#VALUE!</v>
      </c>
      <c r="O110" s="85"/>
      <c r="P110" s="86" t="s">
        <v>364</v>
      </c>
      <c r="Q110" s="86" t="e">
        <f t="shared" ref="Q110" ca="1" si="264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- 1'!$A$10:$BL$156,43,FALSE)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- 1'!$A$10:$BL$156,44,FALSE)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21"/>
        <v>1.7320508075688772</v>
      </c>
      <c r="H111" s="94" t="e">
        <f t="shared" ref="H111" si="265">H102</f>
        <v>#VALUE!</v>
      </c>
      <c r="I111" s="86" t="str">
        <f t="shared" si="220"/>
        <v>°C</v>
      </c>
      <c r="J111" s="94" t="s">
        <v>325</v>
      </c>
      <c r="K111" s="86" t="str">
        <f t="shared" si="84"/>
        <v>µL</v>
      </c>
      <c r="L111" s="95" t="e">
        <f t="shared" si="222"/>
        <v>#VALUE!</v>
      </c>
      <c r="M111" s="86">
        <v>1000000</v>
      </c>
      <c r="N111" s="96" t="e">
        <f t="shared" ref="N111" ca="1" si="266">ABS(L111/L116%)</f>
        <v>#VALUE!</v>
      </c>
      <c r="O111" s="101"/>
      <c r="P111" s="86" t="s">
        <v>367</v>
      </c>
      <c r="Q111" s="86" t="e">
        <f t="shared" ref="Q111" ca="1" si="267">IF(Q108=Q109,Q109,Q108+1)</f>
        <v>#VALUE!</v>
      </c>
      <c r="R111" s="101"/>
      <c r="T111" s="115">
        <f t="shared" ref="T111" si="268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 t="shared" ref="C112" si="269">V113*V110%</f>
        <v>#VALUE!</v>
      </c>
      <c r="D112" s="86" t="str">
        <f t="shared" ref="D112" si="270">D98</f>
        <v>µL</v>
      </c>
      <c r="E112" s="86" t="s">
        <v>323</v>
      </c>
      <c r="F112" s="86" t="s">
        <v>331</v>
      </c>
      <c r="G112" s="86">
        <f t="shared" si="121"/>
        <v>1.7320508075688772</v>
      </c>
      <c r="H112" s="94">
        <v>1</v>
      </c>
      <c r="I112" s="86" t="str">
        <f t="shared" si="220"/>
        <v>µL</v>
      </c>
      <c r="J112" s="94" t="s">
        <v>325</v>
      </c>
      <c r="K112" s="86" t="str">
        <f t="shared" si="84"/>
        <v>µL</v>
      </c>
      <c r="L112" s="95" t="e">
        <f t="shared" si="222"/>
        <v>#VALUE!</v>
      </c>
      <c r="M112" s="86">
        <v>1000000</v>
      </c>
      <c r="N112" s="96" t="e">
        <f t="shared" ref="N112" ca="1" si="271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272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273">K98</f>
        <v>µL</v>
      </c>
      <c r="J113" s="466"/>
      <c r="K113" s="467"/>
      <c r="L113" s="103" t="e">
        <f t="shared" ref="L113" ca="1" si="274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- 1'!$A$10:$BL$156,42,FALSE)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 t="shared" ref="I114:I115" si="275">I113</f>
        <v>µL</v>
      </c>
      <c r="J114" s="458"/>
      <c r="K114" s="459"/>
      <c r="L114" s="106" t="e">
        <f t="shared" ref="L114" ca="1" si="276">(L113*N116)</f>
        <v>#VALUE!</v>
      </c>
      <c r="M114" s="473" t="e">
        <f t="shared" ref="M114" ca="1" si="277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278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 t="shared" si="275"/>
        <v>µL</v>
      </c>
      <c r="J115" s="458"/>
      <c r="K115" s="459"/>
      <c r="L115" s="106" t="e">
        <f t="shared" ref="L115" ca="1" si="279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t="shared" ref="K116" ca="1" si="280">SUM(N98:N112)</f>
        <v>#VALUE!</v>
      </c>
      <c r="L116" s="87" t="e">
        <f t="shared" ref="L116" ca="1" si="281">SUM(L98:L112)</f>
        <v>#VALUE!</v>
      </c>
      <c r="M116" s="108" t="s">
        <v>378</v>
      </c>
      <c r="N116" s="109" t="e">
        <f t="shared" ref="N116" ca="1" si="282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 t="shared" ref="B118" si="283"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- 1'!$A$10:$BL$156,41,FALSE)</f>
        <v>#N/A</v>
      </c>
      <c r="R119" s="87"/>
      <c r="S119" s="86">
        <f t="shared" ref="S119" si="284">B118</f>
        <v>6</v>
      </c>
      <c r="T119" s="86" t="e">
        <f t="shared" ref="T119" ca="1" si="285">L138</f>
        <v>#VALUE!</v>
      </c>
      <c r="U119" s="114" t="e">
        <f t="shared" ref="U119" ca="1" si="286">FIXED(N139,2)</f>
        <v>#VALUE!</v>
      </c>
      <c r="V119" s="116" t="e">
        <f t="shared" ref="V119" ca="1" si="287">IF(M137&gt;=1000,"∞",FIXED(M137,0,TRUE))</f>
        <v>#VALUE!</v>
      </c>
      <c r="W119" s="88" t="e">
        <f t="shared" ref="W119" ca="1" si="288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 t="shared" ref="Q120" si="289"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- 1'!$A$10:$BL$156,42,FALSE)</f>
        <v>0</v>
      </c>
      <c r="D121" s="86" t="str">
        <f>VLOOKUP(CONCATENATE(B118,".3"),'Resultados - 1'!$A$10:$BL$156,7,FALSE)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 t="shared" ref="I121:I135" si="290">D121</f>
        <v>µL</v>
      </c>
      <c r="J121" s="94" t="s">
        <v>325</v>
      </c>
      <c r="K121" s="86" t="str">
        <f t="shared" ref="K121" si="291">D121</f>
        <v>µL</v>
      </c>
      <c r="L121" s="95">
        <f t="shared" ref="L121:L135" si="292">ABS(C121/G121*H121)</f>
        <v>0</v>
      </c>
      <c r="M121" s="86">
        <f>IF(VLOOKUP(CONCATENATE(B118,".5"),'Resultados - 1'!$A$10:$BL$156,42,FALSE)=1,1,VLOOKUP(CONCATENATE(B118,".5"),'Resultados - 1'!$A$10:$BL$156,42,FALSE)-1)</f>
        <v>-1</v>
      </c>
      <c r="N121" s="96" t="e">
        <f t="shared" ref="N121" ca="1" si="293">ABS(L121/L139%)</f>
        <v>#VALUE!</v>
      </c>
      <c r="O121" s="97"/>
      <c r="P121" s="86" t="s">
        <v>328</v>
      </c>
      <c r="Q121" s="86" t="e">
        <f t="shared" ref="Q121" si="294">Q119-Q120</f>
        <v>#N/A</v>
      </c>
      <c r="R121" s="87"/>
      <c r="S121" s="87"/>
      <c r="T121" s="87" t="s">
        <v>387</v>
      </c>
      <c r="U121" s="87" t="str">
        <f>VLOOKUP(CONCATENATE(B118,".20"),'Resultados - 1'!$A$10:$BL$156,26,FALSE)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- 1'!$A$10:$BL$156,37,FALSE)</f>
        <v>3.0000000000000001E-5</v>
      </c>
      <c r="D122" s="86" t="str">
        <f ca="1">VLOOKUP(CONCATENATE(B118,".9"),'Resultados - 1'!$A$10:$BL$156,34,FALSE)</f>
        <v>g</v>
      </c>
      <c r="E122" s="86" t="s">
        <v>323</v>
      </c>
      <c r="F122" s="86" t="str">
        <f t="shared" ref="F122:F123" ca="1" si="295">IF(G122=2,"N","Ts")</f>
        <v>N</v>
      </c>
      <c r="G122" s="86">
        <f ca="1">VLOOKUP(CONCATENATE(B118,".9"),'Resultados - 1'!$A$10:$BL$156,38,FALSE)</f>
        <v>2</v>
      </c>
      <c r="H122" s="86" t="e">
        <f ca="1">(VLOOKUP(CONCATENATE(B118,".20"),'Resultados - 1'!$A$10:$BL$156,29,FALSE)/T134)*T137</f>
        <v>#VALUE!</v>
      </c>
      <c r="I122" s="86" t="str">
        <f t="shared" ca="1" si="290"/>
        <v>g</v>
      </c>
      <c r="J122" s="94" t="s">
        <v>325</v>
      </c>
      <c r="K122" s="86" t="str">
        <f t="shared" ref="K122:K158" si="296">K121</f>
        <v>µL</v>
      </c>
      <c r="L122" s="95" t="e">
        <f t="shared" ca="1" si="292"/>
        <v>#VALUE!</v>
      </c>
      <c r="M122" s="86">
        <f ca="1">VLOOKUP(CONCATENATE(B118,".9"),'Resultados - 1'!$A$10:$BL$156,39,FALSE)</f>
        <v>1000000</v>
      </c>
      <c r="N122" s="96" t="e">
        <f t="shared" ref="N122" ca="1" si="297">ABS(L122/L139%)</f>
        <v>#VALUE!</v>
      </c>
      <c r="O122" s="97"/>
      <c r="P122" s="86" t="s">
        <v>332</v>
      </c>
      <c r="Q122" s="86" t="e">
        <f t="shared" ref="Q122" si="298">ABS(Q121/ Q120) * 100</f>
        <v>#N/A</v>
      </c>
      <c r="R122" s="87"/>
      <c r="T122" s="87" t="s">
        <v>388</v>
      </c>
      <c r="U122" s="87" t="str">
        <f>VLOOKUP(CONCATENATE(B118,".20"),'Resultados - 1'!$A$10:$BL$156,27,FALSE)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- 1'!$A$10:$BL$156,61,FALSE)</f>
        <v/>
      </c>
      <c r="D123" s="86" t="s">
        <v>126</v>
      </c>
      <c r="E123" s="86" t="s">
        <v>323</v>
      </c>
      <c r="F123" s="86" t="str">
        <f t="shared" si="295"/>
        <v>Ts</v>
      </c>
      <c r="G123" s="86" t="str">
        <f>VLOOKUP(CONCATENATE(B118,".9"),'Resultados - 1'!$A$10:$BL$156,62,FALSE)</f>
        <v/>
      </c>
      <c r="H123" s="86" t="e">
        <f t="shared" ref="H123" si="299">(ABS(U124*U121*U122*(-U123)))/T134</f>
        <v>#VALUE!</v>
      </c>
      <c r="I123" s="86" t="str">
        <f t="shared" si="290"/>
        <v>°C</v>
      </c>
      <c r="J123" s="94" t="s">
        <v>325</v>
      </c>
      <c r="K123" s="86" t="str">
        <f t="shared" si="296"/>
        <v>µL</v>
      </c>
      <c r="L123" s="95" t="e">
        <f t="shared" si="292"/>
        <v>#VALUE!</v>
      </c>
      <c r="M123" s="86" t="str">
        <f>VLOOKUP(CONCATENATE(B118,".9"),'Resultados - 1'!$A$10:$BL$156,63,FALSE)</f>
        <v/>
      </c>
      <c r="N123" s="96" t="e">
        <f t="shared" ref="N123" ca="1" si="300">ABS(L123/L139%)</f>
        <v>#VALUE!</v>
      </c>
      <c r="O123" s="85"/>
      <c r="P123" s="86" t="s">
        <v>335</v>
      </c>
      <c r="Q123" s="86" t="e">
        <f t="shared" ref="Q123" si="301">IF(Q119=0,0,IF(Q122&lt;=5,ROUND(Q119,Q124),ROUNDUP(Q119,Q124)))</f>
        <v>#N/A</v>
      </c>
      <c r="R123" s="87"/>
      <c r="T123" s="113" t="s">
        <v>392</v>
      </c>
      <c r="U123" s="87">
        <f>'Resultados - 1'!$AU$7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- 1'!$A$10:$BL$156,36,FALSE)</f>
        <v>9.9999999996214228E-6</v>
      </c>
      <c r="D124" s="86" t="str">
        <f t="shared" ref="D124" ca="1" si="302">D122</f>
        <v>g</v>
      </c>
      <c r="E124" s="86" t="s">
        <v>323</v>
      </c>
      <c r="F124" s="86" t="s">
        <v>331</v>
      </c>
      <c r="G124" s="86">
        <f t="shared" ref="G124:G152" si="303">SQRT(3)</f>
        <v>1.7320508075688772</v>
      </c>
      <c r="H124" s="86" t="e">
        <f t="shared" ref="H124:H127" ca="1" si="304">H122</f>
        <v>#VALUE!</v>
      </c>
      <c r="I124" s="86" t="str">
        <f t="shared" ca="1" si="290"/>
        <v>g</v>
      </c>
      <c r="J124" s="94" t="s">
        <v>325</v>
      </c>
      <c r="K124" s="86" t="str">
        <f t="shared" si="296"/>
        <v>µL</v>
      </c>
      <c r="L124" s="95" t="e">
        <f t="shared" ca="1" si="292"/>
        <v>#VALUE!</v>
      </c>
      <c r="M124" s="86">
        <v>1000000</v>
      </c>
      <c r="N124" s="96" t="e">
        <f t="shared" ref="N124" ca="1" si="305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- 1'!$A$10:$BL$156,49,FALSE)</f>
        <v/>
      </c>
      <c r="D125" s="86" t="s">
        <v>126</v>
      </c>
      <c r="E125" s="86" t="s">
        <v>323</v>
      </c>
      <c r="F125" s="86" t="s">
        <v>331</v>
      </c>
      <c r="G125" s="86">
        <f t="shared" si="303"/>
        <v>1.7320508075688772</v>
      </c>
      <c r="H125" s="86" t="e">
        <f t="shared" si="304"/>
        <v>#VALUE!</v>
      </c>
      <c r="I125" s="86" t="str">
        <f t="shared" si="290"/>
        <v>°C</v>
      </c>
      <c r="J125" s="94" t="s">
        <v>325</v>
      </c>
      <c r="K125" s="86" t="str">
        <f t="shared" si="296"/>
        <v>µL</v>
      </c>
      <c r="L125" s="95" t="e">
        <f t="shared" si="292"/>
        <v>#VALUE!</v>
      </c>
      <c r="M125" s="86">
        <v>1000000</v>
      </c>
      <c r="N125" s="96" t="e">
        <f t="shared" ref="N125" ca="1" si="306">ABS(L125/L139%)</f>
        <v>#VALUE!</v>
      </c>
      <c r="O125" s="97"/>
      <c r="P125" s="86" t="s">
        <v>341</v>
      </c>
      <c r="Q125" s="86" t="e">
        <f t="shared" ref="Q125" ca="1" si="307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- 1'!$A$10:$BL$156,33,FALSE)</f>
        <v>9.9999999996214228E-6</v>
      </c>
      <c r="D126" s="86" t="str">
        <f t="shared" ref="D126" ca="1" si="308">D124</f>
        <v>g</v>
      </c>
      <c r="E126" s="86" t="s">
        <v>323</v>
      </c>
      <c r="F126" s="86" t="s">
        <v>331</v>
      </c>
      <c r="G126" s="86">
        <f t="shared" si="303"/>
        <v>1.7320508075688772</v>
      </c>
      <c r="H126" s="99" t="e">
        <f t="shared" ca="1" si="304"/>
        <v>#VALUE!</v>
      </c>
      <c r="I126" s="86" t="str">
        <f t="shared" ca="1" si="290"/>
        <v>g</v>
      </c>
      <c r="J126" s="94" t="s">
        <v>325</v>
      </c>
      <c r="K126" s="86" t="str">
        <f t="shared" si="296"/>
        <v>µL</v>
      </c>
      <c r="L126" s="95" t="e">
        <f t="shared" ca="1" si="292"/>
        <v>#VALUE!</v>
      </c>
      <c r="M126" s="86">
        <v>1000000</v>
      </c>
      <c r="N126" s="96" t="e">
        <f t="shared" ref="N126" ca="1" si="309">ABS(L126/L139%)</f>
        <v>#VALUE!</v>
      </c>
      <c r="O126" s="97"/>
      <c r="P126" s="86" t="s">
        <v>328</v>
      </c>
      <c r="Q126" s="86" t="e">
        <f t="shared" ref="Q126" ca="1" si="310">L137-Q125</f>
        <v>#VALUE!</v>
      </c>
      <c r="R126" s="87"/>
      <c r="T126" s="87" t="s">
        <v>424</v>
      </c>
      <c r="U126" s="87">
        <f>'Resultados - 1'!$AU$6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- 1'!$A$10:$BL$156,50,FALSE)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303"/>
        <v>1.7320508075688772</v>
      </c>
      <c r="H127" s="99" t="e">
        <f t="shared" si="304"/>
        <v>#VALUE!</v>
      </c>
      <c r="I127" s="86" t="str">
        <f t="shared" si="290"/>
        <v>°C</v>
      </c>
      <c r="J127" s="94" t="s">
        <v>325</v>
      </c>
      <c r="K127" s="86" t="str">
        <f t="shared" si="296"/>
        <v>µL</v>
      </c>
      <c r="L127" s="95" t="e">
        <f t="shared" si="292"/>
        <v>#VALUE!</v>
      </c>
      <c r="M127" s="86" t="str">
        <f>VLOOKUP(CONCATENATE(B118,".9"),'Resultados - 1'!$A$10:$BL$156,51,FALSE)</f>
        <v/>
      </c>
      <c r="N127" s="96" t="e">
        <f t="shared" ref="N127" ca="1" si="311">ABS(L127/L139%)</f>
        <v>#VALUE!</v>
      </c>
      <c r="O127" s="100"/>
      <c r="P127" s="86" t="s">
        <v>332</v>
      </c>
      <c r="Q127" s="86" t="e">
        <f t="shared" ref="Q127" ca="1" si="312">ABS(Q126/ Q125) * 100</f>
        <v>#VALUE!</v>
      </c>
      <c r="R127" s="87"/>
      <c r="T127" s="87" t="s">
        <v>426</v>
      </c>
      <c r="U127" s="87" t="str">
        <f>VLOOKUP(CONCATENATE(B118,".20"),'Resultados - 1'!$A$10:$BL$156,43,FALSE)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 t="shared" ref="F128" si="313">IF(G128=2,"N","Ts")</f>
        <v>N</v>
      </c>
      <c r="G128" s="86">
        <f>'Incerteza (Par)'!$N$24</f>
        <v>2</v>
      </c>
      <c r="H128" s="99" t="e">
        <f t="shared" ref="H128" si="314">(U124*U125*U121*U121*(U122-1/U126))/T134</f>
        <v>#VALUE!</v>
      </c>
      <c r="I128" s="86" t="str">
        <f t="shared" si="290"/>
        <v>g/cm³</v>
      </c>
      <c r="J128" s="94" t="s">
        <v>325</v>
      </c>
      <c r="K128" s="86" t="str">
        <f t="shared" si="296"/>
        <v>µL</v>
      </c>
      <c r="L128" s="95" t="e">
        <f t="shared" ca="1" si="292"/>
        <v>#VALUE!</v>
      </c>
      <c r="M128" s="86">
        <v>1000000</v>
      </c>
      <c r="N128" s="96" t="e">
        <f t="shared" ref="N128" ca="1" si="315">ABS(L128/L139%)</f>
        <v>#VALUE!</v>
      </c>
      <c r="O128" s="97"/>
      <c r="P128" s="86" t="s">
        <v>348</v>
      </c>
      <c r="Q128" s="86" t="e">
        <f t="shared" ref="Q128" ca="1" si="316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- 1'!$AU$5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 t="shared" ref="C129" si="317"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303"/>
        <v>1.7320508075688772</v>
      </c>
      <c r="H129" s="94" t="e">
        <f t="shared" ref="H129" si="318">((U124/(U127-U128))*U122*U125)/T134</f>
        <v>#VALUE!</v>
      </c>
      <c r="I129" s="86" t="str">
        <f t="shared" si="290"/>
        <v>g/ml</v>
      </c>
      <c r="J129" s="94" t="s">
        <v>325</v>
      </c>
      <c r="K129" s="86" t="str">
        <f t="shared" si="296"/>
        <v>µL</v>
      </c>
      <c r="L129" s="95" t="e">
        <f t="shared" si="292"/>
        <v>#VALUE!</v>
      </c>
      <c r="M129" s="86">
        <v>1000000</v>
      </c>
      <c r="N129" s="96" t="e">
        <f t="shared" ref="N129" ca="1" si="319">ABS(L129/L139%)</f>
        <v>#VALUE!</v>
      </c>
      <c r="O129" s="97"/>
      <c r="P129" s="86" t="s">
        <v>351</v>
      </c>
      <c r="Q129" s="86" t="e">
        <f t="shared" ref="Q129" ca="1" si="320">ArredSig(Q128,2)</f>
        <v>#VALUE!</v>
      </c>
      <c r="R129" s="87"/>
      <c r="T129" s="87" t="s">
        <v>385</v>
      </c>
      <c r="U129" s="87" t="str">
        <f>VLOOKUP(CONCATENATE(B118,".20"),'Resultados - 1'!$A$10:$BL$156,44,FALSE)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 t="shared" ref="H130" si="321">(U124*U121*(U128/U126^2)*U125)/T134</f>
        <v>#VALUE!</v>
      </c>
      <c r="I130" s="86" t="str">
        <f t="shared" si="290"/>
        <v>g/cm³</v>
      </c>
      <c r="J130" s="94" t="s">
        <v>325</v>
      </c>
      <c r="K130" s="86" t="str">
        <f t="shared" si="296"/>
        <v>µL</v>
      </c>
      <c r="L130" s="95" t="e">
        <f t="shared" si="292"/>
        <v>#VALUE!</v>
      </c>
      <c r="M130" s="86">
        <v>1000000</v>
      </c>
      <c r="N130" s="96" t="e">
        <f t="shared" ref="N130" ca="1" si="322">ABS(L130/L139%)</f>
        <v>#VALUE!</v>
      </c>
      <c r="O130" s="85"/>
      <c r="P130" s="86" t="s">
        <v>354</v>
      </c>
      <c r="Q130" s="86" t="e">
        <f t="shared" ref="Q130" ca="1" si="323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- 1'!$A$10:$BL$156,32,FALSE)</f>
        <v>1.0000000000000001E-5</v>
      </c>
      <c r="D131" s="86" t="str">
        <f t="shared" ref="D131:D132" ca="1" si="324">D126</f>
        <v>g</v>
      </c>
      <c r="E131" s="86" t="s">
        <v>323</v>
      </c>
      <c r="F131" s="86" t="s">
        <v>331</v>
      </c>
      <c r="G131" s="86">
        <f t="shared" ref="G131:G132" si="325">SQRT(12)</f>
        <v>3.4641016151377544</v>
      </c>
      <c r="H131" s="94" t="e">
        <f t="shared" ref="H131" ca="1" si="326">H122</f>
        <v>#VALUE!</v>
      </c>
      <c r="I131" s="86" t="str">
        <f t="shared" ca="1" si="290"/>
        <v>g</v>
      </c>
      <c r="J131" s="94" t="s">
        <v>325</v>
      </c>
      <c r="K131" s="86" t="str">
        <f t="shared" si="296"/>
        <v>µL</v>
      </c>
      <c r="L131" s="95" t="e">
        <f t="shared" ca="1" si="292"/>
        <v>#VALUE!</v>
      </c>
      <c r="M131" s="86">
        <v>1000000</v>
      </c>
      <c r="N131" s="96" t="e">
        <f t="shared" ref="N131" ca="1" si="327">ABS(L131/L139%)</f>
        <v>#VALUE!</v>
      </c>
      <c r="O131" s="85"/>
      <c r="P131" s="86" t="s">
        <v>357</v>
      </c>
      <c r="Q131" s="86" t="e">
        <f t="shared" ref="Q131" ca="1" si="328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- 1'!$A$10:$BL$156,47,FALSE)</f>
        <v/>
      </c>
      <c r="D132" s="86" t="str">
        <f t="shared" si="324"/>
        <v>°C</v>
      </c>
      <c r="E132" s="86" t="s">
        <v>323</v>
      </c>
      <c r="F132" s="86" t="s">
        <v>331</v>
      </c>
      <c r="G132" s="86">
        <f t="shared" si="325"/>
        <v>3.4641016151377544</v>
      </c>
      <c r="H132" s="94" t="e">
        <f t="shared" ref="H132" si="329">H127</f>
        <v>#VALUE!</v>
      </c>
      <c r="I132" s="86" t="str">
        <f t="shared" si="290"/>
        <v>°C</v>
      </c>
      <c r="J132" s="94" t="s">
        <v>325</v>
      </c>
      <c r="K132" s="86" t="str">
        <f t="shared" si="296"/>
        <v>µL</v>
      </c>
      <c r="L132" s="95" t="e">
        <f t="shared" si="292"/>
        <v>#VALUE!</v>
      </c>
      <c r="M132" s="86">
        <v>1000000</v>
      </c>
      <c r="N132" s="96" t="e">
        <f t="shared" ref="N132" ca="1" si="330">ABS(L132/L139%)</f>
        <v>#VALUE!</v>
      </c>
      <c r="O132" s="85"/>
      <c r="P132" s="86" t="s">
        <v>360</v>
      </c>
      <c r="Q132" s="86" t="e">
        <f t="shared" ref="Q132" ca="1" si="331">IF(LEN(Q128)=1,0,LEN(Q128)-2)</f>
        <v>#VALUE!</v>
      </c>
      <c r="R132" s="87"/>
      <c r="T132" s="86" t="s">
        <v>80</v>
      </c>
      <c r="U132" s="86" t="str">
        <f t="shared" ref="U132" si="332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58" si="333">SQRT(3)</f>
        <v>1.7320508075688772</v>
      </c>
      <c r="H133" s="99" t="e">
        <f t="shared" ref="H133" si="334">(ABS(U124*U121*U122*(U129-20)))/T134</f>
        <v>#VALUE!</v>
      </c>
      <c r="I133" s="86" t="str">
        <f t="shared" si="290"/>
        <v>°C-¹</v>
      </c>
      <c r="J133" s="94" t="s">
        <v>325</v>
      </c>
      <c r="K133" s="86" t="str">
        <f t="shared" si="296"/>
        <v>µL</v>
      </c>
      <c r="L133" s="95" t="e">
        <f t="shared" si="292"/>
        <v>#VALUE!</v>
      </c>
      <c r="M133" s="86">
        <v>1000000</v>
      </c>
      <c r="N133" s="96" t="e">
        <f t="shared" ref="N133" ca="1" si="335">ABS(L133/L139%)</f>
        <v>#VALUE!</v>
      </c>
      <c r="O133" s="85"/>
      <c r="P133" s="86" t="s">
        <v>364</v>
      </c>
      <c r="Q133" s="86" t="e">
        <f t="shared" ref="Q133" ca="1" si="336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- 1'!$A$10:$BL$156,43,FALSE)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- 1'!$A$10:$BL$156,44,FALSE)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333"/>
        <v>1.7320508075688772</v>
      </c>
      <c r="H134" s="94" t="e">
        <f t="shared" ref="H134" si="337">H125</f>
        <v>#VALUE!</v>
      </c>
      <c r="I134" s="86" t="str">
        <f t="shared" si="290"/>
        <v>°C</v>
      </c>
      <c r="J134" s="94" t="s">
        <v>325</v>
      </c>
      <c r="K134" s="86" t="str">
        <f t="shared" si="296"/>
        <v>µL</v>
      </c>
      <c r="L134" s="95" t="e">
        <f t="shared" si="292"/>
        <v>#VALUE!</v>
      </c>
      <c r="M134" s="86">
        <v>1000000</v>
      </c>
      <c r="N134" s="96" t="e">
        <f t="shared" ref="N134" ca="1" si="338">ABS(L134/L139%)</f>
        <v>#VALUE!</v>
      </c>
      <c r="O134" s="101"/>
      <c r="P134" s="86" t="s">
        <v>367</v>
      </c>
      <c r="Q134" s="86" t="e">
        <f t="shared" ref="Q134" ca="1" si="339">IF(Q131=Q132,Q132,Q131+1)</f>
        <v>#VALUE!</v>
      </c>
      <c r="R134" s="101"/>
      <c r="T134" s="115">
        <f t="shared" ref="T134" si="340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 t="shared" ref="C135" si="341">V136*V133%</f>
        <v>#VALUE!</v>
      </c>
      <c r="D135" s="86" t="str">
        <f t="shared" ref="D135" si="342">D121</f>
        <v>µL</v>
      </c>
      <c r="E135" s="86" t="s">
        <v>323</v>
      </c>
      <c r="F135" s="86" t="s">
        <v>331</v>
      </c>
      <c r="G135" s="86">
        <f t="shared" si="333"/>
        <v>1.7320508075688772</v>
      </c>
      <c r="H135" s="94">
        <v>1</v>
      </c>
      <c r="I135" s="86" t="str">
        <f t="shared" si="290"/>
        <v>µL</v>
      </c>
      <c r="J135" s="94" t="s">
        <v>325</v>
      </c>
      <c r="K135" s="86" t="str">
        <f t="shared" si="296"/>
        <v>µL</v>
      </c>
      <c r="L135" s="95" t="e">
        <f t="shared" si="292"/>
        <v>#VALUE!</v>
      </c>
      <c r="M135" s="86">
        <v>1000000</v>
      </c>
      <c r="N135" s="96" t="e">
        <f t="shared" ref="N135" ca="1" si="343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344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345">K121</f>
        <v>µL</v>
      </c>
      <c r="J136" s="466"/>
      <c r="K136" s="467"/>
      <c r="L136" s="103" t="e">
        <f t="shared" ref="L136" ca="1" si="346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- 1'!$A$10:$BL$156,42,FALSE)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 t="shared" ref="I137:I138" si="347">I136</f>
        <v>µL</v>
      </c>
      <c r="J137" s="458"/>
      <c r="K137" s="459"/>
      <c r="L137" s="106" t="e">
        <f t="shared" ref="L137" ca="1" si="348">(L136*N139)</f>
        <v>#VALUE!</v>
      </c>
      <c r="M137" s="473" t="e">
        <f t="shared" ref="M137" ca="1" si="349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35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 t="shared" si="347"/>
        <v>µL</v>
      </c>
      <c r="J138" s="458"/>
      <c r="K138" s="459"/>
      <c r="L138" s="106" t="e">
        <f t="shared" ref="L138" ca="1" si="35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t="shared" ref="K139" ca="1" si="352">SUM(N121:N135)</f>
        <v>#VALUE!</v>
      </c>
      <c r="L139" s="87" t="e">
        <f t="shared" ref="L139" ca="1" si="353">SUM(L121:L135)</f>
        <v>#VALUE!</v>
      </c>
      <c r="M139" s="108" t="s">
        <v>378</v>
      </c>
      <c r="N139" s="109" t="e">
        <f t="shared" ref="N139" ca="1" si="354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 t="shared" ref="B141" si="355"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- 1'!$A$10:$BL$156,41,FALSE)</f>
        <v>#N/A</v>
      </c>
      <c r="R142" s="87"/>
      <c r="S142" s="86">
        <f t="shared" ref="S142" si="356">B141</f>
        <v>7</v>
      </c>
      <c r="T142" s="86" t="e">
        <f t="shared" ref="T142" ca="1" si="357">L161</f>
        <v>#VALUE!</v>
      </c>
      <c r="U142" s="114" t="e">
        <f t="shared" ref="U142" ca="1" si="358">FIXED(N162,2)</f>
        <v>#VALUE!</v>
      </c>
      <c r="V142" s="116" t="e">
        <f t="shared" ref="V142" ca="1" si="359">IF(M160&gt;=1000,"∞",FIXED(M160,0,TRUE))</f>
        <v>#VALUE!</v>
      </c>
      <c r="W142" s="88" t="e">
        <f t="shared" ref="W142" ca="1" si="360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 t="shared" ref="Q143" si="361"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- 1'!$A$10:$BL$156,42,FALSE)</f>
        <v>0</v>
      </c>
      <c r="D144" s="86" t="str">
        <f>VLOOKUP(CONCATENATE(B141,".3"),'Resultados - 1'!$A$10:$BL$156,7,FALSE)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 t="shared" ref="I144:I158" si="362">D144</f>
        <v>µL</v>
      </c>
      <c r="J144" s="94" t="s">
        <v>325</v>
      </c>
      <c r="K144" s="86" t="str">
        <f t="shared" ref="K144" si="363">D144</f>
        <v>µL</v>
      </c>
      <c r="L144" s="95">
        <f t="shared" ref="L144:L158" si="364">ABS(C144/G144*H144)</f>
        <v>0</v>
      </c>
      <c r="M144" s="86">
        <f>IF(VLOOKUP(CONCATENATE(B141,".5"),'Resultados - 1'!$A$10:$BL$156,42,FALSE)=1,1,VLOOKUP(CONCATENATE(B141,".5"),'Resultados - 1'!$A$10:$BL$156,42,FALSE)-1)</f>
        <v>-1</v>
      </c>
      <c r="N144" s="96" t="e">
        <f t="shared" ref="N144" ca="1" si="365">ABS(L144/L162%)</f>
        <v>#VALUE!</v>
      </c>
      <c r="O144" s="97"/>
      <c r="P144" s="86" t="s">
        <v>328</v>
      </c>
      <c r="Q144" s="86" t="e">
        <f t="shared" ref="Q144" si="366">Q142-Q143</f>
        <v>#N/A</v>
      </c>
      <c r="R144" s="87"/>
      <c r="S144" s="87"/>
      <c r="T144" s="87" t="s">
        <v>387</v>
      </c>
      <c r="U144" s="87" t="str">
        <f>VLOOKUP(CONCATENATE(B141,".20"),'Resultados - 1'!$A$10:$BL$156,26,FALSE)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- 1'!$A$10:$BL$156,37,FALSE)</f>
        <v>3.0000000000000001E-5</v>
      </c>
      <c r="D145" s="86" t="str">
        <f ca="1">VLOOKUP(CONCATENATE(B141,".9"),'Resultados - 1'!$A$10:$BL$156,34,FALSE)</f>
        <v>g</v>
      </c>
      <c r="E145" s="86" t="s">
        <v>323</v>
      </c>
      <c r="F145" s="86" t="str">
        <f t="shared" ref="F145:F146" ca="1" si="367">IF(G145=2,"N","Ts")</f>
        <v>N</v>
      </c>
      <c r="G145" s="86">
        <f ca="1">VLOOKUP(CONCATENATE(B141,".9"),'Resultados - 1'!$A$10:$BL$156,38,FALSE)</f>
        <v>2</v>
      </c>
      <c r="H145" s="86" t="e">
        <f ca="1">(VLOOKUP(CONCATENATE(B141,".20"),'Resultados - 1'!$A$10:$BL$156,29,FALSE)/T157)*T160</f>
        <v>#VALUE!</v>
      </c>
      <c r="I145" s="86" t="str">
        <f t="shared" ca="1" si="362"/>
        <v>g</v>
      </c>
      <c r="J145" s="94" t="s">
        <v>325</v>
      </c>
      <c r="K145" s="86" t="str">
        <f t="shared" si="296"/>
        <v>µL</v>
      </c>
      <c r="L145" s="95" t="e">
        <f t="shared" ca="1" si="364"/>
        <v>#VALUE!</v>
      </c>
      <c r="M145" s="86">
        <f ca="1">VLOOKUP(CONCATENATE(B141,".9"),'Resultados - 1'!$A$10:$BL$156,39,FALSE)</f>
        <v>1000000</v>
      </c>
      <c r="N145" s="96" t="e">
        <f t="shared" ref="N145" ca="1" si="368">ABS(L145/L162%)</f>
        <v>#VALUE!</v>
      </c>
      <c r="O145" s="97"/>
      <c r="P145" s="86" t="s">
        <v>332</v>
      </c>
      <c r="Q145" s="86" t="e">
        <f t="shared" ref="Q145" si="369">ABS(Q144/ Q143) * 100</f>
        <v>#N/A</v>
      </c>
      <c r="R145" s="87"/>
      <c r="T145" s="87" t="s">
        <v>388</v>
      </c>
      <c r="U145" s="87" t="str">
        <f>VLOOKUP(CONCATENATE(B141,".20"),'Resultados - 1'!$A$10:$BL$156,27,FALSE)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- 1'!$A$10:$BL$156,61,FALSE)</f>
        <v/>
      </c>
      <c r="D146" s="86" t="s">
        <v>126</v>
      </c>
      <c r="E146" s="86" t="s">
        <v>323</v>
      </c>
      <c r="F146" s="86" t="str">
        <f t="shared" si="367"/>
        <v>Ts</v>
      </c>
      <c r="G146" s="86" t="str">
        <f>VLOOKUP(CONCATENATE(B141,".9"),'Resultados - 1'!$A$10:$BL$156,62,FALSE)</f>
        <v/>
      </c>
      <c r="H146" s="86" t="e">
        <f t="shared" ref="H146" si="370">(ABS(U147*U144*U145*(-U146)))/T157</f>
        <v>#VALUE!</v>
      </c>
      <c r="I146" s="86" t="str">
        <f t="shared" si="362"/>
        <v>°C</v>
      </c>
      <c r="J146" s="94" t="s">
        <v>325</v>
      </c>
      <c r="K146" s="86" t="str">
        <f t="shared" si="296"/>
        <v>µL</v>
      </c>
      <c r="L146" s="95" t="e">
        <f t="shared" si="364"/>
        <v>#VALUE!</v>
      </c>
      <c r="M146" s="86" t="str">
        <f>VLOOKUP(CONCATENATE(B141,".9"),'Resultados - 1'!$A$10:$BL$156,63,FALSE)</f>
        <v/>
      </c>
      <c r="N146" s="96" t="e">
        <f t="shared" ref="N146" ca="1" si="371">ABS(L146/L162%)</f>
        <v>#VALUE!</v>
      </c>
      <c r="O146" s="85"/>
      <c r="P146" s="86" t="s">
        <v>335</v>
      </c>
      <c r="Q146" s="86" t="e">
        <f t="shared" ref="Q146" si="372">IF(Q142=0,0,IF(Q145&lt;=5,ROUND(Q142,Q147),ROUNDUP(Q142,Q147)))</f>
        <v>#N/A</v>
      </c>
      <c r="R146" s="87"/>
      <c r="T146" s="113" t="s">
        <v>392</v>
      </c>
      <c r="U146" s="87">
        <f>'Resultados - 1'!$AU$7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- 1'!$A$10:$BL$156,36,FALSE)</f>
        <v>9.9999999996214228E-6</v>
      </c>
      <c r="D147" s="86" t="str">
        <f t="shared" ref="D147" ca="1" si="373">D145</f>
        <v>g</v>
      </c>
      <c r="E147" s="86" t="s">
        <v>323</v>
      </c>
      <c r="F147" s="86" t="s">
        <v>331</v>
      </c>
      <c r="G147" s="86">
        <f t="shared" ref="G147:G148" si="374">SQRT(3)</f>
        <v>1.7320508075688772</v>
      </c>
      <c r="H147" s="86" t="e">
        <f t="shared" ref="H147:H150" ca="1" si="375">H145</f>
        <v>#VALUE!</v>
      </c>
      <c r="I147" s="86" t="str">
        <f t="shared" ca="1" si="362"/>
        <v>g</v>
      </c>
      <c r="J147" s="94" t="s">
        <v>325</v>
      </c>
      <c r="K147" s="86" t="str">
        <f t="shared" si="296"/>
        <v>µL</v>
      </c>
      <c r="L147" s="95" t="e">
        <f t="shared" ca="1" si="364"/>
        <v>#VALUE!</v>
      </c>
      <c r="M147" s="86">
        <v>1000000</v>
      </c>
      <c r="N147" s="96" t="e">
        <f t="shared" ref="N147" ca="1" si="376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- 1'!$A$10:$BL$156,49,FALSE)</f>
        <v/>
      </c>
      <c r="D148" s="86" t="s">
        <v>126</v>
      </c>
      <c r="E148" s="86" t="s">
        <v>323</v>
      </c>
      <c r="F148" s="86" t="s">
        <v>331</v>
      </c>
      <c r="G148" s="86">
        <f t="shared" si="374"/>
        <v>1.7320508075688772</v>
      </c>
      <c r="H148" s="86" t="e">
        <f t="shared" si="375"/>
        <v>#VALUE!</v>
      </c>
      <c r="I148" s="86" t="str">
        <f t="shared" si="362"/>
        <v>°C</v>
      </c>
      <c r="J148" s="94" t="s">
        <v>325</v>
      </c>
      <c r="K148" s="86" t="str">
        <f t="shared" si="296"/>
        <v>µL</v>
      </c>
      <c r="L148" s="95" t="e">
        <f t="shared" si="364"/>
        <v>#VALUE!</v>
      </c>
      <c r="M148" s="86">
        <v>1000000</v>
      </c>
      <c r="N148" s="96" t="e">
        <f t="shared" ref="N148" ca="1" si="377">ABS(L148/L162%)</f>
        <v>#VALUE!</v>
      </c>
      <c r="O148" s="97"/>
      <c r="P148" s="86" t="s">
        <v>341</v>
      </c>
      <c r="Q148" s="86" t="e">
        <f t="shared" ref="Q148" ca="1" si="378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- 1'!$A$10:$BL$156,33,FALSE)</f>
        <v>9.9999999996214228E-6</v>
      </c>
      <c r="D149" s="86" t="str">
        <f t="shared" ref="D149" ca="1" si="379">D147</f>
        <v>g</v>
      </c>
      <c r="E149" s="86" t="s">
        <v>323</v>
      </c>
      <c r="F149" s="86" t="s">
        <v>331</v>
      </c>
      <c r="G149" s="86">
        <f t="shared" si="303"/>
        <v>1.7320508075688772</v>
      </c>
      <c r="H149" s="99" t="e">
        <f t="shared" ca="1" si="375"/>
        <v>#VALUE!</v>
      </c>
      <c r="I149" s="86" t="str">
        <f t="shared" ca="1" si="362"/>
        <v>g</v>
      </c>
      <c r="J149" s="94" t="s">
        <v>325</v>
      </c>
      <c r="K149" s="86" t="str">
        <f t="shared" si="296"/>
        <v>µL</v>
      </c>
      <c r="L149" s="95" t="e">
        <f t="shared" ca="1" si="364"/>
        <v>#VALUE!</v>
      </c>
      <c r="M149" s="86">
        <v>1000000</v>
      </c>
      <c r="N149" s="96" t="e">
        <f t="shared" ref="N149" ca="1" si="380">ABS(L149/L162%)</f>
        <v>#VALUE!</v>
      </c>
      <c r="O149" s="97"/>
      <c r="P149" s="86" t="s">
        <v>328</v>
      </c>
      <c r="Q149" s="86" t="e">
        <f t="shared" ref="Q149" ca="1" si="381">L160-Q148</f>
        <v>#VALUE!</v>
      </c>
      <c r="R149" s="87"/>
      <c r="T149" s="87" t="s">
        <v>424</v>
      </c>
      <c r="U149" s="87">
        <f>'Resultados - 1'!$AU$6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- 1'!$A$10:$BL$156,50,FALSE)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303"/>
        <v>1.7320508075688772</v>
      </c>
      <c r="H150" s="99" t="e">
        <f t="shared" si="375"/>
        <v>#VALUE!</v>
      </c>
      <c r="I150" s="86" t="str">
        <f t="shared" si="362"/>
        <v>°C</v>
      </c>
      <c r="J150" s="94" t="s">
        <v>325</v>
      </c>
      <c r="K150" s="86" t="str">
        <f t="shared" si="296"/>
        <v>µL</v>
      </c>
      <c r="L150" s="95" t="e">
        <f t="shared" si="364"/>
        <v>#VALUE!</v>
      </c>
      <c r="M150" s="86" t="str">
        <f>VLOOKUP(CONCATENATE(B141,".9"),'Resultados - 1'!$A$10:$BL$156,51,FALSE)</f>
        <v/>
      </c>
      <c r="N150" s="96" t="e">
        <f t="shared" ref="N150" ca="1" si="382">ABS(L150/L162%)</f>
        <v>#VALUE!</v>
      </c>
      <c r="O150" s="100"/>
      <c r="P150" s="86" t="s">
        <v>332</v>
      </c>
      <c r="Q150" s="86" t="e">
        <f t="shared" ref="Q150" ca="1" si="383">ABS(Q149/ Q148) * 100</f>
        <v>#VALUE!</v>
      </c>
      <c r="R150" s="87"/>
      <c r="T150" s="87" t="s">
        <v>426</v>
      </c>
      <c r="U150" s="87" t="str">
        <f>VLOOKUP(CONCATENATE(B141,".20"),'Resultados - 1'!$A$10:$BL$156,43,FALSE)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 t="shared" ref="F151" si="384">IF(G151=2,"N","Ts")</f>
        <v>N</v>
      </c>
      <c r="G151" s="86">
        <f>'Incerteza (Par)'!$N$24</f>
        <v>2</v>
      </c>
      <c r="H151" s="99" t="e">
        <f t="shared" ref="H151" si="385">(U147*U148*U144*U144*(U145-1/U149))/T157</f>
        <v>#VALUE!</v>
      </c>
      <c r="I151" s="86" t="str">
        <f t="shared" si="362"/>
        <v>g/cm³</v>
      </c>
      <c r="J151" s="94" t="s">
        <v>325</v>
      </c>
      <c r="K151" s="86" t="str">
        <f t="shared" si="296"/>
        <v>µL</v>
      </c>
      <c r="L151" s="95" t="e">
        <f t="shared" ca="1" si="364"/>
        <v>#VALUE!</v>
      </c>
      <c r="M151" s="86">
        <v>1000000</v>
      </c>
      <c r="N151" s="96" t="e">
        <f t="shared" ref="N151" ca="1" si="386">ABS(L151/L162%)</f>
        <v>#VALUE!</v>
      </c>
      <c r="O151" s="97"/>
      <c r="P151" s="86" t="s">
        <v>348</v>
      </c>
      <c r="Q151" s="86" t="e">
        <f t="shared" ref="Q151" ca="1" si="387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- 1'!$AU$5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 t="shared" ref="C152" si="388"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303"/>
        <v>1.7320508075688772</v>
      </c>
      <c r="H152" s="94" t="e">
        <f t="shared" ref="H152" si="389">((U147/(U150-U151))*U145*U148)/T157</f>
        <v>#VALUE!</v>
      </c>
      <c r="I152" s="86" t="str">
        <f t="shared" si="362"/>
        <v>g/ml</v>
      </c>
      <c r="J152" s="94" t="s">
        <v>325</v>
      </c>
      <c r="K152" s="86" t="str">
        <f t="shared" si="296"/>
        <v>µL</v>
      </c>
      <c r="L152" s="95" t="e">
        <f t="shared" si="364"/>
        <v>#VALUE!</v>
      </c>
      <c r="M152" s="86">
        <v>1000000</v>
      </c>
      <c r="N152" s="96" t="e">
        <f t="shared" ref="N152" ca="1" si="390">ABS(L152/L162%)</f>
        <v>#VALUE!</v>
      </c>
      <c r="O152" s="97"/>
      <c r="P152" s="86" t="s">
        <v>351</v>
      </c>
      <c r="Q152" s="86" t="e">
        <f t="shared" ref="Q152" ca="1" si="391">ArredSig(Q151,2)</f>
        <v>#VALUE!</v>
      </c>
      <c r="R152" s="87"/>
      <c r="T152" s="87" t="s">
        <v>385</v>
      </c>
      <c r="U152" s="87" t="str">
        <f>VLOOKUP(CONCATENATE(B141,".20"),'Resultados - 1'!$A$10:$BL$156,44,FALSE)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 t="shared" ref="H153" si="392">(U147*U144*(U151/U149^2)*U148)/T157</f>
        <v>#VALUE!</v>
      </c>
      <c r="I153" s="86" t="str">
        <f t="shared" si="362"/>
        <v>g/cm³</v>
      </c>
      <c r="J153" s="94" t="s">
        <v>325</v>
      </c>
      <c r="K153" s="86" t="str">
        <f t="shared" si="296"/>
        <v>µL</v>
      </c>
      <c r="L153" s="95" t="e">
        <f t="shared" si="364"/>
        <v>#VALUE!</v>
      </c>
      <c r="M153" s="86">
        <v>1000000</v>
      </c>
      <c r="N153" s="96" t="e">
        <f t="shared" ref="N153" ca="1" si="393">ABS(L153/L162%)</f>
        <v>#VALUE!</v>
      </c>
      <c r="O153" s="85"/>
      <c r="P153" s="86" t="s">
        <v>354</v>
      </c>
      <c r="Q153" s="86" t="e">
        <f t="shared" ref="Q153" ca="1" si="394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- 1'!$A$10:$BL$156,32,FALSE)</f>
        <v>1.0000000000000001E-5</v>
      </c>
      <c r="D154" s="86" t="str">
        <f t="shared" ref="D154:D155" ca="1" si="395">D149</f>
        <v>g</v>
      </c>
      <c r="E154" s="86" t="s">
        <v>323</v>
      </c>
      <c r="F154" s="86" t="s">
        <v>331</v>
      </c>
      <c r="G154" s="86">
        <f t="shared" ref="G154:G155" si="396">SQRT(12)</f>
        <v>3.4641016151377544</v>
      </c>
      <c r="H154" s="94" t="e">
        <f t="shared" ref="H154" ca="1" si="397">H145</f>
        <v>#VALUE!</v>
      </c>
      <c r="I154" s="86" t="str">
        <f t="shared" ca="1" si="362"/>
        <v>g</v>
      </c>
      <c r="J154" s="94" t="s">
        <v>325</v>
      </c>
      <c r="K154" s="86" t="str">
        <f t="shared" si="296"/>
        <v>µL</v>
      </c>
      <c r="L154" s="95" t="e">
        <f t="shared" ca="1" si="364"/>
        <v>#VALUE!</v>
      </c>
      <c r="M154" s="86">
        <v>1000000</v>
      </c>
      <c r="N154" s="96" t="e">
        <f t="shared" ref="N154" ca="1" si="398">ABS(L154/L162%)</f>
        <v>#VALUE!</v>
      </c>
      <c r="O154" s="85"/>
      <c r="P154" s="86" t="s">
        <v>357</v>
      </c>
      <c r="Q154" s="86" t="e">
        <f t="shared" ref="Q154" ca="1" si="399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- 1'!$A$10:$BL$156,47,FALSE)</f>
        <v/>
      </c>
      <c r="D155" s="86" t="str">
        <f t="shared" si="395"/>
        <v>°C</v>
      </c>
      <c r="E155" s="86" t="s">
        <v>323</v>
      </c>
      <c r="F155" s="86" t="s">
        <v>331</v>
      </c>
      <c r="G155" s="86">
        <f t="shared" si="396"/>
        <v>3.4641016151377544</v>
      </c>
      <c r="H155" s="94" t="e">
        <f t="shared" ref="H155" si="400">H150</f>
        <v>#VALUE!</v>
      </c>
      <c r="I155" s="86" t="str">
        <f t="shared" si="362"/>
        <v>°C</v>
      </c>
      <c r="J155" s="94" t="s">
        <v>325</v>
      </c>
      <c r="K155" s="86" t="str">
        <f t="shared" si="296"/>
        <v>µL</v>
      </c>
      <c r="L155" s="95" t="e">
        <f t="shared" si="364"/>
        <v>#VALUE!</v>
      </c>
      <c r="M155" s="86">
        <v>1000000</v>
      </c>
      <c r="N155" s="96" t="e">
        <f t="shared" ref="N155" ca="1" si="401">ABS(L155/L162%)</f>
        <v>#VALUE!</v>
      </c>
      <c r="O155" s="85"/>
      <c r="P155" s="86" t="s">
        <v>360</v>
      </c>
      <c r="Q155" s="86" t="e">
        <f t="shared" ref="Q155" ca="1" si="402">IF(LEN(Q151)=1,0,LEN(Q151)-2)</f>
        <v>#VALUE!</v>
      </c>
      <c r="R155" s="87"/>
      <c r="T155" s="86" t="s">
        <v>80</v>
      </c>
      <c r="U155" s="86" t="str">
        <f t="shared" ref="U155" si="403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si="333"/>
        <v>1.7320508075688772</v>
      </c>
      <c r="H156" s="99" t="e">
        <f t="shared" ref="H156" si="404">(ABS(U147*U144*U145*(U152-20)))/T157</f>
        <v>#VALUE!</v>
      </c>
      <c r="I156" s="86" t="str">
        <f t="shared" si="362"/>
        <v>°C-¹</v>
      </c>
      <c r="J156" s="94" t="s">
        <v>325</v>
      </c>
      <c r="K156" s="86" t="str">
        <f t="shared" si="296"/>
        <v>µL</v>
      </c>
      <c r="L156" s="95" t="e">
        <f t="shared" si="364"/>
        <v>#VALUE!</v>
      </c>
      <c r="M156" s="86">
        <v>1000000</v>
      </c>
      <c r="N156" s="96" t="e">
        <f t="shared" ref="N156" ca="1" si="405">ABS(L156/L162%)</f>
        <v>#VALUE!</v>
      </c>
      <c r="O156" s="85"/>
      <c r="P156" s="86" t="s">
        <v>364</v>
      </c>
      <c r="Q156" s="86" t="e">
        <f t="shared" ref="Q156" ca="1" si="406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- 1'!$A$10:$BL$156,43,FALSE)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- 1'!$A$10:$BL$156,44,FALSE)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333"/>
        <v>1.7320508075688772</v>
      </c>
      <c r="H157" s="94" t="e">
        <f t="shared" ref="H157" si="407">H148</f>
        <v>#VALUE!</v>
      </c>
      <c r="I157" s="86" t="str">
        <f t="shared" si="362"/>
        <v>°C</v>
      </c>
      <c r="J157" s="94" t="s">
        <v>325</v>
      </c>
      <c r="K157" s="86" t="str">
        <f t="shared" si="296"/>
        <v>µL</v>
      </c>
      <c r="L157" s="95" t="e">
        <f t="shared" si="364"/>
        <v>#VALUE!</v>
      </c>
      <c r="M157" s="86">
        <v>1000000</v>
      </c>
      <c r="N157" s="96" t="e">
        <f t="shared" ref="N157" ca="1" si="408">ABS(L157/L162%)</f>
        <v>#VALUE!</v>
      </c>
      <c r="O157" s="101"/>
      <c r="P157" s="86" t="s">
        <v>367</v>
      </c>
      <c r="Q157" s="86" t="e">
        <f t="shared" ref="Q157" ca="1" si="409">IF(Q154=Q155,Q155,Q154+1)</f>
        <v>#VALUE!</v>
      </c>
      <c r="R157" s="101"/>
      <c r="T157" s="115">
        <f t="shared" ref="T157" si="410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 t="shared" ref="C158" si="411">V159*V156%</f>
        <v>#VALUE!</v>
      </c>
      <c r="D158" s="86" t="str">
        <f t="shared" ref="D158" si="412">D144</f>
        <v>µL</v>
      </c>
      <c r="E158" s="86" t="s">
        <v>323</v>
      </c>
      <c r="F158" s="86" t="s">
        <v>331</v>
      </c>
      <c r="G158" s="86">
        <f t="shared" si="333"/>
        <v>1.7320508075688772</v>
      </c>
      <c r="H158" s="94">
        <v>1</v>
      </c>
      <c r="I158" s="86" t="str">
        <f t="shared" si="362"/>
        <v>µL</v>
      </c>
      <c r="J158" s="94" t="s">
        <v>325</v>
      </c>
      <c r="K158" s="86" t="str">
        <f t="shared" si="296"/>
        <v>µL</v>
      </c>
      <c r="L158" s="95" t="e">
        <f t="shared" si="364"/>
        <v>#VALUE!</v>
      </c>
      <c r="M158" s="86">
        <v>1000000</v>
      </c>
      <c r="N158" s="96" t="e">
        <f t="shared" ref="N158" ca="1" si="413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414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415">K144</f>
        <v>µL</v>
      </c>
      <c r="J159" s="466"/>
      <c r="K159" s="467"/>
      <c r="L159" s="103" t="e">
        <f t="shared" ref="L159" ca="1" si="416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- 1'!$A$10:$BL$156,42,FALSE)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 t="shared" ref="I160:I161" si="417">I159</f>
        <v>µL</v>
      </c>
      <c r="J160" s="458"/>
      <c r="K160" s="459"/>
      <c r="L160" s="106" t="e">
        <f t="shared" ref="L160" ca="1" si="418">(L159*N162)</f>
        <v>#VALUE!</v>
      </c>
      <c r="M160" s="473" t="e">
        <f t="shared" ref="M160" ca="1" si="419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42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 t="shared" si="417"/>
        <v>µL</v>
      </c>
      <c r="J161" s="458"/>
      <c r="K161" s="459"/>
      <c r="L161" s="106" t="e">
        <f t="shared" ref="L161" ca="1" si="42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t="shared" ref="K162" ca="1" si="422">SUM(N144:N158)</f>
        <v>#VALUE!</v>
      </c>
      <c r="L162" s="87" t="e">
        <f t="shared" ref="L162" ca="1" si="423">SUM(L144:L158)</f>
        <v>#VALUE!</v>
      </c>
      <c r="M162" s="108" t="s">
        <v>378</v>
      </c>
      <c r="N162" s="109" t="e">
        <f t="shared" ref="N162" ca="1" si="424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WZwHIX4Ui60VVupyrRepQ7jRu/4eyMMAH9gaYytYdf0sDYbN9/WnaK0J7b6vp0pyl7TO15FAYch8HmXPlyFSEg==" saltValue="fQ4qzACs5HszsilcKJw1vw==" spinCount="100000" sheet="1" objects="1" scenarios="1"/>
  <mergeCells count="107">
    <mergeCell ref="E27:E28"/>
    <mergeCell ref="F27:F28"/>
    <mergeCell ref="H27:K27"/>
    <mergeCell ref="I28:K28"/>
    <mergeCell ref="I22:K22"/>
    <mergeCell ref="M22:N22"/>
    <mergeCell ref="A1:N1"/>
    <mergeCell ref="A2:N2"/>
    <mergeCell ref="A4:A5"/>
    <mergeCell ref="B4:D4"/>
    <mergeCell ref="E4:E5"/>
    <mergeCell ref="F4:F5"/>
    <mergeCell ref="H4:K4"/>
    <mergeCell ref="I5:K5"/>
    <mergeCell ref="B23:H23"/>
    <mergeCell ref="I23:K23"/>
    <mergeCell ref="M23:N23"/>
    <mergeCell ref="B21:H21"/>
    <mergeCell ref="I21:K21"/>
    <mergeCell ref="M21:N21"/>
    <mergeCell ref="B22:H22"/>
    <mergeCell ref="A27:A28"/>
    <mergeCell ref="B27:D27"/>
    <mergeCell ref="A50:A51"/>
    <mergeCell ref="B50:D50"/>
    <mergeCell ref="E50:E51"/>
    <mergeCell ref="F50:F51"/>
    <mergeCell ref="H50:K50"/>
    <mergeCell ref="I51:K51"/>
    <mergeCell ref="B44:H44"/>
    <mergeCell ref="I44:K44"/>
    <mergeCell ref="M44:N44"/>
    <mergeCell ref="B45:H45"/>
    <mergeCell ref="I45:K45"/>
    <mergeCell ref="M45:N45"/>
    <mergeCell ref="B46:H46"/>
    <mergeCell ref="I46:K46"/>
    <mergeCell ref="M46:N46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5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5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6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8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9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DC8F1-2A12-4E59-9530-83BBD021533D}">
  <sheetPr codeName="Planilha12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- 2'!$A$2</f>
        <v>2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- 2</v>
      </c>
    </row>
    <row r="2" spans="1:28" ht="23.4" thickBot="1" x14ac:dyDescent="0.35">
      <c r="A2" s="490" t="str">
        <f>CONCATENATE("Volume - Resultados - ",P1)</f>
        <v>Volume - Resultados - 2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- 2'!$A$10:$BL$156,41,FALSE)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- 2'!$A$10:$BL$156,42,FALSE)</f>
        <v>0</v>
      </c>
      <c r="D6" s="86" t="str">
        <f>VLOOKUP(CONCATENATE(B3,".3"),'Resultados - 2'!$A$10:$BL$156,7,FALSE)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- 2'!$A$10:$BL$156,42,FALSE)=1,1,VLOOKUP(CONCATENATE(B3,".5"),'Resultados - 2'!$A$10:$BL$156,42,FALSE)-1)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- 2'!$A$10:$BL$156,26,FALSE)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- 2'!$A$10:$BL$156,37,FALSE)</f>
        <v>3.0000000000000001E-5</v>
      </c>
      <c r="D7" s="86" t="str">
        <f ca="1">VLOOKUP(CONCATENATE(B3,".9"),'Resultados - 2'!$A$10:$BL$156,34,FALSE)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- 2'!$A$10:$BL$156,38,FALSE)</f>
        <v>2</v>
      </c>
      <c r="H7" s="86" t="e">
        <f ca="1">(VLOOKUP(CONCATENATE(B3,".20"),'Resultados - 2'!$A$10:$BL$156,29,FALSE)/T19)*T22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- 2'!$A$10:$BL$156,39,FALSE)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- 2'!$A$10:$BL$156,27,FALSE)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- 2'!$A$10:$BL$156,61,FALSE)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- 2'!$A$10:$BL$156,62,FALSE)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- 2'!$A$10:$BL$156,63,FALSE)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- 2'!$AU$7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- 2'!$A$10:$BL$156,36,FALSE)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- 2'!$A$10:$BL$156,41,FALSE)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- 2'!$A$10:$BL$156,49,FALSE)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- 2'!$A$10:$BL$156,28,FALSE)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- 2'!$A$10:$BL$156,33,FALSE)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- 2'!$AU$6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- 2'!$A$10:$BL$156,50,FALSE)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- 2'!$A$10:$BL$156,51,FALSE)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- 2'!$A$10:$BL$156,43,FALSE)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- 2'!$AU$5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- 2'!$A$10:$BL$156,44,FALSE)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- 2'!$A$10:$BL$156,32,FALSE)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- 2'!$A$10:$BL$156,47,FALSE)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- 2'!$A$10:$BL$156,43,FALSE)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- 2'!$A$10:$BL$156,44,FALSE)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- 2'!$A$10:$BL$156,42,FALSE)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- 2'!$A$10:$BL$156,41,FALSE)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- 2'!$A$10:$BL$156,42,FALSE)</f>
        <v>0</v>
      </c>
      <c r="D29" s="86" t="str">
        <f>VLOOKUP(CONCATENATE(B26,".3"),'Resultados - 2'!$A$10:$BL$156,7,FALSE)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- 2'!$A$10:$BL$156,42,FALSE)=1,1,VLOOKUP(CONCATENATE(B26,".5"),'Resultados - 2'!$A$10:$BL$156,42,FALSE)-1)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- 2'!$A$10:$BL$156,26,FALSE)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- 2'!$A$10:$BL$156,37,FALSE)</f>
        <v>3.0000000000000001E-5</v>
      </c>
      <c r="D30" s="86" t="str">
        <f ca="1">VLOOKUP(CONCATENATE(B26,".9"),'Resultados - 2'!$A$10:$BL$156,34,FALSE)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- 2'!$A$10:$BL$156,38,FALSE)</f>
        <v>2</v>
      </c>
      <c r="H30" s="86" t="e">
        <f ca="1">(VLOOKUP(CONCATENATE(B26,".20"),'Resultados - 2'!$A$10:$BL$156,29,FALSE)/T42)*T45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- 2'!$A$10:$BL$156,39,FALSE)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- 2'!$A$10:$BL$156,27,FALSE)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- 2'!$A$10:$BL$156,61,FALSE)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- 2'!$A$10:$BL$156,62,FALSE)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- 2'!$A$10:$BL$156,63,FALSE)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- 2'!$AU$7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- 2'!$A$10:$BL$156,36,FALSE)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- 2'!$A$10:$BL$156,41,FALSE)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- 2'!$A$10:$BL$156,49,FALSE)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- 2'!$A$10:$BL$156,28,FALSE)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- 2'!$A$10:$BL$156,33,FALSE)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- 2'!$AU$6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- 2'!$A$10:$BL$156,50,FALSE)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- 2'!$A$10:$BL$156,51,FALSE)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- 2'!$A$10:$BL$156,43,FALSE)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- 2'!$AU$5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- 2'!$A$10:$BL$156,44,FALSE)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- 2'!$A$10:$BL$156,32,FALSE)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- 2'!$A$10:$BL$156,47,FALSE)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- 2'!$A$10:$BL$156,43,FALSE)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- 2'!$A$10:$BL$156,44,FALSE)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- 2'!$A$10:$BL$156,42,FALSE)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- 2'!$A$10:$BL$156,41,FALSE)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- 2'!$A$10:$BL$156,42,FALSE)</f>
        <v>0</v>
      </c>
      <c r="D52" s="86" t="str">
        <f>VLOOKUP(CONCATENATE(B49,".3"),'Resultados - 2'!$A$10:$BL$156,7,FALSE)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- 2'!$A$10:$BL$156,42,FALSE)=1,1,VLOOKUP(CONCATENATE(B49,".5"),'Resultados - 2'!$A$10:$BL$156,42,FALSE)-1)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- 2'!$A$10:$BL$156,26,FALSE)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- 2'!$A$10:$BL$156,37,FALSE)</f>
        <v>3.0000000000000001E-5</v>
      </c>
      <c r="D53" s="86" t="str">
        <f ca="1">VLOOKUP(CONCATENATE(B49,".9"),'Resultados - 2'!$A$10:$BL$156,34,FALSE)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- 2'!$A$10:$BL$156,38,FALSE)</f>
        <v>2</v>
      </c>
      <c r="H53" s="86" t="e">
        <f ca="1">(VLOOKUP(CONCATENATE(B49,".20"),'Resultados - 2'!$A$10:$BL$156,29,FALSE)/T65)*T68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- 2'!$A$10:$BL$156,39,FALSE)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- 2'!$A$10:$BL$156,27,FALSE)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- 2'!$A$10:$BL$156,61,FALSE)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- 2'!$A$10:$BL$156,62,FALSE)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- 2'!$A$10:$BL$156,63,FALSE)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- 2'!$AU$7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- 2'!$A$10:$BL$156,36,FALSE)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- 2'!$A$10:$BL$156,41,FALSE)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- 2'!$A$10:$BL$156,49,FALSE)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- 2'!$A$10:$BL$156,28,FALSE)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- 2'!$A$10:$BL$156,33,FALSE)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- 2'!$AU$6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- 2'!$A$10:$BL$156,50,FALSE)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- 2'!$A$10:$BL$156,51,FALSE)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- 2'!$A$10:$BL$156,43,FALSE)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- 2'!$AU$5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- 2'!$A$10:$BL$156,44,FALSE)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- 2'!$A$10:$BL$156,32,FALSE)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- 2'!$A$10:$BL$156,47,FALSE)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- 2'!$A$10:$BL$156,43,FALSE)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- 2'!$A$10:$BL$156,44,FALSE)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- 2'!$A$10:$BL$156,42,FALSE)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- 2'!$A$10:$BL$156,41,FALSE)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- 2'!$A$10:$BL$156,42,FALSE)</f>
        <v>0</v>
      </c>
      <c r="D75" s="86" t="str">
        <f>VLOOKUP(CONCATENATE(B72,".3"),'Resultados - 2'!$A$10:$BL$156,7,FALSE)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- 2'!$A$10:$BL$156,42,FALSE)=1,1,VLOOKUP(CONCATENATE(B72,".5"),'Resultados - 2'!$A$10:$BL$156,42,FALSE)-1)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- 2'!$A$10:$BL$156,26,FALSE)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- 2'!$A$10:$BL$156,37,FALSE)</f>
        <v>3.0000000000000001E-5</v>
      </c>
      <c r="D76" s="86" t="str">
        <f ca="1">VLOOKUP(CONCATENATE(B72,".9"),'Resultados - 2'!$A$10:$BL$156,34,FALSE)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- 2'!$A$10:$BL$156,38,FALSE)</f>
        <v>2</v>
      </c>
      <c r="H76" s="86" t="e">
        <f ca="1">(VLOOKUP(CONCATENATE(B72,".20"),'Resultados - 2'!$A$10:$BL$156,29,FALSE)/T88)*T91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- 2'!$A$10:$BL$156,39,FALSE)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- 2'!$A$10:$BL$156,27,FALSE)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- 2'!$A$10:$BL$156,61,FALSE)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- 2'!$A$10:$BL$156,62,FALSE)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- 2'!$A$10:$BL$156,63,FALSE)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- 2'!$AU$7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- 2'!$A$10:$BL$156,36,FALSE)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- 2'!$A$10:$BL$156,41,FALSE)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- 2'!$A$10:$BL$156,49,FALSE)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- 2'!$A$10:$BL$156,28,FALSE)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- 2'!$A$10:$BL$156,33,FALSE)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- 2'!$AU$6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- 2'!$A$10:$BL$156,50,FALSE)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- 2'!$A$10:$BL$156,51,FALSE)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- 2'!$A$10:$BL$156,43,FALSE)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- 2'!$AU$5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- 2'!$A$10:$BL$156,44,FALSE)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- 2'!$A$10:$BL$156,32,FALSE)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- 2'!$A$10:$BL$156,47,FALSE)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- 2'!$A$10:$BL$156,43,FALSE)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- 2'!$A$10:$BL$156,44,FALSE)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- 2'!$A$10:$BL$156,42,FALSE)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- 2'!$A$10:$BL$156,41,FALSE)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- 2'!$A$10:$BL$156,42,FALSE)</f>
        <v>0</v>
      </c>
      <c r="D98" s="86" t="str">
        <f>VLOOKUP(CONCATENATE(B95,".3"),'Resultados - 2'!$A$10:$BL$156,7,FALSE)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- 2'!$A$10:$BL$156,42,FALSE)=1,1,VLOOKUP(CONCATENATE(B95,".5"),'Resultados - 2'!$A$10:$BL$156,42,FALSE)-1)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- 2'!$A$10:$BL$156,26,FALSE)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- 2'!$A$10:$BL$156,37,FALSE)</f>
        <v>3.0000000000000001E-5</v>
      </c>
      <c r="D99" s="86" t="str">
        <f ca="1">VLOOKUP(CONCATENATE(B95,".9"),'Resultados - 2'!$A$10:$BL$156,34,FALSE)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- 2'!$A$10:$BL$156,38,FALSE)</f>
        <v>2</v>
      </c>
      <c r="H99" s="86" t="e">
        <f ca="1">(VLOOKUP(CONCATENATE(B95,".20"),'Resultados - 2'!$A$10:$BL$156,29,FALSE)/T111)*T114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- 2'!$A$10:$BL$156,39,FALSE)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- 2'!$A$10:$BL$156,27,FALSE)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- 2'!$A$10:$BL$156,61,FALSE)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- 2'!$A$10:$BL$156,62,FALSE)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- 2'!$A$10:$BL$156,63,FALSE)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- 2'!$AU$7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- 2'!$A$10:$BL$156,36,FALSE)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- 2'!$A$10:$BL$156,41,FALSE)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- 2'!$A$10:$BL$156,49,FALSE)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- 2'!$A$10:$BL$156,28,FALSE)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- 2'!$A$10:$BL$156,33,FALSE)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- 2'!$AU$6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- 2'!$A$10:$BL$156,50,FALSE)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- 2'!$A$10:$BL$156,51,FALSE)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- 2'!$A$10:$BL$156,43,FALSE)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- 2'!$AU$5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- 2'!$A$10:$BL$156,44,FALSE)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- 2'!$A$10:$BL$156,32,FALSE)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- 2'!$A$10:$BL$156,47,FALSE)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- 2'!$A$10:$BL$156,43,FALSE)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- 2'!$A$10:$BL$156,44,FALSE)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- 2'!$A$10:$BL$156,42,FALSE)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- 2'!$A$10:$BL$156,41,FALSE)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- 2'!$A$10:$BL$156,42,FALSE)</f>
        <v>0</v>
      </c>
      <c r="D121" s="86" t="str">
        <f>VLOOKUP(CONCATENATE(B118,".3"),'Resultados - 2'!$A$10:$BL$156,7,FALSE)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- 2'!$A$10:$BL$156,42,FALSE)=1,1,VLOOKUP(CONCATENATE(B118,".5"),'Resultados - 2'!$A$10:$BL$156,42,FALSE)-1)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- 2'!$A$10:$BL$156,26,FALSE)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- 2'!$A$10:$BL$156,37,FALSE)</f>
        <v>3.0000000000000001E-5</v>
      </c>
      <c r="D122" s="86" t="str">
        <f ca="1">VLOOKUP(CONCATENATE(B118,".9"),'Resultados - 2'!$A$10:$BL$156,34,FALSE)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- 2'!$A$10:$BL$156,38,FALSE)</f>
        <v>2</v>
      </c>
      <c r="H122" s="86" t="e">
        <f ca="1">(VLOOKUP(CONCATENATE(B118,".20"),'Resultados - 2'!$A$10:$BL$156,29,FALSE)/T134)*T137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- 2'!$A$10:$BL$156,39,FALSE)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- 2'!$A$10:$BL$156,27,FALSE)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- 2'!$A$10:$BL$156,61,FALSE)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- 2'!$A$10:$BL$156,62,FALSE)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- 2'!$A$10:$BL$156,63,FALSE)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- 2'!$AU$7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- 2'!$A$10:$BL$156,36,FALSE)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- 2'!$A$10:$BL$156,41,FALSE)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- 2'!$A$10:$BL$156,49,FALSE)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- 2'!$A$10:$BL$156,28,FALSE)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- 2'!$A$10:$BL$156,33,FALSE)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- 2'!$AU$6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- 2'!$A$10:$BL$156,50,FALSE)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- 2'!$A$10:$BL$156,51,FALSE)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- 2'!$A$10:$BL$156,43,FALSE)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- 2'!$AU$5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- 2'!$A$10:$BL$156,44,FALSE)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- 2'!$A$10:$BL$156,32,FALSE)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- 2'!$A$10:$BL$156,47,FALSE)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- 2'!$A$10:$BL$156,43,FALSE)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- 2'!$A$10:$BL$156,44,FALSE)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- 2'!$A$10:$BL$156,42,FALSE)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- 2'!$A$10:$BL$156,41,FALSE)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- 2'!$A$10:$BL$156,42,FALSE)</f>
        <v>0</v>
      </c>
      <c r="D144" s="86" t="str">
        <f>VLOOKUP(CONCATENATE(B141,".3"),'Resultados - 2'!$A$10:$BL$156,7,FALSE)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- 2'!$A$10:$BL$156,42,FALSE)=1,1,VLOOKUP(CONCATENATE(B141,".5"),'Resultados - 2'!$A$10:$BL$156,42,FALSE)-1)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- 2'!$A$10:$BL$156,26,FALSE)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- 2'!$A$10:$BL$156,37,FALSE)</f>
        <v>3.0000000000000001E-5</v>
      </c>
      <c r="D145" s="86" t="str">
        <f ca="1">VLOOKUP(CONCATENATE(B141,".9"),'Resultados - 2'!$A$10:$BL$156,34,FALSE)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- 2'!$A$10:$BL$156,38,FALSE)</f>
        <v>2</v>
      </c>
      <c r="H145" s="86" t="e">
        <f ca="1">(VLOOKUP(CONCATENATE(B141,".20"),'Resultados - 2'!$A$10:$BL$156,29,FALSE)/T157)*T160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- 2'!$A$10:$BL$156,39,FALSE)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- 2'!$A$10:$BL$156,27,FALSE)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- 2'!$A$10:$BL$156,61,FALSE)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- 2'!$A$10:$BL$156,62,FALSE)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- 2'!$A$10:$BL$156,63,FALSE)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- 2'!$AU$7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- 2'!$A$10:$BL$156,36,FALSE)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- 2'!$A$10:$BL$156,41,FALSE)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- 2'!$A$10:$BL$156,49,FALSE)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- 2'!$A$10:$BL$156,28,FALSE)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- 2'!$A$10:$BL$156,33,FALSE)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- 2'!$AU$6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- 2'!$A$10:$BL$156,50,FALSE)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- 2'!$A$10:$BL$156,51,FALSE)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- 2'!$A$10:$BL$156,43,FALSE)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- 2'!$AU$5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- 2'!$A$10:$BL$156,44,FALSE)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- 2'!$A$10:$BL$156,32,FALSE)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- 2'!$A$10:$BL$156,47,FALSE)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- 2'!$A$10:$BL$156,43,FALSE)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- 2'!$A$10:$BL$156,44,FALSE)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- 2'!$A$10:$BL$156,42,FALSE)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xrwdvZ/fJ3OpJ1kXLziaDVLqGpbSuPoRMDrgfOF09mITZLDDV/aHRUnJpY8qOD2ogLu6ya0v6yAMbWh75bkKhw==" saltValue="eANiNdYF1Gs5QiPGVz7Ko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EA24-741C-4D43-BF81-D3CE3DC6B7F0}">
  <sheetPr codeName="Planilha35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- 3'!$A$2</f>
        <v>3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- 3</v>
      </c>
    </row>
    <row r="2" spans="1:28" ht="23.4" thickBot="1" x14ac:dyDescent="0.35">
      <c r="A2" s="490" t="str">
        <f>CONCATENATE("Volume - Resultados - ",P1)</f>
        <v>Volume - Resultados - 3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- 3'!$A$10:$BL$156,41,FALSE)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- 3'!$A$10:$BL$156,42,FALSE)</f>
        <v>0</v>
      </c>
      <c r="D6" s="86" t="str">
        <f>VLOOKUP(CONCATENATE(B3,".3"),'Resultados - 3'!$A$10:$BL$156,7,FALSE)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- 3'!$A$10:$BL$156,42,FALSE)=1,1,VLOOKUP(CONCATENATE(B3,".5"),'Resultados - 3'!$A$10:$BL$156,42,FALSE)-1)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- 3'!$A$10:$BL$156,26,FALSE)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- 3'!$A$10:$BL$156,37,FALSE)</f>
        <v>3.0000000000000001E-5</v>
      </c>
      <c r="D7" s="86" t="str">
        <f ca="1">VLOOKUP(CONCATENATE(B3,".9"),'Resultados - 3'!$A$10:$BL$156,34,FALSE)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- 3'!$A$10:$BL$156,38,FALSE)</f>
        <v>2</v>
      </c>
      <c r="H7" s="86" t="e">
        <f ca="1">(VLOOKUP(CONCATENATE(B3,".20"),'Resultados - 3'!$A$10:$BL$156,29,FALSE)/T19)*T22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- 3'!$A$10:$BL$156,39,FALSE)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- 3'!$A$10:$BL$156,27,FALSE)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- 3'!$A$10:$BL$156,61,FALSE)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- 3'!$A$10:$BL$156,62,FALSE)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- 3'!$A$10:$BL$156,63,FALSE)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- 3'!$AU$7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- 3'!$A$10:$BL$156,36,FALSE)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- 3'!$A$10:$BL$156,41,FALSE)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- 3'!$A$10:$BL$156,49,FALSE)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- 3'!$A$10:$BL$156,28,FALSE)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- 3'!$A$10:$BL$156,33,FALSE)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- 3'!$AU$6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- 3'!$A$10:$BL$156,50,FALSE)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- 3'!$A$10:$BL$156,51,FALSE)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- 3'!$A$10:$BL$156,43,FALSE)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- 3'!$AU$5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- 3'!$A$10:$BL$156,44,FALSE)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- 3'!$A$10:$BL$156,32,FALSE)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- 3'!$A$10:$BL$156,47,FALSE)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- 3'!$A$10:$BL$156,43,FALSE)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- 3'!$A$10:$BL$156,44,FALSE)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- 3'!$A$10:$BL$156,42,FALSE)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- 3'!$A$10:$BL$156,41,FALSE)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- 3'!$A$10:$BL$156,42,FALSE)</f>
        <v>0</v>
      </c>
      <c r="D29" s="86" t="str">
        <f>VLOOKUP(CONCATENATE(B26,".3"),'Resultados - 3'!$A$10:$BL$156,7,FALSE)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- 3'!$A$10:$BL$156,42,FALSE)=1,1,VLOOKUP(CONCATENATE(B26,".5"),'Resultados - 3'!$A$10:$BL$156,42,FALSE)-1)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- 3'!$A$10:$BL$156,26,FALSE)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- 3'!$A$10:$BL$156,37,FALSE)</f>
        <v>3.0000000000000001E-5</v>
      </c>
      <c r="D30" s="86" t="str">
        <f ca="1">VLOOKUP(CONCATENATE(B26,".9"),'Resultados - 3'!$A$10:$BL$156,34,FALSE)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- 3'!$A$10:$BL$156,38,FALSE)</f>
        <v>2</v>
      </c>
      <c r="H30" s="86" t="e">
        <f ca="1">(VLOOKUP(CONCATENATE(B26,".20"),'Resultados - 3'!$A$10:$BL$156,29,FALSE)/T42)*T45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- 3'!$A$10:$BL$156,39,FALSE)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- 3'!$A$10:$BL$156,27,FALSE)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- 3'!$A$10:$BL$156,61,FALSE)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- 3'!$A$10:$BL$156,62,FALSE)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- 3'!$A$10:$BL$156,63,FALSE)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- 3'!$AU$7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- 3'!$A$10:$BL$156,36,FALSE)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- 3'!$A$10:$BL$156,41,FALSE)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- 3'!$A$10:$BL$156,49,FALSE)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- 3'!$A$10:$BL$156,28,FALSE)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- 3'!$A$10:$BL$156,33,FALSE)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- 3'!$AU$6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- 3'!$A$10:$BL$156,50,FALSE)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- 3'!$A$10:$BL$156,51,FALSE)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- 3'!$A$10:$BL$156,43,FALSE)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- 3'!$AU$5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- 3'!$A$10:$BL$156,44,FALSE)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- 3'!$A$10:$BL$156,32,FALSE)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- 3'!$A$10:$BL$156,47,FALSE)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- 3'!$A$10:$BL$156,43,FALSE)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- 3'!$A$10:$BL$156,44,FALSE)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- 3'!$A$10:$BL$156,42,FALSE)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- 3'!$A$10:$BL$156,41,FALSE)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- 3'!$A$10:$BL$156,42,FALSE)</f>
        <v>0</v>
      </c>
      <c r="D52" s="86" t="str">
        <f>VLOOKUP(CONCATENATE(B49,".3"),'Resultados - 3'!$A$10:$BL$156,7,FALSE)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- 3'!$A$10:$BL$156,42,FALSE)=1,1,VLOOKUP(CONCATENATE(B49,".5"),'Resultados - 3'!$A$10:$BL$156,42,FALSE)-1)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- 3'!$A$10:$BL$156,26,FALSE)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- 3'!$A$10:$BL$156,37,FALSE)</f>
        <v>3.0000000000000001E-5</v>
      </c>
      <c r="D53" s="86" t="str">
        <f ca="1">VLOOKUP(CONCATENATE(B49,".9"),'Resultados - 3'!$A$10:$BL$156,34,FALSE)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- 3'!$A$10:$BL$156,38,FALSE)</f>
        <v>2</v>
      </c>
      <c r="H53" s="86" t="e">
        <f ca="1">(VLOOKUP(CONCATENATE(B49,".20"),'Resultados - 3'!$A$10:$BL$156,29,FALSE)/T65)*T68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- 3'!$A$10:$BL$156,39,FALSE)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- 3'!$A$10:$BL$156,27,FALSE)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- 3'!$A$10:$BL$156,61,FALSE)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- 3'!$A$10:$BL$156,62,FALSE)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- 3'!$A$10:$BL$156,63,FALSE)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- 3'!$AU$7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- 3'!$A$10:$BL$156,36,FALSE)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- 3'!$A$10:$BL$156,41,FALSE)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- 3'!$A$10:$BL$156,49,FALSE)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- 3'!$A$10:$BL$156,28,FALSE)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- 3'!$A$10:$BL$156,33,FALSE)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- 3'!$AU$6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- 3'!$A$10:$BL$156,50,FALSE)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- 3'!$A$10:$BL$156,51,FALSE)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- 3'!$A$10:$BL$156,43,FALSE)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- 3'!$AU$5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- 3'!$A$10:$BL$156,44,FALSE)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- 3'!$A$10:$BL$156,32,FALSE)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- 3'!$A$10:$BL$156,47,FALSE)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- 3'!$A$10:$BL$156,43,FALSE)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- 3'!$A$10:$BL$156,44,FALSE)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- 3'!$A$10:$BL$156,42,FALSE)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- 3'!$A$10:$BL$156,41,FALSE)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- 3'!$A$10:$BL$156,42,FALSE)</f>
        <v>0</v>
      </c>
      <c r="D75" s="86" t="str">
        <f>VLOOKUP(CONCATENATE(B72,".3"),'Resultados - 3'!$A$10:$BL$156,7,FALSE)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- 3'!$A$10:$BL$156,42,FALSE)=1,1,VLOOKUP(CONCATENATE(B72,".5"),'Resultados - 3'!$A$10:$BL$156,42,FALSE)-1)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- 3'!$A$10:$BL$156,26,FALSE)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- 3'!$A$10:$BL$156,37,FALSE)</f>
        <v>3.0000000000000001E-5</v>
      </c>
      <c r="D76" s="86" t="str">
        <f ca="1">VLOOKUP(CONCATENATE(B72,".9"),'Resultados - 3'!$A$10:$BL$156,34,FALSE)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- 3'!$A$10:$BL$156,38,FALSE)</f>
        <v>2</v>
      </c>
      <c r="H76" s="86" t="e">
        <f ca="1">(VLOOKUP(CONCATENATE(B72,".20"),'Resultados - 3'!$A$10:$BL$156,29,FALSE)/T88)*T91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- 3'!$A$10:$BL$156,39,FALSE)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- 3'!$A$10:$BL$156,27,FALSE)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- 3'!$A$10:$BL$156,61,FALSE)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- 3'!$A$10:$BL$156,62,FALSE)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- 3'!$A$10:$BL$156,63,FALSE)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- 3'!$AU$7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- 3'!$A$10:$BL$156,36,FALSE)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- 3'!$A$10:$BL$156,41,FALSE)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- 3'!$A$10:$BL$156,49,FALSE)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- 3'!$A$10:$BL$156,28,FALSE)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- 3'!$A$10:$BL$156,33,FALSE)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- 3'!$AU$6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- 3'!$A$10:$BL$156,50,FALSE)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- 3'!$A$10:$BL$156,51,FALSE)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- 3'!$A$10:$BL$156,43,FALSE)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- 3'!$AU$5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- 3'!$A$10:$BL$156,44,FALSE)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- 3'!$A$10:$BL$156,32,FALSE)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- 3'!$A$10:$BL$156,47,FALSE)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- 3'!$A$10:$BL$156,43,FALSE)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- 3'!$A$10:$BL$156,44,FALSE)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- 3'!$A$10:$BL$156,42,FALSE)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- 3'!$A$10:$BL$156,41,FALSE)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- 3'!$A$10:$BL$156,42,FALSE)</f>
        <v>0</v>
      </c>
      <c r="D98" s="86" t="str">
        <f>VLOOKUP(CONCATENATE(B95,".3"),'Resultados - 3'!$A$10:$BL$156,7,FALSE)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- 3'!$A$10:$BL$156,42,FALSE)=1,1,VLOOKUP(CONCATENATE(B95,".5"),'Resultados - 3'!$A$10:$BL$156,42,FALSE)-1)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- 3'!$A$10:$BL$156,26,FALSE)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- 3'!$A$10:$BL$156,37,FALSE)</f>
        <v>3.0000000000000001E-5</v>
      </c>
      <c r="D99" s="86" t="str">
        <f ca="1">VLOOKUP(CONCATENATE(B95,".9"),'Resultados - 3'!$A$10:$BL$156,34,FALSE)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- 3'!$A$10:$BL$156,38,FALSE)</f>
        <v>2</v>
      </c>
      <c r="H99" s="86" t="e">
        <f ca="1">(VLOOKUP(CONCATENATE(B95,".20"),'Resultados - 3'!$A$10:$BL$156,29,FALSE)/T111)*T114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- 3'!$A$10:$BL$156,39,FALSE)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- 3'!$A$10:$BL$156,27,FALSE)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- 3'!$A$10:$BL$156,61,FALSE)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- 3'!$A$10:$BL$156,62,FALSE)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- 3'!$A$10:$BL$156,63,FALSE)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- 3'!$AU$7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- 3'!$A$10:$BL$156,36,FALSE)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- 3'!$A$10:$BL$156,41,FALSE)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- 3'!$A$10:$BL$156,49,FALSE)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- 3'!$A$10:$BL$156,28,FALSE)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- 3'!$A$10:$BL$156,33,FALSE)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- 3'!$AU$6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- 3'!$A$10:$BL$156,50,FALSE)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- 3'!$A$10:$BL$156,51,FALSE)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- 3'!$A$10:$BL$156,43,FALSE)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- 3'!$AU$5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- 3'!$A$10:$BL$156,44,FALSE)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- 3'!$A$10:$BL$156,32,FALSE)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- 3'!$A$10:$BL$156,47,FALSE)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- 3'!$A$10:$BL$156,43,FALSE)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- 3'!$A$10:$BL$156,44,FALSE)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- 3'!$A$10:$BL$156,42,FALSE)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- 3'!$A$10:$BL$156,41,FALSE)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- 3'!$A$10:$BL$156,42,FALSE)</f>
        <v>0</v>
      </c>
      <c r="D121" s="86" t="str">
        <f>VLOOKUP(CONCATENATE(B118,".3"),'Resultados - 3'!$A$10:$BL$156,7,FALSE)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- 3'!$A$10:$BL$156,42,FALSE)=1,1,VLOOKUP(CONCATENATE(B118,".5"),'Resultados - 3'!$A$10:$BL$156,42,FALSE)-1)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- 3'!$A$10:$BL$156,26,FALSE)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- 3'!$A$10:$BL$156,37,FALSE)</f>
        <v>3.0000000000000001E-5</v>
      </c>
      <c r="D122" s="86" t="str">
        <f ca="1">VLOOKUP(CONCATENATE(B118,".9"),'Resultados - 3'!$A$10:$BL$156,34,FALSE)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- 3'!$A$10:$BL$156,38,FALSE)</f>
        <v>2</v>
      </c>
      <c r="H122" s="86" t="e">
        <f ca="1">(VLOOKUP(CONCATENATE(B118,".20"),'Resultados - 3'!$A$10:$BL$156,29,FALSE)/T134)*T137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- 3'!$A$10:$BL$156,39,FALSE)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- 3'!$A$10:$BL$156,27,FALSE)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- 3'!$A$10:$BL$156,61,FALSE)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- 3'!$A$10:$BL$156,62,FALSE)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- 3'!$A$10:$BL$156,63,FALSE)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- 3'!$AU$7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- 3'!$A$10:$BL$156,36,FALSE)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- 3'!$A$10:$BL$156,41,FALSE)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- 3'!$A$10:$BL$156,49,FALSE)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- 3'!$A$10:$BL$156,28,FALSE)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- 3'!$A$10:$BL$156,33,FALSE)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- 3'!$AU$6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- 3'!$A$10:$BL$156,50,FALSE)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- 3'!$A$10:$BL$156,51,FALSE)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- 3'!$A$10:$BL$156,43,FALSE)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- 3'!$AU$5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- 3'!$A$10:$BL$156,44,FALSE)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- 3'!$A$10:$BL$156,32,FALSE)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- 3'!$A$10:$BL$156,47,FALSE)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- 3'!$A$10:$BL$156,43,FALSE)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- 3'!$A$10:$BL$156,44,FALSE)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- 3'!$A$10:$BL$156,42,FALSE)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- 3'!$A$10:$BL$156,41,FALSE)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- 3'!$A$10:$BL$156,42,FALSE)</f>
        <v>0</v>
      </c>
      <c r="D144" s="86" t="str">
        <f>VLOOKUP(CONCATENATE(B141,".3"),'Resultados - 3'!$A$10:$BL$156,7,FALSE)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- 3'!$A$10:$BL$156,42,FALSE)=1,1,VLOOKUP(CONCATENATE(B141,".5"),'Resultados - 3'!$A$10:$BL$156,42,FALSE)-1)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- 3'!$A$10:$BL$156,26,FALSE)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- 3'!$A$10:$BL$156,37,FALSE)</f>
        <v>3.0000000000000001E-5</v>
      </c>
      <c r="D145" s="86" t="str">
        <f ca="1">VLOOKUP(CONCATENATE(B141,".9"),'Resultados - 3'!$A$10:$BL$156,34,FALSE)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- 3'!$A$10:$BL$156,38,FALSE)</f>
        <v>2</v>
      </c>
      <c r="H145" s="86" t="e">
        <f ca="1">(VLOOKUP(CONCATENATE(B141,".20"),'Resultados - 3'!$A$10:$BL$156,29,FALSE)/T157)*T160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- 3'!$A$10:$BL$156,39,FALSE)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- 3'!$A$10:$BL$156,27,FALSE)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- 3'!$A$10:$BL$156,61,FALSE)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- 3'!$A$10:$BL$156,62,FALSE)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- 3'!$A$10:$BL$156,63,FALSE)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- 3'!$AU$7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- 3'!$A$10:$BL$156,36,FALSE)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- 3'!$A$10:$BL$156,41,FALSE)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- 3'!$A$10:$BL$156,49,FALSE)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- 3'!$A$10:$BL$156,28,FALSE)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- 3'!$A$10:$BL$156,33,FALSE)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- 3'!$AU$6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- 3'!$A$10:$BL$156,50,FALSE)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- 3'!$A$10:$BL$156,51,FALSE)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- 3'!$A$10:$BL$156,43,FALSE)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- 3'!$AU$5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- 3'!$A$10:$BL$156,44,FALSE)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- 3'!$A$10:$BL$156,32,FALSE)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- 3'!$A$10:$BL$156,47,FALSE)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- 3'!$A$10:$BL$156,43,FALSE)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- 3'!$A$10:$BL$156,44,FALSE)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- 3'!$A$10:$BL$156,42,FALSE)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cRPglcMaVBj13TJkBxcEdeVU1rDmflrKCbCkJdDiaZznc4Du0ESnWylKQZBjvZvIDUojp5vfh8kk/d4UyuFnjA==" saltValue="C47UniAOafOn9V1zA4aEG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D9ABD-53F1-4C42-BB76-AA35C12E5EB2}">
  <sheetPr codeName="Planilha34"/>
  <dimension ref="A1:AB163"/>
  <sheetViews>
    <sheetView workbookViewId="0">
      <selection activeCell="O1" sqref="O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- 4'!$A$2</f>
        <v>4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- 4</v>
      </c>
    </row>
    <row r="2" spans="1:28" ht="23.4" thickBot="1" x14ac:dyDescent="0.35">
      <c r="A2" s="490" t="str">
        <f>CONCATENATE("Volume - Resultados - ",P1)</f>
        <v>Volume - Resultados - 4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- 4'!$A$10:$BL$156,41,FALSE)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- 4'!$A$10:$BL$156,42,FALSE)</f>
        <v>0</v>
      </c>
      <c r="D6" s="86" t="str">
        <f>VLOOKUP(CONCATENATE(B3,".3"),'Resultados - 4'!$A$10:$BL$156,7,FALSE)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- 4'!$A$10:$BL$156,42,FALSE)=1,1,VLOOKUP(CONCATENATE(B3,".5"),'Resultados - 4'!$A$10:$BL$156,42,FALSE)-1)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- 4'!$A$10:$BL$156,26,FALSE)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- 4'!$A$10:$BL$156,37,FALSE)</f>
        <v>3.0000000000000001E-5</v>
      </c>
      <c r="D7" s="86" t="str">
        <f ca="1">VLOOKUP(CONCATENATE(B3,".9"),'Resultados - 4'!$A$10:$BL$156,34,FALSE)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- 4'!$A$10:$BL$156,38,FALSE)</f>
        <v>2</v>
      </c>
      <c r="H7" s="86" t="e">
        <f ca="1">(VLOOKUP(CONCATENATE(B3,".20"),'Resultados - 4'!$A$10:$BL$156,29,FALSE)/T19)*T22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- 4'!$A$10:$BL$156,39,FALSE)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- 4'!$A$10:$BL$156,27,FALSE)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- 4'!$A$10:$BL$156,61,FALSE)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- 4'!$A$10:$BL$156,62,FALSE)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- 4'!$A$10:$BL$156,63,FALSE)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- 4'!$AU$7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- 4'!$A$10:$BL$156,36,FALSE)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- 4'!$A$10:$BL$156,41,FALSE)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- 4'!$A$10:$BL$156,49,FALSE)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- 4'!$A$10:$BL$156,28,FALSE)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- 4'!$A$10:$BL$156,33,FALSE)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- 4'!$AU$6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- 4'!$A$10:$BL$156,50,FALSE)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- 4'!$A$10:$BL$156,51,FALSE)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- 4'!$A$10:$BL$156,43,FALSE)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- 4'!$AU$5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- 4'!$A$10:$BL$156,44,FALSE)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- 4'!$A$10:$BL$156,32,FALSE)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- 4'!$A$10:$BL$156,47,FALSE)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- 4'!$A$10:$BL$156,43,FALSE)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- 4'!$A$10:$BL$156,44,FALSE)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- 4'!$A$10:$BL$156,42,FALSE)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- 4'!$A$10:$BL$156,41,FALSE)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- 4'!$A$10:$BL$156,42,FALSE)</f>
        <v>0</v>
      </c>
      <c r="D29" s="86" t="str">
        <f>VLOOKUP(CONCATENATE(B26,".3"),'Resultados - 4'!$A$10:$BL$156,7,FALSE)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- 4'!$A$10:$BL$156,42,FALSE)=1,1,VLOOKUP(CONCATENATE(B26,".5"),'Resultados - 4'!$A$10:$BL$156,42,FALSE)-1)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- 4'!$A$10:$BL$156,26,FALSE)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- 4'!$A$10:$BL$156,37,FALSE)</f>
        <v>3.0000000000000001E-5</v>
      </c>
      <c r="D30" s="86" t="str">
        <f ca="1">VLOOKUP(CONCATENATE(B26,".9"),'Resultados - 4'!$A$10:$BL$156,34,FALSE)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- 4'!$A$10:$BL$156,38,FALSE)</f>
        <v>2</v>
      </c>
      <c r="H30" s="86" t="e">
        <f ca="1">(VLOOKUP(CONCATENATE(B26,".20"),'Resultados - 4'!$A$10:$BL$156,29,FALSE)/T42)*T45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- 4'!$A$10:$BL$156,39,FALSE)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- 4'!$A$10:$BL$156,27,FALSE)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- 4'!$A$10:$BL$156,61,FALSE)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- 4'!$A$10:$BL$156,62,FALSE)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- 4'!$A$10:$BL$156,63,FALSE)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- 4'!$AU$7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- 4'!$A$10:$BL$156,36,FALSE)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- 4'!$A$10:$BL$156,41,FALSE)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- 4'!$A$10:$BL$156,49,FALSE)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- 4'!$A$10:$BL$156,28,FALSE)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- 4'!$A$10:$BL$156,33,FALSE)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- 4'!$AU$6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- 4'!$A$10:$BL$156,50,FALSE)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- 4'!$A$10:$BL$156,51,FALSE)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- 4'!$A$10:$BL$156,43,FALSE)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- 4'!$AU$5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- 4'!$A$10:$BL$156,44,FALSE)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- 4'!$A$10:$BL$156,32,FALSE)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- 4'!$A$10:$BL$156,47,FALSE)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- 4'!$A$10:$BL$156,43,FALSE)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- 4'!$A$10:$BL$156,44,FALSE)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- 4'!$A$10:$BL$156,42,FALSE)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- 4'!$A$10:$BL$156,41,FALSE)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- 4'!$A$10:$BL$156,42,FALSE)</f>
        <v>0</v>
      </c>
      <c r="D52" s="86" t="str">
        <f>VLOOKUP(CONCATENATE(B49,".3"),'Resultados - 4'!$A$10:$BL$156,7,FALSE)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- 4'!$A$10:$BL$156,42,FALSE)=1,1,VLOOKUP(CONCATENATE(B49,".5"),'Resultados - 4'!$A$10:$BL$156,42,FALSE)-1)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- 4'!$A$10:$BL$156,26,FALSE)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- 4'!$A$10:$BL$156,37,FALSE)</f>
        <v>3.0000000000000001E-5</v>
      </c>
      <c r="D53" s="86" t="str">
        <f ca="1">VLOOKUP(CONCATENATE(B49,".9"),'Resultados - 4'!$A$10:$BL$156,34,FALSE)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- 4'!$A$10:$BL$156,38,FALSE)</f>
        <v>2</v>
      </c>
      <c r="H53" s="86" t="e">
        <f ca="1">(VLOOKUP(CONCATENATE(B49,".20"),'Resultados - 4'!$A$10:$BL$156,29,FALSE)/T65)*T68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- 4'!$A$10:$BL$156,39,FALSE)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- 4'!$A$10:$BL$156,27,FALSE)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- 4'!$A$10:$BL$156,61,FALSE)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- 4'!$A$10:$BL$156,62,FALSE)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- 4'!$A$10:$BL$156,63,FALSE)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- 4'!$AU$7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- 4'!$A$10:$BL$156,36,FALSE)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- 4'!$A$10:$BL$156,41,FALSE)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- 4'!$A$10:$BL$156,49,FALSE)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- 4'!$A$10:$BL$156,28,FALSE)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- 4'!$A$10:$BL$156,33,FALSE)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- 4'!$AU$6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- 4'!$A$10:$BL$156,50,FALSE)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- 4'!$A$10:$BL$156,51,FALSE)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- 4'!$A$10:$BL$156,43,FALSE)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- 4'!$AU$5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- 4'!$A$10:$BL$156,44,FALSE)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- 4'!$A$10:$BL$156,32,FALSE)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- 4'!$A$10:$BL$156,47,FALSE)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- 4'!$A$10:$BL$156,43,FALSE)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- 4'!$A$10:$BL$156,44,FALSE)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- 4'!$A$10:$BL$156,42,FALSE)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- 4'!$A$10:$BL$156,41,FALSE)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- 4'!$A$10:$BL$156,42,FALSE)</f>
        <v>0</v>
      </c>
      <c r="D75" s="86" t="str">
        <f>VLOOKUP(CONCATENATE(B72,".3"),'Resultados - 4'!$A$10:$BL$156,7,FALSE)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- 4'!$A$10:$BL$156,42,FALSE)=1,1,VLOOKUP(CONCATENATE(B72,".5"),'Resultados - 4'!$A$10:$BL$156,42,FALSE)-1)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- 4'!$A$10:$BL$156,26,FALSE)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- 4'!$A$10:$BL$156,37,FALSE)</f>
        <v>3.0000000000000001E-5</v>
      </c>
      <c r="D76" s="86" t="str">
        <f ca="1">VLOOKUP(CONCATENATE(B72,".9"),'Resultados - 4'!$A$10:$BL$156,34,FALSE)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- 4'!$A$10:$BL$156,38,FALSE)</f>
        <v>2</v>
      </c>
      <c r="H76" s="86" t="e">
        <f ca="1">(VLOOKUP(CONCATENATE(B72,".20"),'Resultados - 4'!$A$10:$BL$156,29,FALSE)/T88)*T91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- 4'!$A$10:$BL$156,39,FALSE)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- 4'!$A$10:$BL$156,27,FALSE)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- 4'!$A$10:$BL$156,61,FALSE)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- 4'!$A$10:$BL$156,62,FALSE)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- 4'!$A$10:$BL$156,63,FALSE)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- 4'!$AU$7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- 4'!$A$10:$BL$156,36,FALSE)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- 4'!$A$10:$BL$156,41,FALSE)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- 4'!$A$10:$BL$156,49,FALSE)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- 4'!$A$10:$BL$156,28,FALSE)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- 4'!$A$10:$BL$156,33,FALSE)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- 4'!$AU$6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- 4'!$A$10:$BL$156,50,FALSE)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- 4'!$A$10:$BL$156,51,FALSE)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- 4'!$A$10:$BL$156,43,FALSE)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- 4'!$AU$5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- 4'!$A$10:$BL$156,44,FALSE)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- 4'!$A$10:$BL$156,32,FALSE)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- 4'!$A$10:$BL$156,47,FALSE)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- 4'!$A$10:$BL$156,43,FALSE)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- 4'!$A$10:$BL$156,44,FALSE)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- 4'!$A$10:$BL$156,42,FALSE)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- 4'!$A$10:$BL$156,41,FALSE)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- 4'!$A$10:$BL$156,42,FALSE)</f>
        <v>0</v>
      </c>
      <c r="D98" s="86" t="str">
        <f>VLOOKUP(CONCATENATE(B95,".3"),'Resultados - 4'!$A$10:$BL$156,7,FALSE)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- 4'!$A$10:$BL$156,42,FALSE)=1,1,VLOOKUP(CONCATENATE(B95,".5"),'Resultados - 4'!$A$10:$BL$156,42,FALSE)-1)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- 4'!$A$10:$BL$156,26,FALSE)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- 4'!$A$10:$BL$156,37,FALSE)</f>
        <v>3.0000000000000001E-5</v>
      </c>
      <c r="D99" s="86" t="str">
        <f ca="1">VLOOKUP(CONCATENATE(B95,".9"),'Resultados - 4'!$A$10:$BL$156,34,FALSE)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- 4'!$A$10:$BL$156,38,FALSE)</f>
        <v>2</v>
      </c>
      <c r="H99" s="86" t="e">
        <f ca="1">(VLOOKUP(CONCATENATE(B95,".20"),'Resultados - 4'!$A$10:$BL$156,29,FALSE)/T111)*T114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- 4'!$A$10:$BL$156,39,FALSE)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- 4'!$A$10:$BL$156,27,FALSE)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- 4'!$A$10:$BL$156,61,FALSE)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- 4'!$A$10:$BL$156,62,FALSE)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- 4'!$A$10:$BL$156,63,FALSE)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- 4'!$AU$7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- 4'!$A$10:$BL$156,36,FALSE)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- 4'!$A$10:$BL$156,41,FALSE)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- 4'!$A$10:$BL$156,49,FALSE)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- 4'!$A$10:$BL$156,28,FALSE)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- 4'!$A$10:$BL$156,33,FALSE)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- 4'!$AU$6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- 4'!$A$10:$BL$156,50,FALSE)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- 4'!$A$10:$BL$156,51,FALSE)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- 4'!$A$10:$BL$156,43,FALSE)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- 4'!$AU$5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- 4'!$A$10:$BL$156,44,FALSE)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- 4'!$A$10:$BL$156,32,FALSE)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- 4'!$A$10:$BL$156,47,FALSE)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- 4'!$A$10:$BL$156,43,FALSE)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- 4'!$A$10:$BL$156,44,FALSE)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- 4'!$A$10:$BL$156,42,FALSE)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- 4'!$A$10:$BL$156,41,FALSE)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- 4'!$A$10:$BL$156,42,FALSE)</f>
        <v>0</v>
      </c>
      <c r="D121" s="86" t="str">
        <f>VLOOKUP(CONCATENATE(B118,".3"),'Resultados - 4'!$A$10:$BL$156,7,FALSE)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- 4'!$A$10:$BL$156,42,FALSE)=1,1,VLOOKUP(CONCATENATE(B118,".5"),'Resultados - 4'!$A$10:$BL$156,42,FALSE)-1)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- 4'!$A$10:$BL$156,26,FALSE)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- 4'!$A$10:$BL$156,37,FALSE)</f>
        <v>3.0000000000000001E-5</v>
      </c>
      <c r="D122" s="86" t="str">
        <f ca="1">VLOOKUP(CONCATENATE(B118,".9"),'Resultados - 4'!$A$10:$BL$156,34,FALSE)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- 4'!$A$10:$BL$156,38,FALSE)</f>
        <v>2</v>
      </c>
      <c r="H122" s="86" t="e">
        <f ca="1">(VLOOKUP(CONCATENATE(B118,".20"),'Resultados - 4'!$A$10:$BL$156,29,FALSE)/T134)*T137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- 4'!$A$10:$BL$156,39,FALSE)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- 4'!$A$10:$BL$156,27,FALSE)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- 4'!$A$10:$BL$156,61,FALSE)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- 4'!$A$10:$BL$156,62,FALSE)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- 4'!$A$10:$BL$156,63,FALSE)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- 4'!$AU$7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- 4'!$A$10:$BL$156,36,FALSE)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- 4'!$A$10:$BL$156,41,FALSE)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- 4'!$A$10:$BL$156,49,FALSE)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- 4'!$A$10:$BL$156,28,FALSE)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- 4'!$A$10:$BL$156,33,FALSE)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- 4'!$AU$6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- 4'!$A$10:$BL$156,50,FALSE)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- 4'!$A$10:$BL$156,51,FALSE)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- 4'!$A$10:$BL$156,43,FALSE)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- 4'!$AU$5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- 4'!$A$10:$BL$156,44,FALSE)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- 4'!$A$10:$BL$156,32,FALSE)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- 4'!$A$10:$BL$156,47,FALSE)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- 4'!$A$10:$BL$156,43,FALSE)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- 4'!$A$10:$BL$156,44,FALSE)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- 4'!$A$10:$BL$156,42,FALSE)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- 4'!$A$10:$BL$156,41,FALSE)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- 4'!$A$10:$BL$156,42,FALSE)</f>
        <v>0</v>
      </c>
      <c r="D144" s="86" t="str">
        <f>VLOOKUP(CONCATENATE(B141,".3"),'Resultados - 4'!$A$10:$BL$156,7,FALSE)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- 4'!$A$10:$BL$156,42,FALSE)=1,1,VLOOKUP(CONCATENATE(B141,".5"),'Resultados - 4'!$A$10:$BL$156,42,FALSE)-1)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- 4'!$A$10:$BL$156,26,FALSE)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- 4'!$A$10:$BL$156,37,FALSE)</f>
        <v>3.0000000000000001E-5</v>
      </c>
      <c r="D145" s="86" t="str">
        <f ca="1">VLOOKUP(CONCATENATE(B141,".9"),'Resultados - 4'!$A$10:$BL$156,34,FALSE)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- 4'!$A$10:$BL$156,38,FALSE)</f>
        <v>2</v>
      </c>
      <c r="H145" s="86" t="e">
        <f ca="1">(VLOOKUP(CONCATENATE(B141,".20"),'Resultados - 4'!$A$10:$BL$156,29,FALSE)/T157)*T160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- 4'!$A$10:$BL$156,39,FALSE)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- 4'!$A$10:$BL$156,27,FALSE)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- 4'!$A$10:$BL$156,61,FALSE)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- 4'!$A$10:$BL$156,62,FALSE)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- 4'!$A$10:$BL$156,63,FALSE)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- 4'!$AU$7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- 4'!$A$10:$BL$156,36,FALSE)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- 4'!$A$10:$BL$156,41,FALSE)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- 4'!$A$10:$BL$156,49,FALSE)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- 4'!$A$10:$BL$156,28,FALSE)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- 4'!$A$10:$BL$156,33,FALSE)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- 4'!$AU$6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- 4'!$A$10:$BL$156,50,FALSE)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- 4'!$A$10:$BL$156,51,FALSE)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- 4'!$A$10:$BL$156,43,FALSE)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- 4'!$AU$5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- 4'!$A$10:$BL$156,44,FALSE)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- 4'!$A$10:$BL$156,32,FALSE)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- 4'!$A$10:$BL$156,47,FALSE)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- 4'!$A$10:$BL$156,43,FALSE)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- 4'!$A$10:$BL$156,44,FALSE)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- 4'!$A$10:$BL$156,42,FALSE)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0q2aRGW1A954AnmykArFwaJS1nhHkBww+y24sN/MgbJFrKycxYnnmsFDKlS4ywpOyH43Aqfju4lHagyZ/5yUgQ==" saltValue="qql1XvIq8mwn6EztrvnEKw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D0249-0C87-4597-BAAB-EF05B4C1D365}">
  <sheetPr codeName="Planilha33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- 5'!$A$2</f>
        <v>5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- 5</v>
      </c>
    </row>
    <row r="2" spans="1:28" ht="23.4" thickBot="1" x14ac:dyDescent="0.35">
      <c r="A2" s="490" t="str">
        <f>CONCATENATE("Volume - Resultados - ",P1)</f>
        <v>Volume - Resultados - 5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- 5'!$A$10:$BL$156,41,FALSE)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- 5'!$A$10:$BL$156,42,FALSE)</f>
        <v>0</v>
      </c>
      <c r="D6" s="86" t="str">
        <f>VLOOKUP(CONCATENATE(B3,".3"),'Resultados - 5'!$A$10:$BL$156,7,FALSE)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- 5'!$A$10:$BL$156,42,FALSE)=1,1,VLOOKUP(CONCATENATE(B3,".5"),'Resultados - 5'!$A$10:$BL$156,42,FALSE)-1)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- 5'!$A$10:$BL$156,26,FALSE)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- 5'!$A$10:$BL$156,37,FALSE)</f>
        <v>3.0000000000000001E-5</v>
      </c>
      <c r="D7" s="86" t="str">
        <f ca="1">VLOOKUP(CONCATENATE(B3,".9"),'Resultados - 5'!$A$10:$BL$156,34,FALSE)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- 5'!$A$10:$BL$156,38,FALSE)</f>
        <v>2</v>
      </c>
      <c r="H7" s="86" t="e">
        <f ca="1">(VLOOKUP(CONCATENATE(B3,".20"),'Resultados - 5'!$A$10:$BL$156,29,FALSE)/T19)*T22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- 5'!$A$10:$BL$156,39,FALSE)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- 5'!$A$10:$BL$156,27,FALSE)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- 5'!$A$10:$BL$156,61,FALSE)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- 5'!$A$10:$BL$156,62,FALSE)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- 5'!$A$10:$BL$156,63,FALSE)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- 5'!$AU$7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- 5'!$A$10:$BL$156,36,FALSE)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- 5'!$A$10:$BL$156,41,FALSE)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- 5'!$A$10:$BL$156,49,FALSE)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- 5'!$A$10:$BL$156,28,FALSE)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- 5'!$A$10:$BL$156,33,FALSE)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- 5'!$AU$6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- 5'!$A$10:$BL$156,50,FALSE)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- 5'!$A$10:$BL$156,51,FALSE)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- 5'!$A$10:$BL$156,43,FALSE)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- 5'!$AU$5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- 5'!$A$10:$BL$156,44,FALSE)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- 5'!$A$10:$BL$156,32,FALSE)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- 5'!$A$10:$BL$156,47,FALSE)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- 5'!$A$10:$BL$156,43,FALSE)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- 5'!$A$10:$BL$156,44,FALSE)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- 5'!$A$10:$BL$156,42,FALSE)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- 5'!$A$10:$BL$156,41,FALSE)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- 5'!$A$10:$BL$156,42,FALSE)</f>
        <v>0</v>
      </c>
      <c r="D29" s="86" t="str">
        <f>VLOOKUP(CONCATENATE(B26,".3"),'Resultados - 5'!$A$10:$BL$156,7,FALSE)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- 5'!$A$10:$BL$156,42,FALSE)=1,1,VLOOKUP(CONCATENATE(B26,".5"),'Resultados - 5'!$A$10:$BL$156,42,FALSE)-1)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- 5'!$A$10:$BL$156,26,FALSE)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- 5'!$A$10:$BL$156,37,FALSE)</f>
        <v>3.0000000000000001E-5</v>
      </c>
      <c r="D30" s="86" t="str">
        <f ca="1">VLOOKUP(CONCATENATE(B26,".9"),'Resultados - 5'!$A$10:$BL$156,34,FALSE)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- 5'!$A$10:$BL$156,38,FALSE)</f>
        <v>2</v>
      </c>
      <c r="H30" s="86" t="e">
        <f ca="1">(VLOOKUP(CONCATENATE(B26,".20"),'Resultados - 5'!$A$10:$BL$156,29,FALSE)/T42)*T45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- 5'!$A$10:$BL$156,39,FALSE)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- 5'!$A$10:$BL$156,27,FALSE)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- 5'!$A$10:$BL$156,61,FALSE)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- 5'!$A$10:$BL$156,62,FALSE)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- 5'!$A$10:$BL$156,63,FALSE)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- 5'!$AU$7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- 5'!$A$10:$BL$156,36,FALSE)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- 5'!$A$10:$BL$156,41,FALSE)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- 5'!$A$10:$BL$156,49,FALSE)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- 5'!$A$10:$BL$156,28,FALSE)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- 5'!$A$10:$BL$156,33,FALSE)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- 5'!$AU$6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- 5'!$A$10:$BL$156,50,FALSE)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- 5'!$A$10:$BL$156,51,FALSE)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- 5'!$A$10:$BL$156,43,FALSE)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- 5'!$AU$5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- 5'!$A$10:$BL$156,44,FALSE)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- 5'!$A$10:$BL$156,32,FALSE)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- 5'!$A$10:$BL$156,47,FALSE)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- 5'!$A$10:$BL$156,43,FALSE)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- 5'!$A$10:$BL$156,44,FALSE)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- 5'!$A$10:$BL$156,42,FALSE)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- 5'!$A$10:$BL$156,41,FALSE)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- 5'!$A$10:$BL$156,42,FALSE)</f>
        <v>0</v>
      </c>
      <c r="D52" s="86" t="str">
        <f>VLOOKUP(CONCATENATE(B49,".3"),'Resultados - 5'!$A$10:$BL$156,7,FALSE)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- 5'!$A$10:$BL$156,42,FALSE)=1,1,VLOOKUP(CONCATENATE(B49,".5"),'Resultados - 5'!$A$10:$BL$156,42,FALSE)-1)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- 5'!$A$10:$BL$156,26,FALSE)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- 5'!$A$10:$BL$156,37,FALSE)</f>
        <v>3.0000000000000001E-5</v>
      </c>
      <c r="D53" s="86" t="str">
        <f ca="1">VLOOKUP(CONCATENATE(B49,".9"),'Resultados - 5'!$A$10:$BL$156,34,FALSE)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- 5'!$A$10:$BL$156,38,FALSE)</f>
        <v>2</v>
      </c>
      <c r="H53" s="86" t="e">
        <f ca="1">(VLOOKUP(CONCATENATE(B49,".20"),'Resultados - 5'!$A$10:$BL$156,29,FALSE)/T65)*T68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- 5'!$A$10:$BL$156,39,FALSE)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- 5'!$A$10:$BL$156,27,FALSE)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- 5'!$A$10:$BL$156,61,FALSE)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- 5'!$A$10:$BL$156,62,FALSE)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- 5'!$A$10:$BL$156,63,FALSE)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- 5'!$AU$7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- 5'!$A$10:$BL$156,36,FALSE)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- 5'!$A$10:$BL$156,41,FALSE)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- 5'!$A$10:$BL$156,49,FALSE)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- 5'!$A$10:$BL$156,28,FALSE)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- 5'!$A$10:$BL$156,33,FALSE)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- 5'!$AU$6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- 5'!$A$10:$BL$156,50,FALSE)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- 5'!$A$10:$BL$156,51,FALSE)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- 5'!$A$10:$BL$156,43,FALSE)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- 5'!$AU$5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- 5'!$A$10:$BL$156,44,FALSE)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- 5'!$A$10:$BL$156,32,FALSE)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- 5'!$A$10:$BL$156,47,FALSE)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- 5'!$A$10:$BL$156,43,FALSE)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- 5'!$A$10:$BL$156,44,FALSE)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- 5'!$A$10:$BL$156,42,FALSE)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- 5'!$A$10:$BL$156,41,FALSE)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- 5'!$A$10:$BL$156,42,FALSE)</f>
        <v>0</v>
      </c>
      <c r="D75" s="86" t="str">
        <f>VLOOKUP(CONCATENATE(B72,".3"),'Resultados - 5'!$A$10:$BL$156,7,FALSE)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- 5'!$A$10:$BL$156,42,FALSE)=1,1,VLOOKUP(CONCATENATE(B72,".5"),'Resultados - 5'!$A$10:$BL$156,42,FALSE)-1)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- 5'!$A$10:$BL$156,26,FALSE)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- 5'!$A$10:$BL$156,37,FALSE)</f>
        <v>3.0000000000000001E-5</v>
      </c>
      <c r="D76" s="86" t="str">
        <f ca="1">VLOOKUP(CONCATENATE(B72,".9"),'Resultados - 5'!$A$10:$BL$156,34,FALSE)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- 5'!$A$10:$BL$156,38,FALSE)</f>
        <v>2</v>
      </c>
      <c r="H76" s="86" t="e">
        <f ca="1">(VLOOKUP(CONCATENATE(B72,".20"),'Resultados - 5'!$A$10:$BL$156,29,FALSE)/T88)*T91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- 5'!$A$10:$BL$156,39,FALSE)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- 5'!$A$10:$BL$156,27,FALSE)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- 5'!$A$10:$BL$156,61,FALSE)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- 5'!$A$10:$BL$156,62,FALSE)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- 5'!$A$10:$BL$156,63,FALSE)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- 5'!$AU$7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- 5'!$A$10:$BL$156,36,FALSE)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- 5'!$A$10:$BL$156,41,FALSE)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- 5'!$A$10:$BL$156,49,FALSE)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- 5'!$A$10:$BL$156,28,FALSE)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- 5'!$A$10:$BL$156,33,FALSE)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- 5'!$AU$6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- 5'!$A$10:$BL$156,50,FALSE)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- 5'!$A$10:$BL$156,51,FALSE)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- 5'!$A$10:$BL$156,43,FALSE)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- 5'!$AU$5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- 5'!$A$10:$BL$156,44,FALSE)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- 5'!$A$10:$BL$156,32,FALSE)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- 5'!$A$10:$BL$156,47,FALSE)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- 5'!$A$10:$BL$156,43,FALSE)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- 5'!$A$10:$BL$156,44,FALSE)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- 5'!$A$10:$BL$156,42,FALSE)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- 5'!$A$10:$BL$156,41,FALSE)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- 5'!$A$10:$BL$156,42,FALSE)</f>
        <v>0</v>
      </c>
      <c r="D98" s="86" t="str">
        <f>VLOOKUP(CONCATENATE(B95,".3"),'Resultados - 5'!$A$10:$BL$156,7,FALSE)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- 5'!$A$10:$BL$156,42,FALSE)=1,1,VLOOKUP(CONCATENATE(B95,".5"),'Resultados - 5'!$A$10:$BL$156,42,FALSE)-1)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- 5'!$A$10:$BL$156,26,FALSE)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- 5'!$A$10:$BL$156,37,FALSE)</f>
        <v>3.0000000000000001E-5</v>
      </c>
      <c r="D99" s="86" t="str">
        <f ca="1">VLOOKUP(CONCATENATE(B95,".9"),'Resultados - 5'!$A$10:$BL$156,34,FALSE)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- 5'!$A$10:$BL$156,38,FALSE)</f>
        <v>2</v>
      </c>
      <c r="H99" s="86" t="e">
        <f ca="1">(VLOOKUP(CONCATENATE(B95,".20"),'Resultados - 5'!$A$10:$BL$156,29,FALSE)/T111)*T114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- 5'!$A$10:$BL$156,39,FALSE)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- 5'!$A$10:$BL$156,27,FALSE)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- 5'!$A$10:$BL$156,61,FALSE)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- 5'!$A$10:$BL$156,62,FALSE)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- 5'!$A$10:$BL$156,63,FALSE)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- 5'!$AU$7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- 5'!$A$10:$BL$156,36,FALSE)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- 5'!$A$10:$BL$156,41,FALSE)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- 5'!$A$10:$BL$156,49,FALSE)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- 5'!$A$10:$BL$156,28,FALSE)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- 5'!$A$10:$BL$156,33,FALSE)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- 5'!$AU$6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- 5'!$A$10:$BL$156,50,FALSE)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- 5'!$A$10:$BL$156,51,FALSE)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- 5'!$A$10:$BL$156,43,FALSE)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- 5'!$AU$5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- 5'!$A$10:$BL$156,44,FALSE)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- 5'!$A$10:$BL$156,32,FALSE)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- 5'!$A$10:$BL$156,47,FALSE)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- 5'!$A$10:$BL$156,43,FALSE)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- 5'!$A$10:$BL$156,44,FALSE)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- 5'!$A$10:$BL$156,42,FALSE)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- 5'!$A$10:$BL$156,41,FALSE)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- 5'!$A$10:$BL$156,42,FALSE)</f>
        <v>0</v>
      </c>
      <c r="D121" s="86" t="str">
        <f>VLOOKUP(CONCATENATE(B118,".3"),'Resultados - 5'!$A$10:$BL$156,7,FALSE)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- 5'!$A$10:$BL$156,42,FALSE)=1,1,VLOOKUP(CONCATENATE(B118,".5"),'Resultados - 5'!$A$10:$BL$156,42,FALSE)-1)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- 5'!$A$10:$BL$156,26,FALSE)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- 5'!$A$10:$BL$156,37,FALSE)</f>
        <v>3.0000000000000001E-5</v>
      </c>
      <c r="D122" s="86" t="str">
        <f ca="1">VLOOKUP(CONCATENATE(B118,".9"),'Resultados - 5'!$A$10:$BL$156,34,FALSE)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- 5'!$A$10:$BL$156,38,FALSE)</f>
        <v>2</v>
      </c>
      <c r="H122" s="86" t="e">
        <f ca="1">(VLOOKUP(CONCATENATE(B118,".20"),'Resultados - 5'!$A$10:$BL$156,29,FALSE)/T134)*T137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- 5'!$A$10:$BL$156,39,FALSE)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- 5'!$A$10:$BL$156,27,FALSE)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- 5'!$A$10:$BL$156,61,FALSE)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- 5'!$A$10:$BL$156,62,FALSE)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- 5'!$A$10:$BL$156,63,FALSE)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- 5'!$AU$7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- 5'!$A$10:$BL$156,36,FALSE)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- 5'!$A$10:$BL$156,41,FALSE)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- 5'!$A$10:$BL$156,49,FALSE)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- 5'!$A$10:$BL$156,28,FALSE)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- 5'!$A$10:$BL$156,33,FALSE)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- 5'!$AU$6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- 5'!$A$10:$BL$156,50,FALSE)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- 5'!$A$10:$BL$156,51,FALSE)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- 5'!$A$10:$BL$156,43,FALSE)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- 5'!$AU$5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- 5'!$A$10:$BL$156,44,FALSE)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- 5'!$A$10:$BL$156,32,FALSE)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- 5'!$A$10:$BL$156,47,FALSE)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- 5'!$A$10:$BL$156,43,FALSE)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- 5'!$A$10:$BL$156,44,FALSE)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- 5'!$A$10:$BL$156,42,FALSE)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- 5'!$A$10:$BL$156,41,FALSE)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- 5'!$A$10:$BL$156,42,FALSE)</f>
        <v>0</v>
      </c>
      <c r="D144" s="86" t="str">
        <f>VLOOKUP(CONCATENATE(B141,".3"),'Resultados - 5'!$A$10:$BL$156,7,FALSE)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- 5'!$A$10:$BL$156,42,FALSE)=1,1,VLOOKUP(CONCATENATE(B141,".5"),'Resultados - 5'!$A$10:$BL$156,42,FALSE)-1)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- 5'!$A$10:$BL$156,26,FALSE)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- 5'!$A$10:$BL$156,37,FALSE)</f>
        <v>3.0000000000000001E-5</v>
      </c>
      <c r="D145" s="86" t="str">
        <f ca="1">VLOOKUP(CONCATENATE(B141,".9"),'Resultados - 5'!$A$10:$BL$156,34,FALSE)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- 5'!$A$10:$BL$156,38,FALSE)</f>
        <v>2</v>
      </c>
      <c r="H145" s="86" t="e">
        <f ca="1">(VLOOKUP(CONCATENATE(B141,".20"),'Resultados - 5'!$A$10:$BL$156,29,FALSE)/T157)*T160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- 5'!$A$10:$BL$156,39,FALSE)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- 5'!$A$10:$BL$156,27,FALSE)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- 5'!$A$10:$BL$156,61,FALSE)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- 5'!$A$10:$BL$156,62,FALSE)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- 5'!$A$10:$BL$156,63,FALSE)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- 5'!$AU$7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- 5'!$A$10:$BL$156,36,FALSE)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- 5'!$A$10:$BL$156,41,FALSE)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- 5'!$A$10:$BL$156,49,FALSE)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- 5'!$A$10:$BL$156,28,FALSE)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- 5'!$A$10:$BL$156,33,FALSE)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- 5'!$AU$6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- 5'!$A$10:$BL$156,50,FALSE)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- 5'!$A$10:$BL$156,51,FALSE)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- 5'!$A$10:$BL$156,43,FALSE)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- 5'!$AU$5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- 5'!$A$10:$BL$156,44,FALSE)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- 5'!$A$10:$BL$156,32,FALSE)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- 5'!$A$10:$BL$156,47,FALSE)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- 5'!$A$10:$BL$156,43,FALSE)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- 5'!$A$10:$BL$156,44,FALSE)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- 5'!$A$10:$BL$156,42,FALSE)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CX1bPLu3VOMxbFiL3G4e1sQrpU4wxVmcg9KtnJ+PGhWjjykezomfO70YmDHBOBvvLUU9k3AphqT82uiuZaV55A==" saltValue="cS3ghMK5n100RHO5IcEpq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1E16D-3BCA-441C-B4A8-636A98B7A7DC}">
  <sheetPr codeName="Planilha32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- 6'!$A$2</f>
        <v>6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- 6</v>
      </c>
    </row>
    <row r="2" spans="1:28" ht="23.4" thickBot="1" x14ac:dyDescent="0.35">
      <c r="A2" s="490" t="str">
        <f>CONCATENATE("Volume - Resultados - ",P1)</f>
        <v>Volume - Resultados - 6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- 6'!$A$10:$BL$156,41,FALSE)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- 6'!$A$10:$BL$156,42,FALSE)</f>
        <v>0</v>
      </c>
      <c r="D6" s="86" t="str">
        <f>VLOOKUP(CONCATENATE(B3,".3"),'Resultados - 6'!$A$10:$BL$156,7,FALSE)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- 6'!$A$10:$BL$156,42,FALSE)=1,1,VLOOKUP(CONCATENATE(B3,".5"),'Resultados - 6'!$A$10:$BL$156,42,FALSE)-1)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- 6'!$A$10:$BL$156,26,FALSE)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- 6'!$A$10:$BL$156,37,FALSE)</f>
        <v>3.0000000000000001E-5</v>
      </c>
      <c r="D7" s="86" t="str">
        <f ca="1">VLOOKUP(CONCATENATE(B3,".9"),'Resultados - 6'!$A$10:$BL$156,34,FALSE)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- 6'!$A$10:$BL$156,38,FALSE)</f>
        <v>2</v>
      </c>
      <c r="H7" s="86" t="e">
        <f ca="1">(VLOOKUP(CONCATENATE(B3,".20"),'Resultados - 6'!$A$10:$BL$156,29,FALSE)/T19)*T22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- 6'!$A$10:$BL$156,39,FALSE)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- 6'!$A$10:$BL$156,27,FALSE)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- 6'!$A$10:$BL$156,61,FALSE)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- 6'!$A$10:$BL$156,62,FALSE)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- 6'!$A$10:$BL$156,63,FALSE)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- 6'!$AU$7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- 6'!$A$10:$BL$156,36,FALSE)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- 6'!$A$10:$BL$156,41,FALSE)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- 6'!$A$10:$BL$156,49,FALSE)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- 6'!$A$10:$BL$156,28,FALSE)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- 6'!$A$10:$BL$156,33,FALSE)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- 6'!$AU$6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- 6'!$A$10:$BL$156,50,FALSE)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- 6'!$A$10:$BL$156,51,FALSE)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- 6'!$A$10:$BL$156,43,FALSE)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- 6'!$AU$5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- 6'!$A$10:$BL$156,44,FALSE)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- 6'!$A$10:$BL$156,32,FALSE)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- 6'!$A$10:$BL$156,47,FALSE)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- 6'!$A$10:$BL$156,43,FALSE)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- 6'!$A$10:$BL$156,44,FALSE)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- 6'!$A$10:$BL$156,42,FALSE)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- 6'!$A$10:$BL$156,41,FALSE)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- 6'!$A$10:$BL$156,42,FALSE)</f>
        <v>0</v>
      </c>
      <c r="D29" s="86" t="str">
        <f>VLOOKUP(CONCATENATE(B26,".3"),'Resultados - 6'!$A$10:$BL$156,7,FALSE)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- 6'!$A$10:$BL$156,42,FALSE)=1,1,VLOOKUP(CONCATENATE(B26,".5"),'Resultados - 6'!$A$10:$BL$156,42,FALSE)-1)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- 6'!$A$10:$BL$156,26,FALSE)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- 6'!$A$10:$BL$156,37,FALSE)</f>
        <v>3.0000000000000001E-5</v>
      </c>
      <c r="D30" s="86" t="str">
        <f ca="1">VLOOKUP(CONCATENATE(B26,".9"),'Resultados - 6'!$A$10:$BL$156,34,FALSE)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- 6'!$A$10:$BL$156,38,FALSE)</f>
        <v>2</v>
      </c>
      <c r="H30" s="86" t="e">
        <f ca="1">(VLOOKUP(CONCATENATE(B26,".20"),'Resultados - 6'!$A$10:$BL$156,29,FALSE)/T42)*T45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- 6'!$A$10:$BL$156,39,FALSE)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- 6'!$A$10:$BL$156,27,FALSE)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- 6'!$A$10:$BL$156,61,FALSE)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- 6'!$A$10:$BL$156,62,FALSE)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- 6'!$A$10:$BL$156,63,FALSE)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- 6'!$AU$7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- 6'!$A$10:$BL$156,36,FALSE)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- 6'!$A$10:$BL$156,41,FALSE)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- 6'!$A$10:$BL$156,49,FALSE)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- 6'!$A$10:$BL$156,28,FALSE)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- 6'!$A$10:$BL$156,33,FALSE)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- 6'!$AU$6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- 6'!$A$10:$BL$156,50,FALSE)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- 6'!$A$10:$BL$156,51,FALSE)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- 6'!$A$10:$BL$156,43,FALSE)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- 6'!$AU$5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- 6'!$A$10:$BL$156,44,FALSE)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- 6'!$A$10:$BL$156,32,FALSE)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- 6'!$A$10:$BL$156,47,FALSE)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- 6'!$A$10:$BL$156,43,FALSE)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- 6'!$A$10:$BL$156,44,FALSE)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- 6'!$A$10:$BL$156,42,FALSE)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- 6'!$A$10:$BL$156,41,FALSE)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- 6'!$A$10:$BL$156,42,FALSE)</f>
        <v>0</v>
      </c>
      <c r="D52" s="86" t="str">
        <f>VLOOKUP(CONCATENATE(B49,".3"),'Resultados - 6'!$A$10:$BL$156,7,FALSE)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- 6'!$A$10:$BL$156,42,FALSE)=1,1,VLOOKUP(CONCATENATE(B49,".5"),'Resultados - 6'!$A$10:$BL$156,42,FALSE)-1)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- 6'!$A$10:$BL$156,26,FALSE)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- 6'!$A$10:$BL$156,37,FALSE)</f>
        <v>3.0000000000000001E-5</v>
      </c>
      <c r="D53" s="86" t="str">
        <f ca="1">VLOOKUP(CONCATENATE(B49,".9"),'Resultados - 6'!$A$10:$BL$156,34,FALSE)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- 6'!$A$10:$BL$156,38,FALSE)</f>
        <v>2</v>
      </c>
      <c r="H53" s="86" t="e">
        <f ca="1">(VLOOKUP(CONCATENATE(B49,".20"),'Resultados - 6'!$A$10:$BL$156,29,FALSE)/T65)*T68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- 6'!$A$10:$BL$156,39,FALSE)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- 6'!$A$10:$BL$156,27,FALSE)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- 6'!$A$10:$BL$156,61,FALSE)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- 6'!$A$10:$BL$156,62,FALSE)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- 6'!$A$10:$BL$156,63,FALSE)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- 6'!$AU$7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- 6'!$A$10:$BL$156,36,FALSE)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- 6'!$A$10:$BL$156,41,FALSE)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- 6'!$A$10:$BL$156,49,FALSE)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- 6'!$A$10:$BL$156,28,FALSE)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- 6'!$A$10:$BL$156,33,FALSE)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- 6'!$AU$6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- 6'!$A$10:$BL$156,50,FALSE)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- 6'!$A$10:$BL$156,51,FALSE)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- 6'!$A$10:$BL$156,43,FALSE)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- 6'!$AU$5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- 6'!$A$10:$BL$156,44,FALSE)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- 6'!$A$10:$BL$156,32,FALSE)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- 6'!$A$10:$BL$156,47,FALSE)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- 6'!$A$10:$BL$156,43,FALSE)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- 6'!$A$10:$BL$156,44,FALSE)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- 6'!$A$10:$BL$156,42,FALSE)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- 6'!$A$10:$BL$156,41,FALSE)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- 6'!$A$10:$BL$156,42,FALSE)</f>
        <v>0</v>
      </c>
      <c r="D75" s="86" t="str">
        <f>VLOOKUP(CONCATENATE(B72,".3"),'Resultados - 6'!$A$10:$BL$156,7,FALSE)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- 6'!$A$10:$BL$156,42,FALSE)=1,1,VLOOKUP(CONCATENATE(B72,".5"),'Resultados - 6'!$A$10:$BL$156,42,FALSE)-1)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- 6'!$A$10:$BL$156,26,FALSE)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- 6'!$A$10:$BL$156,37,FALSE)</f>
        <v>3.0000000000000001E-5</v>
      </c>
      <c r="D76" s="86" t="str">
        <f ca="1">VLOOKUP(CONCATENATE(B72,".9"),'Resultados - 6'!$A$10:$BL$156,34,FALSE)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- 6'!$A$10:$BL$156,38,FALSE)</f>
        <v>2</v>
      </c>
      <c r="H76" s="86" t="e">
        <f ca="1">(VLOOKUP(CONCATENATE(B72,".20"),'Resultados - 6'!$A$10:$BL$156,29,FALSE)/T88)*T91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- 6'!$A$10:$BL$156,39,FALSE)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- 6'!$A$10:$BL$156,27,FALSE)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- 6'!$A$10:$BL$156,61,FALSE)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- 6'!$A$10:$BL$156,62,FALSE)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- 6'!$A$10:$BL$156,63,FALSE)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- 6'!$AU$7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- 6'!$A$10:$BL$156,36,FALSE)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- 6'!$A$10:$BL$156,41,FALSE)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- 6'!$A$10:$BL$156,49,FALSE)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- 6'!$A$10:$BL$156,28,FALSE)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- 6'!$A$10:$BL$156,33,FALSE)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- 6'!$AU$6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- 6'!$A$10:$BL$156,50,FALSE)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- 6'!$A$10:$BL$156,51,FALSE)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- 6'!$A$10:$BL$156,43,FALSE)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- 6'!$AU$5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- 6'!$A$10:$BL$156,44,FALSE)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- 6'!$A$10:$BL$156,32,FALSE)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- 6'!$A$10:$BL$156,47,FALSE)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- 6'!$A$10:$BL$156,43,FALSE)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- 6'!$A$10:$BL$156,44,FALSE)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- 6'!$A$10:$BL$156,42,FALSE)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- 6'!$A$10:$BL$156,41,FALSE)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- 6'!$A$10:$BL$156,42,FALSE)</f>
        <v>0</v>
      </c>
      <c r="D98" s="86" t="str">
        <f>VLOOKUP(CONCATENATE(B95,".3"),'Resultados - 6'!$A$10:$BL$156,7,FALSE)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- 6'!$A$10:$BL$156,42,FALSE)=1,1,VLOOKUP(CONCATENATE(B95,".5"),'Resultados - 6'!$A$10:$BL$156,42,FALSE)-1)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- 6'!$A$10:$BL$156,26,FALSE)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- 6'!$A$10:$BL$156,37,FALSE)</f>
        <v>3.0000000000000001E-5</v>
      </c>
      <c r="D99" s="86" t="str">
        <f ca="1">VLOOKUP(CONCATENATE(B95,".9"),'Resultados - 6'!$A$10:$BL$156,34,FALSE)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- 6'!$A$10:$BL$156,38,FALSE)</f>
        <v>2</v>
      </c>
      <c r="H99" s="86" t="e">
        <f ca="1">(VLOOKUP(CONCATENATE(B95,".20"),'Resultados - 6'!$A$10:$BL$156,29,FALSE)/T111)*T114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- 6'!$A$10:$BL$156,39,FALSE)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- 6'!$A$10:$BL$156,27,FALSE)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- 6'!$A$10:$BL$156,61,FALSE)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- 6'!$A$10:$BL$156,62,FALSE)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- 6'!$A$10:$BL$156,63,FALSE)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- 6'!$AU$7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- 6'!$A$10:$BL$156,36,FALSE)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- 6'!$A$10:$BL$156,41,FALSE)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- 6'!$A$10:$BL$156,49,FALSE)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- 6'!$A$10:$BL$156,28,FALSE)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- 6'!$A$10:$BL$156,33,FALSE)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- 6'!$AU$6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- 6'!$A$10:$BL$156,50,FALSE)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- 6'!$A$10:$BL$156,51,FALSE)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- 6'!$A$10:$BL$156,43,FALSE)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- 6'!$AU$5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- 6'!$A$10:$BL$156,44,FALSE)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- 6'!$A$10:$BL$156,32,FALSE)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- 6'!$A$10:$BL$156,47,FALSE)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- 6'!$A$10:$BL$156,43,FALSE)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- 6'!$A$10:$BL$156,44,FALSE)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- 6'!$A$10:$BL$156,42,FALSE)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- 6'!$A$10:$BL$156,41,FALSE)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- 6'!$A$10:$BL$156,42,FALSE)</f>
        <v>0</v>
      </c>
      <c r="D121" s="86" t="str">
        <f>VLOOKUP(CONCATENATE(B118,".3"),'Resultados - 6'!$A$10:$BL$156,7,FALSE)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- 6'!$A$10:$BL$156,42,FALSE)=1,1,VLOOKUP(CONCATENATE(B118,".5"),'Resultados - 6'!$A$10:$BL$156,42,FALSE)-1)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- 6'!$A$10:$BL$156,26,FALSE)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- 6'!$A$10:$BL$156,37,FALSE)</f>
        <v>3.0000000000000001E-5</v>
      </c>
      <c r="D122" s="86" t="str">
        <f ca="1">VLOOKUP(CONCATENATE(B118,".9"),'Resultados - 6'!$A$10:$BL$156,34,FALSE)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- 6'!$A$10:$BL$156,38,FALSE)</f>
        <v>2</v>
      </c>
      <c r="H122" s="86" t="e">
        <f ca="1">(VLOOKUP(CONCATENATE(B118,".20"),'Resultados - 6'!$A$10:$BL$156,29,FALSE)/T134)*T137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- 6'!$A$10:$BL$156,39,FALSE)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- 6'!$A$10:$BL$156,27,FALSE)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- 6'!$A$10:$BL$156,61,FALSE)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- 6'!$A$10:$BL$156,62,FALSE)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- 6'!$A$10:$BL$156,63,FALSE)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- 6'!$AU$7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- 6'!$A$10:$BL$156,36,FALSE)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- 6'!$A$10:$BL$156,41,FALSE)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- 6'!$A$10:$BL$156,49,FALSE)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- 6'!$A$10:$BL$156,28,FALSE)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- 6'!$A$10:$BL$156,33,FALSE)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- 6'!$AU$6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- 6'!$A$10:$BL$156,50,FALSE)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- 6'!$A$10:$BL$156,51,FALSE)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- 6'!$A$10:$BL$156,43,FALSE)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- 6'!$AU$5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- 6'!$A$10:$BL$156,44,FALSE)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- 6'!$A$10:$BL$156,32,FALSE)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- 6'!$A$10:$BL$156,47,FALSE)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- 6'!$A$10:$BL$156,43,FALSE)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- 6'!$A$10:$BL$156,44,FALSE)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- 6'!$A$10:$BL$156,42,FALSE)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- 6'!$A$10:$BL$156,41,FALSE)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- 6'!$A$10:$BL$156,42,FALSE)</f>
        <v>0</v>
      </c>
      <c r="D144" s="86" t="str">
        <f>VLOOKUP(CONCATENATE(B141,".3"),'Resultados - 6'!$A$10:$BL$156,7,FALSE)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- 6'!$A$10:$BL$156,42,FALSE)=1,1,VLOOKUP(CONCATENATE(B141,".5"),'Resultados - 6'!$A$10:$BL$156,42,FALSE)-1)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- 6'!$A$10:$BL$156,26,FALSE)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- 6'!$A$10:$BL$156,37,FALSE)</f>
        <v>3.0000000000000001E-5</v>
      </c>
      <c r="D145" s="86" t="str">
        <f ca="1">VLOOKUP(CONCATENATE(B141,".9"),'Resultados - 6'!$A$10:$BL$156,34,FALSE)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- 6'!$A$10:$BL$156,38,FALSE)</f>
        <v>2</v>
      </c>
      <c r="H145" s="86" t="e">
        <f ca="1">(VLOOKUP(CONCATENATE(B141,".20"),'Resultados - 6'!$A$10:$BL$156,29,FALSE)/T157)*T160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- 6'!$A$10:$BL$156,39,FALSE)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- 6'!$A$10:$BL$156,27,FALSE)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- 6'!$A$10:$BL$156,61,FALSE)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- 6'!$A$10:$BL$156,62,FALSE)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- 6'!$A$10:$BL$156,63,FALSE)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- 6'!$AU$7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- 6'!$A$10:$BL$156,36,FALSE)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- 6'!$A$10:$BL$156,41,FALSE)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- 6'!$A$10:$BL$156,49,FALSE)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- 6'!$A$10:$BL$156,28,FALSE)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- 6'!$A$10:$BL$156,33,FALSE)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- 6'!$AU$6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- 6'!$A$10:$BL$156,50,FALSE)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- 6'!$A$10:$BL$156,51,FALSE)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- 6'!$A$10:$BL$156,43,FALSE)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- 6'!$AU$5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- 6'!$A$10:$BL$156,44,FALSE)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- 6'!$A$10:$BL$156,32,FALSE)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- 6'!$A$10:$BL$156,47,FALSE)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- 6'!$A$10:$BL$156,43,FALSE)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- 6'!$A$10:$BL$156,44,FALSE)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- 6'!$A$10:$BL$156,42,FALSE)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P4JGhsViplNGsdAo6oZkJmW1wrFHlyWQOGyawwo61NLAqJqgMi2FUkw758E5p7SdOYIsYsiTqyDPVKddyIj0vg==" saltValue="R6cq6BS0mv+xud/TjMvP3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5C9B3-B304-4103-921B-2AE3FBC28D00}">
  <sheetPr codeName="Planilha31"/>
  <dimension ref="A1:AB163"/>
  <sheetViews>
    <sheetView workbookViewId="0">
      <selection sqref="A1:N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- 7'!$A$2</f>
        <v>7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- 7</v>
      </c>
    </row>
    <row r="2" spans="1:28" ht="23.4" thickBot="1" x14ac:dyDescent="0.35">
      <c r="A2" s="490" t="str">
        <f>CONCATENATE("Volume - Resultados - ",P1)</f>
        <v>Volume - Resultados - 7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- 7'!$A$10:$BL$156,41,FALSE)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- 7'!$A$10:$BL$156,42,FALSE)</f>
        <v>0</v>
      </c>
      <c r="D6" s="86" t="str">
        <f>VLOOKUP(CONCATENATE(B3,".3"),'Resultados - 7'!$A$10:$BL$156,7,FALSE)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- 7'!$A$10:$BL$156,42,FALSE)=1,1,VLOOKUP(CONCATENATE(B3,".5"),'Resultados - 7'!$A$10:$BL$156,42,FALSE)-1)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- 7'!$A$10:$BL$156,26,FALSE)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- 7'!$A$10:$BL$156,37,FALSE)</f>
        <v>3.0000000000000001E-5</v>
      </c>
      <c r="D7" s="86" t="str">
        <f ca="1">VLOOKUP(CONCATENATE(B3,".9"),'Resultados - 7'!$A$10:$BL$156,34,FALSE)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- 7'!$A$10:$BL$156,38,FALSE)</f>
        <v>2</v>
      </c>
      <c r="H7" s="86" t="e">
        <f ca="1">(VLOOKUP(CONCATENATE(B3,".20"),'Resultados - 7'!$A$10:$BL$156,29,FALSE)/T19)*T22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- 7'!$A$10:$BL$156,39,FALSE)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- 7'!$A$10:$BL$156,27,FALSE)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- 7'!$A$10:$BL$156,61,FALSE)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- 7'!$A$10:$BL$156,62,FALSE)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- 7'!$A$10:$BL$156,63,FALSE)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- 7'!$AU$7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- 7'!$A$10:$BL$156,36,FALSE)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- 7'!$A$10:$BL$156,41,FALSE)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- 7'!$A$10:$BL$156,49,FALSE)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- 7'!$A$10:$BL$156,28,FALSE)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- 7'!$A$10:$BL$156,33,FALSE)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- 7'!$AU$6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- 7'!$A$10:$BL$156,50,FALSE)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- 7'!$A$10:$BL$156,51,FALSE)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- 7'!$A$10:$BL$156,43,FALSE)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- 7'!$AU$5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- 7'!$A$10:$BL$156,44,FALSE)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- 7'!$A$10:$BL$156,32,FALSE)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- 7'!$A$10:$BL$156,47,FALSE)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- 7'!$A$10:$BL$156,43,FALSE)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- 7'!$A$10:$BL$156,44,FALSE)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- 7'!$A$10:$BL$156,42,FALSE)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- 7'!$A$10:$BL$156,41,FALSE)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- 7'!$A$10:$BL$156,42,FALSE)</f>
        <v>0</v>
      </c>
      <c r="D29" s="86" t="str">
        <f>VLOOKUP(CONCATENATE(B26,".3"),'Resultados - 7'!$A$10:$BL$156,7,FALSE)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- 7'!$A$10:$BL$156,42,FALSE)=1,1,VLOOKUP(CONCATENATE(B26,".5"),'Resultados - 7'!$A$10:$BL$156,42,FALSE)-1)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- 7'!$A$10:$BL$156,26,FALSE)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- 7'!$A$10:$BL$156,37,FALSE)</f>
        <v>3.0000000000000001E-5</v>
      </c>
      <c r="D30" s="86" t="str">
        <f ca="1">VLOOKUP(CONCATENATE(B26,".9"),'Resultados - 7'!$A$10:$BL$156,34,FALSE)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- 7'!$A$10:$BL$156,38,FALSE)</f>
        <v>2</v>
      </c>
      <c r="H30" s="86" t="e">
        <f ca="1">(VLOOKUP(CONCATENATE(B26,".20"),'Resultados - 7'!$A$10:$BL$156,29,FALSE)/T42)*T45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- 7'!$A$10:$BL$156,39,FALSE)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- 7'!$A$10:$BL$156,27,FALSE)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- 7'!$A$10:$BL$156,61,FALSE)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- 7'!$A$10:$BL$156,62,FALSE)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- 7'!$A$10:$BL$156,63,FALSE)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- 7'!$AU$7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- 7'!$A$10:$BL$156,36,FALSE)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- 7'!$A$10:$BL$156,41,FALSE)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- 7'!$A$10:$BL$156,49,FALSE)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- 7'!$A$10:$BL$156,28,FALSE)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- 7'!$A$10:$BL$156,33,FALSE)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- 7'!$AU$6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- 7'!$A$10:$BL$156,50,FALSE)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- 7'!$A$10:$BL$156,51,FALSE)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- 7'!$A$10:$BL$156,43,FALSE)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- 7'!$AU$5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- 7'!$A$10:$BL$156,44,FALSE)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- 7'!$A$10:$BL$156,32,FALSE)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- 7'!$A$10:$BL$156,47,FALSE)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- 7'!$A$10:$BL$156,43,FALSE)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- 7'!$A$10:$BL$156,44,FALSE)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- 7'!$A$10:$BL$156,42,FALSE)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- 7'!$A$10:$BL$156,41,FALSE)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- 7'!$A$10:$BL$156,42,FALSE)</f>
        <v>0</v>
      </c>
      <c r="D52" s="86" t="str">
        <f>VLOOKUP(CONCATENATE(B49,".3"),'Resultados - 7'!$A$10:$BL$156,7,FALSE)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- 7'!$A$10:$BL$156,42,FALSE)=1,1,VLOOKUP(CONCATENATE(B49,".5"),'Resultados - 7'!$A$10:$BL$156,42,FALSE)-1)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- 7'!$A$10:$BL$156,26,FALSE)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- 7'!$A$10:$BL$156,37,FALSE)</f>
        <v>3.0000000000000001E-5</v>
      </c>
      <c r="D53" s="86" t="str">
        <f ca="1">VLOOKUP(CONCATENATE(B49,".9"),'Resultados - 7'!$A$10:$BL$156,34,FALSE)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- 7'!$A$10:$BL$156,38,FALSE)</f>
        <v>2</v>
      </c>
      <c r="H53" s="86" t="e">
        <f ca="1">(VLOOKUP(CONCATENATE(B49,".20"),'Resultados - 7'!$A$10:$BL$156,29,FALSE)/T65)*T68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- 7'!$A$10:$BL$156,39,FALSE)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- 7'!$A$10:$BL$156,27,FALSE)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- 7'!$A$10:$BL$156,61,FALSE)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- 7'!$A$10:$BL$156,62,FALSE)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- 7'!$A$10:$BL$156,63,FALSE)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- 7'!$AU$7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- 7'!$A$10:$BL$156,36,FALSE)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- 7'!$A$10:$BL$156,41,FALSE)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- 7'!$A$10:$BL$156,49,FALSE)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- 7'!$A$10:$BL$156,28,FALSE)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- 7'!$A$10:$BL$156,33,FALSE)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- 7'!$AU$6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- 7'!$A$10:$BL$156,50,FALSE)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- 7'!$A$10:$BL$156,51,FALSE)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- 7'!$A$10:$BL$156,43,FALSE)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- 7'!$AU$5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- 7'!$A$10:$BL$156,44,FALSE)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- 7'!$A$10:$BL$156,32,FALSE)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- 7'!$A$10:$BL$156,47,FALSE)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- 7'!$A$10:$BL$156,43,FALSE)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- 7'!$A$10:$BL$156,44,FALSE)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- 7'!$A$10:$BL$156,42,FALSE)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- 7'!$A$10:$BL$156,41,FALSE)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- 7'!$A$10:$BL$156,42,FALSE)</f>
        <v>0</v>
      </c>
      <c r="D75" s="86" t="str">
        <f>VLOOKUP(CONCATENATE(B72,".3"),'Resultados - 7'!$A$10:$BL$156,7,FALSE)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- 7'!$A$10:$BL$156,42,FALSE)=1,1,VLOOKUP(CONCATENATE(B72,".5"),'Resultados - 7'!$A$10:$BL$156,42,FALSE)-1)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- 7'!$A$10:$BL$156,26,FALSE)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- 7'!$A$10:$BL$156,37,FALSE)</f>
        <v>3.0000000000000001E-5</v>
      </c>
      <c r="D76" s="86" t="str">
        <f ca="1">VLOOKUP(CONCATENATE(B72,".9"),'Resultados - 7'!$A$10:$BL$156,34,FALSE)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- 7'!$A$10:$BL$156,38,FALSE)</f>
        <v>2</v>
      </c>
      <c r="H76" s="86" t="e">
        <f ca="1">(VLOOKUP(CONCATENATE(B72,".20"),'Resultados - 7'!$A$10:$BL$156,29,FALSE)/T88)*T91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- 7'!$A$10:$BL$156,39,FALSE)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- 7'!$A$10:$BL$156,27,FALSE)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- 7'!$A$10:$BL$156,61,FALSE)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- 7'!$A$10:$BL$156,62,FALSE)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- 7'!$A$10:$BL$156,63,FALSE)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- 7'!$AU$7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- 7'!$A$10:$BL$156,36,FALSE)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- 7'!$A$10:$BL$156,41,FALSE)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- 7'!$A$10:$BL$156,49,FALSE)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- 7'!$A$10:$BL$156,28,FALSE)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- 7'!$A$10:$BL$156,33,FALSE)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- 7'!$AU$6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- 7'!$A$10:$BL$156,50,FALSE)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- 7'!$A$10:$BL$156,51,FALSE)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- 7'!$A$10:$BL$156,43,FALSE)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- 7'!$AU$5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- 7'!$A$10:$BL$156,44,FALSE)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- 7'!$A$10:$BL$156,32,FALSE)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- 7'!$A$10:$BL$156,47,FALSE)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- 7'!$A$10:$BL$156,43,FALSE)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- 7'!$A$10:$BL$156,44,FALSE)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- 7'!$A$10:$BL$156,42,FALSE)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- 7'!$A$10:$BL$156,41,FALSE)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- 7'!$A$10:$BL$156,42,FALSE)</f>
        <v>0</v>
      </c>
      <c r="D98" s="86" t="str">
        <f>VLOOKUP(CONCATENATE(B95,".3"),'Resultados - 7'!$A$10:$BL$156,7,FALSE)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- 7'!$A$10:$BL$156,42,FALSE)=1,1,VLOOKUP(CONCATENATE(B95,".5"),'Resultados - 7'!$A$10:$BL$156,42,FALSE)-1)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- 7'!$A$10:$BL$156,26,FALSE)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- 7'!$A$10:$BL$156,37,FALSE)</f>
        <v>3.0000000000000001E-5</v>
      </c>
      <c r="D99" s="86" t="str">
        <f ca="1">VLOOKUP(CONCATENATE(B95,".9"),'Resultados - 7'!$A$10:$BL$156,34,FALSE)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- 7'!$A$10:$BL$156,38,FALSE)</f>
        <v>2</v>
      </c>
      <c r="H99" s="86" t="e">
        <f ca="1">(VLOOKUP(CONCATENATE(B95,".20"),'Resultados - 7'!$A$10:$BL$156,29,FALSE)/T111)*T114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- 7'!$A$10:$BL$156,39,FALSE)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- 7'!$A$10:$BL$156,27,FALSE)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- 7'!$A$10:$BL$156,61,FALSE)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- 7'!$A$10:$BL$156,62,FALSE)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- 7'!$A$10:$BL$156,63,FALSE)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- 7'!$AU$7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- 7'!$A$10:$BL$156,36,FALSE)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- 7'!$A$10:$BL$156,41,FALSE)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- 7'!$A$10:$BL$156,49,FALSE)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- 7'!$A$10:$BL$156,28,FALSE)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- 7'!$A$10:$BL$156,33,FALSE)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- 7'!$AU$6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- 7'!$A$10:$BL$156,50,FALSE)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- 7'!$A$10:$BL$156,51,FALSE)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- 7'!$A$10:$BL$156,43,FALSE)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- 7'!$AU$5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- 7'!$A$10:$BL$156,44,FALSE)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- 7'!$A$10:$BL$156,32,FALSE)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- 7'!$A$10:$BL$156,47,FALSE)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- 7'!$A$10:$BL$156,43,FALSE)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- 7'!$A$10:$BL$156,44,FALSE)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- 7'!$A$10:$BL$156,42,FALSE)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- 7'!$A$10:$BL$156,41,FALSE)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- 7'!$A$10:$BL$156,42,FALSE)</f>
        <v>0</v>
      </c>
      <c r="D121" s="86" t="str">
        <f>VLOOKUP(CONCATENATE(B118,".3"),'Resultados - 7'!$A$10:$BL$156,7,FALSE)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- 7'!$A$10:$BL$156,42,FALSE)=1,1,VLOOKUP(CONCATENATE(B118,".5"),'Resultados - 7'!$A$10:$BL$156,42,FALSE)-1)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- 7'!$A$10:$BL$156,26,FALSE)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- 7'!$A$10:$BL$156,37,FALSE)</f>
        <v>3.0000000000000001E-5</v>
      </c>
      <c r="D122" s="86" t="str">
        <f ca="1">VLOOKUP(CONCATENATE(B118,".9"),'Resultados - 7'!$A$10:$BL$156,34,FALSE)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- 7'!$A$10:$BL$156,38,FALSE)</f>
        <v>2</v>
      </c>
      <c r="H122" s="86" t="e">
        <f ca="1">(VLOOKUP(CONCATENATE(B118,".20"),'Resultados - 7'!$A$10:$BL$156,29,FALSE)/T134)*T137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- 7'!$A$10:$BL$156,39,FALSE)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- 7'!$A$10:$BL$156,27,FALSE)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- 7'!$A$10:$BL$156,61,FALSE)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- 7'!$A$10:$BL$156,62,FALSE)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- 7'!$A$10:$BL$156,63,FALSE)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- 7'!$AU$7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- 7'!$A$10:$BL$156,36,FALSE)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- 7'!$A$10:$BL$156,41,FALSE)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- 7'!$A$10:$BL$156,49,FALSE)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- 7'!$A$10:$BL$156,28,FALSE)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- 7'!$A$10:$BL$156,33,FALSE)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- 7'!$AU$6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- 7'!$A$10:$BL$156,50,FALSE)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- 7'!$A$10:$BL$156,51,FALSE)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- 7'!$A$10:$BL$156,43,FALSE)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- 7'!$AU$5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- 7'!$A$10:$BL$156,44,FALSE)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- 7'!$A$10:$BL$156,32,FALSE)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- 7'!$A$10:$BL$156,47,FALSE)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- 7'!$A$10:$BL$156,43,FALSE)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- 7'!$A$10:$BL$156,44,FALSE)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- 7'!$A$10:$BL$156,42,FALSE)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- 7'!$A$10:$BL$156,41,FALSE)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- 7'!$A$10:$BL$156,42,FALSE)</f>
        <v>0</v>
      </c>
      <c r="D144" s="86" t="str">
        <f>VLOOKUP(CONCATENATE(B141,".3"),'Resultados - 7'!$A$10:$BL$156,7,FALSE)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- 7'!$A$10:$BL$156,42,FALSE)=1,1,VLOOKUP(CONCATENATE(B141,".5"),'Resultados - 7'!$A$10:$BL$156,42,FALSE)-1)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- 7'!$A$10:$BL$156,26,FALSE)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- 7'!$A$10:$BL$156,37,FALSE)</f>
        <v>3.0000000000000001E-5</v>
      </c>
      <c r="D145" s="86" t="str">
        <f ca="1">VLOOKUP(CONCATENATE(B141,".9"),'Resultados - 7'!$A$10:$BL$156,34,FALSE)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- 7'!$A$10:$BL$156,38,FALSE)</f>
        <v>2</v>
      </c>
      <c r="H145" s="86" t="e">
        <f ca="1">(VLOOKUP(CONCATENATE(B141,".20"),'Resultados - 7'!$A$10:$BL$156,29,FALSE)/T157)*T160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- 7'!$A$10:$BL$156,39,FALSE)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- 7'!$A$10:$BL$156,27,FALSE)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- 7'!$A$10:$BL$156,61,FALSE)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- 7'!$A$10:$BL$156,62,FALSE)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- 7'!$A$10:$BL$156,63,FALSE)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- 7'!$AU$7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- 7'!$A$10:$BL$156,36,FALSE)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- 7'!$A$10:$BL$156,41,FALSE)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- 7'!$A$10:$BL$156,49,FALSE)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- 7'!$A$10:$BL$156,28,FALSE)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- 7'!$A$10:$BL$156,33,FALSE)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- 7'!$AU$6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- 7'!$A$10:$BL$156,50,FALSE)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- 7'!$A$10:$BL$156,51,FALSE)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- 7'!$A$10:$BL$156,43,FALSE)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- 7'!$AU$5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- 7'!$A$10:$BL$156,44,FALSE)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- 7'!$A$10:$BL$156,32,FALSE)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- 7'!$A$10:$BL$156,47,FALSE)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- 7'!$A$10:$BL$156,43,FALSE)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- 7'!$A$10:$BL$156,44,FALSE)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- 7'!$A$10:$BL$156,42,FALSE)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63CF-5F4E-4ED2-835D-E13735FB024A}">
  <sheetPr codeName="Planilha30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- 8'!$A$2</f>
        <v>8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- 8</v>
      </c>
    </row>
    <row r="2" spans="1:28" ht="23.4" thickBot="1" x14ac:dyDescent="0.35">
      <c r="A2" s="490" t="str">
        <f>CONCATENATE("Volume - Resultados - ",P1)</f>
        <v>Volume - Resultados - 8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- 8'!$A$10:$BL$156,41,FALSE)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- 8'!$A$10:$BL$156,42,FALSE)</f>
        <v>0</v>
      </c>
      <c r="D6" s="86" t="str">
        <f>VLOOKUP(CONCATENATE(B3,".3"),'Resultados - 8'!$A$10:$BL$156,7,FALSE)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- 8'!$A$10:$BL$156,42,FALSE)=1,1,VLOOKUP(CONCATENATE(B3,".5"),'Resultados - 8'!$A$10:$BL$156,42,FALSE)-1)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- 8'!$A$10:$BL$156,26,FALSE)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- 8'!$A$10:$BL$156,37,FALSE)</f>
        <v>3.0000000000000001E-5</v>
      </c>
      <c r="D7" s="86" t="str">
        <f ca="1">VLOOKUP(CONCATENATE(B3,".9"),'Resultados - 8'!$A$10:$BL$156,34,FALSE)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- 8'!$A$10:$BL$156,38,FALSE)</f>
        <v>2</v>
      </c>
      <c r="H7" s="86" t="e">
        <f ca="1">(VLOOKUP(CONCATENATE(B3,".20"),'Resultados - 8'!$A$10:$BL$156,29,FALSE)/T19)*T22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- 8'!$A$10:$BL$156,39,FALSE)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- 8'!$A$10:$BL$156,27,FALSE)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- 8'!$A$10:$BL$156,61,FALSE)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- 8'!$A$10:$BL$156,62,FALSE)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- 8'!$A$10:$BL$156,63,FALSE)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- 8'!$AU$7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- 8'!$A$10:$BL$156,36,FALSE)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- 8'!$A$10:$BL$156,41,FALSE)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- 8'!$A$10:$BL$156,49,FALSE)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- 8'!$A$10:$BL$156,28,FALSE)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- 8'!$A$10:$BL$156,33,FALSE)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- 8'!$AU$6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- 8'!$A$10:$BL$156,50,FALSE)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- 8'!$A$10:$BL$156,51,FALSE)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- 8'!$A$10:$BL$156,43,FALSE)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- 8'!$AU$5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- 8'!$A$10:$BL$156,44,FALSE)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- 8'!$A$10:$BL$156,32,FALSE)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- 8'!$A$10:$BL$156,47,FALSE)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- 8'!$A$10:$BL$156,43,FALSE)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- 8'!$A$10:$BL$156,44,FALSE)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- 8'!$A$10:$BL$156,42,FALSE)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- 8'!$A$10:$BL$156,41,FALSE)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- 8'!$A$10:$BL$156,42,FALSE)</f>
        <v>0</v>
      </c>
      <c r="D29" s="86" t="str">
        <f>VLOOKUP(CONCATENATE(B26,".3"),'Resultados - 8'!$A$10:$BL$156,7,FALSE)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- 8'!$A$10:$BL$156,42,FALSE)=1,1,VLOOKUP(CONCATENATE(B26,".5"),'Resultados - 8'!$A$10:$BL$156,42,FALSE)-1)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- 8'!$A$10:$BL$156,26,FALSE)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- 8'!$A$10:$BL$156,37,FALSE)</f>
        <v>3.0000000000000001E-5</v>
      </c>
      <c r="D30" s="86" t="str">
        <f ca="1">VLOOKUP(CONCATENATE(B26,".9"),'Resultados - 8'!$A$10:$BL$156,34,FALSE)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- 8'!$A$10:$BL$156,38,FALSE)</f>
        <v>2</v>
      </c>
      <c r="H30" s="86" t="e">
        <f ca="1">(VLOOKUP(CONCATENATE(B26,".20"),'Resultados - 8'!$A$10:$BL$156,29,FALSE)/T42)*T45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- 8'!$A$10:$BL$156,39,FALSE)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- 8'!$A$10:$BL$156,27,FALSE)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- 8'!$A$10:$BL$156,61,FALSE)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- 8'!$A$10:$BL$156,62,FALSE)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- 8'!$A$10:$BL$156,63,FALSE)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- 8'!$AU$7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- 8'!$A$10:$BL$156,36,FALSE)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- 8'!$A$10:$BL$156,41,FALSE)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- 8'!$A$10:$BL$156,49,FALSE)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- 8'!$A$10:$BL$156,28,FALSE)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- 8'!$A$10:$BL$156,33,FALSE)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- 8'!$AU$6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- 8'!$A$10:$BL$156,50,FALSE)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- 8'!$A$10:$BL$156,51,FALSE)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- 8'!$A$10:$BL$156,43,FALSE)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- 8'!$AU$5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- 8'!$A$10:$BL$156,44,FALSE)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- 8'!$A$10:$BL$156,32,FALSE)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- 8'!$A$10:$BL$156,47,FALSE)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- 8'!$A$10:$BL$156,43,FALSE)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- 8'!$A$10:$BL$156,44,FALSE)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- 8'!$A$10:$BL$156,42,FALSE)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- 8'!$A$10:$BL$156,41,FALSE)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- 8'!$A$10:$BL$156,42,FALSE)</f>
        <v>0</v>
      </c>
      <c r="D52" s="86" t="str">
        <f>VLOOKUP(CONCATENATE(B49,".3"),'Resultados - 8'!$A$10:$BL$156,7,FALSE)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- 8'!$A$10:$BL$156,42,FALSE)=1,1,VLOOKUP(CONCATENATE(B49,".5"),'Resultados - 8'!$A$10:$BL$156,42,FALSE)-1)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- 8'!$A$10:$BL$156,26,FALSE)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- 8'!$A$10:$BL$156,37,FALSE)</f>
        <v>3.0000000000000001E-5</v>
      </c>
      <c r="D53" s="86" t="str">
        <f ca="1">VLOOKUP(CONCATENATE(B49,".9"),'Resultados - 8'!$A$10:$BL$156,34,FALSE)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- 8'!$A$10:$BL$156,38,FALSE)</f>
        <v>2</v>
      </c>
      <c r="H53" s="86" t="e">
        <f ca="1">(VLOOKUP(CONCATENATE(B49,".20"),'Resultados - 8'!$A$10:$BL$156,29,FALSE)/T65)*T68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- 8'!$A$10:$BL$156,39,FALSE)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- 8'!$A$10:$BL$156,27,FALSE)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- 8'!$A$10:$BL$156,61,FALSE)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- 8'!$A$10:$BL$156,62,FALSE)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- 8'!$A$10:$BL$156,63,FALSE)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- 8'!$AU$7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- 8'!$A$10:$BL$156,36,FALSE)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- 8'!$A$10:$BL$156,41,FALSE)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- 8'!$A$10:$BL$156,49,FALSE)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- 8'!$A$10:$BL$156,28,FALSE)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- 8'!$A$10:$BL$156,33,FALSE)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- 8'!$AU$6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- 8'!$A$10:$BL$156,50,FALSE)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- 8'!$A$10:$BL$156,51,FALSE)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- 8'!$A$10:$BL$156,43,FALSE)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- 8'!$AU$5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- 8'!$A$10:$BL$156,44,FALSE)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- 8'!$A$10:$BL$156,32,FALSE)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- 8'!$A$10:$BL$156,47,FALSE)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- 8'!$A$10:$BL$156,43,FALSE)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- 8'!$A$10:$BL$156,44,FALSE)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- 8'!$A$10:$BL$156,42,FALSE)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- 8'!$A$10:$BL$156,41,FALSE)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- 8'!$A$10:$BL$156,42,FALSE)</f>
        <v>0</v>
      </c>
      <c r="D75" s="86" t="str">
        <f>VLOOKUP(CONCATENATE(B72,".3"),'Resultados - 8'!$A$10:$BL$156,7,FALSE)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- 8'!$A$10:$BL$156,42,FALSE)=1,1,VLOOKUP(CONCATENATE(B72,".5"),'Resultados - 8'!$A$10:$BL$156,42,FALSE)-1)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- 8'!$A$10:$BL$156,26,FALSE)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- 8'!$A$10:$BL$156,37,FALSE)</f>
        <v>3.0000000000000001E-5</v>
      </c>
      <c r="D76" s="86" t="str">
        <f ca="1">VLOOKUP(CONCATENATE(B72,".9"),'Resultados - 8'!$A$10:$BL$156,34,FALSE)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- 8'!$A$10:$BL$156,38,FALSE)</f>
        <v>2</v>
      </c>
      <c r="H76" s="86" t="e">
        <f ca="1">(VLOOKUP(CONCATENATE(B72,".20"),'Resultados - 8'!$A$10:$BL$156,29,FALSE)/T88)*T91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- 8'!$A$10:$BL$156,39,FALSE)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- 8'!$A$10:$BL$156,27,FALSE)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- 8'!$A$10:$BL$156,61,FALSE)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- 8'!$A$10:$BL$156,62,FALSE)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- 8'!$A$10:$BL$156,63,FALSE)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- 8'!$AU$7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- 8'!$A$10:$BL$156,36,FALSE)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- 8'!$A$10:$BL$156,41,FALSE)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- 8'!$A$10:$BL$156,49,FALSE)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- 8'!$A$10:$BL$156,28,FALSE)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- 8'!$A$10:$BL$156,33,FALSE)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- 8'!$AU$6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- 8'!$A$10:$BL$156,50,FALSE)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- 8'!$A$10:$BL$156,51,FALSE)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- 8'!$A$10:$BL$156,43,FALSE)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- 8'!$AU$5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- 8'!$A$10:$BL$156,44,FALSE)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- 8'!$A$10:$BL$156,32,FALSE)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- 8'!$A$10:$BL$156,47,FALSE)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- 8'!$A$10:$BL$156,43,FALSE)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- 8'!$A$10:$BL$156,44,FALSE)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- 8'!$A$10:$BL$156,42,FALSE)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- 8'!$A$10:$BL$156,41,FALSE)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- 8'!$A$10:$BL$156,42,FALSE)</f>
        <v>0</v>
      </c>
      <c r="D98" s="86" t="str">
        <f>VLOOKUP(CONCATENATE(B95,".3"),'Resultados - 8'!$A$10:$BL$156,7,FALSE)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- 8'!$A$10:$BL$156,42,FALSE)=1,1,VLOOKUP(CONCATENATE(B95,".5"),'Resultados - 8'!$A$10:$BL$156,42,FALSE)-1)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- 8'!$A$10:$BL$156,26,FALSE)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- 8'!$A$10:$BL$156,37,FALSE)</f>
        <v>3.0000000000000001E-5</v>
      </c>
      <c r="D99" s="86" t="str">
        <f ca="1">VLOOKUP(CONCATENATE(B95,".9"),'Resultados - 8'!$A$10:$BL$156,34,FALSE)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- 8'!$A$10:$BL$156,38,FALSE)</f>
        <v>2</v>
      </c>
      <c r="H99" s="86" t="e">
        <f ca="1">(VLOOKUP(CONCATENATE(B95,".20"),'Resultados - 8'!$A$10:$BL$156,29,FALSE)/T111)*T114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- 8'!$A$10:$BL$156,39,FALSE)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- 8'!$A$10:$BL$156,27,FALSE)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- 8'!$A$10:$BL$156,61,FALSE)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- 8'!$A$10:$BL$156,62,FALSE)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- 8'!$A$10:$BL$156,63,FALSE)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- 8'!$AU$7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- 8'!$A$10:$BL$156,36,FALSE)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- 8'!$A$10:$BL$156,41,FALSE)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- 8'!$A$10:$BL$156,49,FALSE)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- 8'!$A$10:$BL$156,28,FALSE)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- 8'!$A$10:$BL$156,33,FALSE)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- 8'!$AU$6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- 8'!$A$10:$BL$156,50,FALSE)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- 8'!$A$10:$BL$156,51,FALSE)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- 8'!$A$10:$BL$156,43,FALSE)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- 8'!$AU$5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- 8'!$A$10:$BL$156,44,FALSE)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- 8'!$A$10:$BL$156,32,FALSE)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- 8'!$A$10:$BL$156,47,FALSE)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- 8'!$A$10:$BL$156,43,FALSE)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- 8'!$A$10:$BL$156,44,FALSE)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- 8'!$A$10:$BL$156,42,FALSE)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- 8'!$A$10:$BL$156,41,FALSE)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- 8'!$A$10:$BL$156,42,FALSE)</f>
        <v>0</v>
      </c>
      <c r="D121" s="86" t="str">
        <f>VLOOKUP(CONCATENATE(B118,".3"),'Resultados - 8'!$A$10:$BL$156,7,FALSE)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- 8'!$A$10:$BL$156,42,FALSE)=1,1,VLOOKUP(CONCATENATE(B118,".5"),'Resultados - 8'!$A$10:$BL$156,42,FALSE)-1)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- 8'!$A$10:$BL$156,26,FALSE)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- 8'!$A$10:$BL$156,37,FALSE)</f>
        <v>3.0000000000000001E-5</v>
      </c>
      <c r="D122" s="86" t="str">
        <f ca="1">VLOOKUP(CONCATENATE(B118,".9"),'Resultados - 8'!$A$10:$BL$156,34,FALSE)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- 8'!$A$10:$BL$156,38,FALSE)</f>
        <v>2</v>
      </c>
      <c r="H122" s="86" t="e">
        <f ca="1">(VLOOKUP(CONCATENATE(B118,".20"),'Resultados - 8'!$A$10:$BL$156,29,FALSE)/T134)*T137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- 8'!$A$10:$BL$156,39,FALSE)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- 8'!$A$10:$BL$156,27,FALSE)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- 8'!$A$10:$BL$156,61,FALSE)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- 8'!$A$10:$BL$156,62,FALSE)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- 8'!$A$10:$BL$156,63,FALSE)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- 8'!$AU$7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- 8'!$A$10:$BL$156,36,FALSE)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- 8'!$A$10:$BL$156,41,FALSE)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- 8'!$A$10:$BL$156,49,FALSE)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- 8'!$A$10:$BL$156,28,FALSE)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- 8'!$A$10:$BL$156,33,FALSE)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- 8'!$AU$6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- 8'!$A$10:$BL$156,50,FALSE)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- 8'!$A$10:$BL$156,51,FALSE)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- 8'!$A$10:$BL$156,43,FALSE)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- 8'!$AU$5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- 8'!$A$10:$BL$156,44,FALSE)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- 8'!$A$10:$BL$156,32,FALSE)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- 8'!$A$10:$BL$156,47,FALSE)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- 8'!$A$10:$BL$156,43,FALSE)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- 8'!$A$10:$BL$156,44,FALSE)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- 8'!$A$10:$BL$156,42,FALSE)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- 8'!$A$10:$BL$156,41,FALSE)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- 8'!$A$10:$BL$156,42,FALSE)</f>
        <v>0</v>
      </c>
      <c r="D144" s="86" t="str">
        <f>VLOOKUP(CONCATENATE(B141,".3"),'Resultados - 8'!$A$10:$BL$156,7,FALSE)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- 8'!$A$10:$BL$156,42,FALSE)=1,1,VLOOKUP(CONCATENATE(B141,".5"),'Resultados - 8'!$A$10:$BL$156,42,FALSE)-1)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- 8'!$A$10:$BL$156,26,FALSE)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- 8'!$A$10:$BL$156,37,FALSE)</f>
        <v>3.0000000000000001E-5</v>
      </c>
      <c r="D145" s="86" t="str">
        <f ca="1">VLOOKUP(CONCATENATE(B141,".9"),'Resultados - 8'!$A$10:$BL$156,34,FALSE)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- 8'!$A$10:$BL$156,38,FALSE)</f>
        <v>2</v>
      </c>
      <c r="H145" s="86" t="e">
        <f ca="1">(VLOOKUP(CONCATENATE(B141,".20"),'Resultados - 8'!$A$10:$BL$156,29,FALSE)/T157)*T160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- 8'!$A$10:$BL$156,39,FALSE)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- 8'!$A$10:$BL$156,27,FALSE)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- 8'!$A$10:$BL$156,61,FALSE)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- 8'!$A$10:$BL$156,62,FALSE)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- 8'!$A$10:$BL$156,63,FALSE)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- 8'!$AU$7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- 8'!$A$10:$BL$156,36,FALSE)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- 8'!$A$10:$BL$156,41,FALSE)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- 8'!$A$10:$BL$156,49,FALSE)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- 8'!$A$10:$BL$156,28,FALSE)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- 8'!$A$10:$BL$156,33,FALSE)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- 8'!$AU$6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- 8'!$A$10:$BL$156,50,FALSE)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- 8'!$A$10:$BL$156,51,FALSE)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- 8'!$A$10:$BL$156,43,FALSE)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- 8'!$AU$5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- 8'!$A$10:$BL$156,44,FALSE)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- 8'!$A$10:$BL$156,32,FALSE)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- 8'!$A$10:$BL$156,47,FALSE)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- 8'!$A$10:$BL$156,43,FALSE)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- 8'!$A$10:$BL$156,44,FALSE)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- 8'!$A$10:$BL$156,42,FALSE)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xZi1Lk+qw/g9U5DZLUTLhH3YTmLXZRwMJ/Zpp+zLdfXTovamMccgiR+PYoZxRJ3d25vexAmfH0oJ5FxMvPMGHQ==" saltValue="Jm4DzX+BX9Z/0T0GAK/fM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C1B9-B6A2-462C-8E6B-BADD0D21033F}">
  <sheetPr codeName="Planilha29"/>
  <dimension ref="A1:AB163"/>
  <sheetViews>
    <sheetView workbookViewId="0">
      <selection activeCell="Q4" sqref="Q4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- 9'!$A$2</f>
        <v>9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- 9</v>
      </c>
    </row>
    <row r="2" spans="1:28" ht="23.4" thickBot="1" x14ac:dyDescent="0.35">
      <c r="A2" s="490" t="str">
        <f>CONCATENATE("Volume - Resultados - ",P1)</f>
        <v>Volume - Resultados - 9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- 9'!$A$10:$BL$156,41,FALSE)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- 9'!$A$10:$BL$156,42,FALSE)</f>
        <v>0</v>
      </c>
      <c r="D6" s="86" t="str">
        <f>VLOOKUP(CONCATENATE(B3,".3"),'Resultados - 9'!$A$10:$BL$156,7,FALSE)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- 9'!$A$10:$BL$156,42,FALSE)=1,1,VLOOKUP(CONCATENATE(B3,".5"),'Resultados - 9'!$A$10:$BL$156,42,FALSE)-1)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- 9'!$A$10:$BL$156,26,FALSE)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- 9'!$A$10:$BL$156,37,FALSE)</f>
        <v>3.0000000000000001E-5</v>
      </c>
      <c r="D7" s="86" t="str">
        <f ca="1">VLOOKUP(CONCATENATE(B3,".9"),'Resultados - 9'!$A$10:$BL$156,34,FALSE)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- 9'!$A$10:$BL$156,38,FALSE)</f>
        <v>2</v>
      </c>
      <c r="H7" s="86" t="e">
        <f ca="1">(VLOOKUP(CONCATENATE(B3,".20"),'Resultados - 9'!$A$10:$BL$156,29,FALSE)/T19)*T22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- 9'!$A$10:$BL$156,39,FALSE)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- 9'!$A$10:$BL$156,27,FALSE)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- 9'!$A$10:$BL$156,61,FALSE)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- 9'!$A$10:$BL$156,62,FALSE)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- 9'!$A$10:$BL$156,63,FALSE)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- 9'!$AU$7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- 9'!$A$10:$BL$156,36,FALSE)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- 9'!$A$10:$BL$156,41,FALSE)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- 9'!$A$10:$BL$156,49,FALSE)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- 9'!$A$10:$BL$156,28,FALSE)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- 9'!$A$10:$BL$156,33,FALSE)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- 9'!$AU$6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- 9'!$A$10:$BL$156,50,FALSE)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- 9'!$A$10:$BL$156,51,FALSE)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- 9'!$A$10:$BL$156,43,FALSE)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- 9'!$AU$5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- 9'!$A$10:$BL$156,44,FALSE)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- 9'!$A$10:$BL$156,32,FALSE)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- 9'!$A$10:$BL$156,47,FALSE)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- 9'!$A$10:$BL$156,43,FALSE)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- 9'!$A$10:$BL$156,44,FALSE)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- 9'!$A$10:$BL$156,42,FALSE)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- 9'!$A$10:$BL$156,41,FALSE)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- 9'!$A$10:$BL$156,42,FALSE)</f>
        <v>0</v>
      </c>
      <c r="D29" s="86" t="str">
        <f>VLOOKUP(CONCATENATE(B26,".3"),'Resultados - 9'!$A$10:$BL$156,7,FALSE)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- 9'!$A$10:$BL$156,42,FALSE)=1,1,VLOOKUP(CONCATENATE(B26,".5"),'Resultados - 9'!$A$10:$BL$156,42,FALSE)-1)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- 9'!$A$10:$BL$156,26,FALSE)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- 9'!$A$10:$BL$156,37,FALSE)</f>
        <v>3.0000000000000001E-5</v>
      </c>
      <c r="D30" s="86" t="str">
        <f ca="1">VLOOKUP(CONCATENATE(B26,".9"),'Resultados - 9'!$A$10:$BL$156,34,FALSE)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- 9'!$A$10:$BL$156,38,FALSE)</f>
        <v>2</v>
      </c>
      <c r="H30" s="86" t="e">
        <f ca="1">(VLOOKUP(CONCATENATE(B26,".20"),'Resultados - 9'!$A$10:$BL$156,29,FALSE)/T42)*T45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- 9'!$A$10:$BL$156,39,FALSE)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- 9'!$A$10:$BL$156,27,FALSE)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- 9'!$A$10:$BL$156,61,FALSE)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- 9'!$A$10:$BL$156,62,FALSE)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- 9'!$A$10:$BL$156,63,FALSE)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- 9'!$AU$7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- 9'!$A$10:$BL$156,36,FALSE)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- 9'!$A$10:$BL$156,41,FALSE)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- 9'!$A$10:$BL$156,49,FALSE)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- 9'!$A$10:$BL$156,28,FALSE)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- 9'!$A$10:$BL$156,33,FALSE)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- 9'!$AU$6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- 9'!$A$10:$BL$156,50,FALSE)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- 9'!$A$10:$BL$156,51,FALSE)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- 9'!$A$10:$BL$156,43,FALSE)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- 9'!$AU$5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- 9'!$A$10:$BL$156,44,FALSE)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- 9'!$A$10:$BL$156,32,FALSE)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- 9'!$A$10:$BL$156,47,FALSE)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- 9'!$A$10:$BL$156,43,FALSE)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- 9'!$A$10:$BL$156,44,FALSE)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- 9'!$A$10:$BL$156,42,FALSE)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- 9'!$A$10:$BL$156,41,FALSE)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- 9'!$A$10:$BL$156,42,FALSE)</f>
        <v>0</v>
      </c>
      <c r="D52" s="86" t="str">
        <f>VLOOKUP(CONCATENATE(B49,".3"),'Resultados - 9'!$A$10:$BL$156,7,FALSE)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- 9'!$A$10:$BL$156,42,FALSE)=1,1,VLOOKUP(CONCATENATE(B49,".5"),'Resultados - 9'!$A$10:$BL$156,42,FALSE)-1)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- 9'!$A$10:$BL$156,26,FALSE)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- 9'!$A$10:$BL$156,37,FALSE)</f>
        <v>3.0000000000000001E-5</v>
      </c>
      <c r="D53" s="86" t="str">
        <f ca="1">VLOOKUP(CONCATENATE(B49,".9"),'Resultados - 9'!$A$10:$BL$156,34,FALSE)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- 9'!$A$10:$BL$156,38,FALSE)</f>
        <v>2</v>
      </c>
      <c r="H53" s="86" t="e">
        <f ca="1">(VLOOKUP(CONCATENATE(B49,".20"),'Resultados - 9'!$A$10:$BL$156,29,FALSE)/T65)*T68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- 9'!$A$10:$BL$156,39,FALSE)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- 9'!$A$10:$BL$156,27,FALSE)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- 9'!$A$10:$BL$156,61,FALSE)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- 9'!$A$10:$BL$156,62,FALSE)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- 9'!$A$10:$BL$156,63,FALSE)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- 9'!$AU$7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- 9'!$A$10:$BL$156,36,FALSE)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- 9'!$A$10:$BL$156,41,FALSE)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- 9'!$A$10:$BL$156,49,FALSE)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- 9'!$A$10:$BL$156,28,FALSE)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- 9'!$A$10:$BL$156,33,FALSE)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- 9'!$AU$6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- 9'!$A$10:$BL$156,50,FALSE)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- 9'!$A$10:$BL$156,51,FALSE)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- 9'!$A$10:$BL$156,43,FALSE)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- 9'!$AU$5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- 9'!$A$10:$BL$156,44,FALSE)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- 9'!$A$10:$BL$156,32,FALSE)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- 9'!$A$10:$BL$156,47,FALSE)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- 9'!$A$10:$BL$156,43,FALSE)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- 9'!$A$10:$BL$156,44,FALSE)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- 9'!$A$10:$BL$156,42,FALSE)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- 9'!$A$10:$BL$156,41,FALSE)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- 9'!$A$10:$BL$156,42,FALSE)</f>
        <v>0</v>
      </c>
      <c r="D75" s="86" t="str">
        <f>VLOOKUP(CONCATENATE(B72,".3"),'Resultados - 9'!$A$10:$BL$156,7,FALSE)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- 9'!$A$10:$BL$156,42,FALSE)=1,1,VLOOKUP(CONCATENATE(B72,".5"),'Resultados - 9'!$A$10:$BL$156,42,FALSE)-1)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- 9'!$A$10:$BL$156,26,FALSE)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- 9'!$A$10:$BL$156,37,FALSE)</f>
        <v>3.0000000000000001E-5</v>
      </c>
      <c r="D76" s="86" t="str">
        <f ca="1">VLOOKUP(CONCATENATE(B72,".9"),'Resultados - 9'!$A$10:$BL$156,34,FALSE)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- 9'!$A$10:$BL$156,38,FALSE)</f>
        <v>2</v>
      </c>
      <c r="H76" s="86" t="e">
        <f ca="1">(VLOOKUP(CONCATENATE(B72,".20"),'Resultados - 9'!$A$10:$BL$156,29,FALSE)/T88)*T91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- 9'!$A$10:$BL$156,39,FALSE)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- 9'!$A$10:$BL$156,27,FALSE)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- 9'!$A$10:$BL$156,61,FALSE)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- 9'!$A$10:$BL$156,62,FALSE)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- 9'!$A$10:$BL$156,63,FALSE)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- 9'!$AU$7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- 9'!$A$10:$BL$156,36,FALSE)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- 9'!$A$10:$BL$156,41,FALSE)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- 9'!$A$10:$BL$156,49,FALSE)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- 9'!$A$10:$BL$156,28,FALSE)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- 9'!$A$10:$BL$156,33,FALSE)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- 9'!$AU$6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- 9'!$A$10:$BL$156,50,FALSE)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- 9'!$A$10:$BL$156,51,FALSE)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- 9'!$A$10:$BL$156,43,FALSE)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- 9'!$AU$5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- 9'!$A$10:$BL$156,44,FALSE)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- 9'!$A$10:$BL$156,32,FALSE)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- 9'!$A$10:$BL$156,47,FALSE)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- 9'!$A$10:$BL$156,43,FALSE)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- 9'!$A$10:$BL$156,44,FALSE)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- 9'!$A$10:$BL$156,42,FALSE)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- 9'!$A$10:$BL$156,41,FALSE)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- 9'!$A$10:$BL$156,42,FALSE)</f>
        <v>0</v>
      </c>
      <c r="D98" s="86" t="str">
        <f>VLOOKUP(CONCATENATE(B95,".3"),'Resultados - 9'!$A$10:$BL$156,7,FALSE)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- 9'!$A$10:$BL$156,42,FALSE)=1,1,VLOOKUP(CONCATENATE(B95,".5"),'Resultados - 9'!$A$10:$BL$156,42,FALSE)-1)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- 9'!$A$10:$BL$156,26,FALSE)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- 9'!$A$10:$BL$156,37,FALSE)</f>
        <v>3.0000000000000001E-5</v>
      </c>
      <c r="D99" s="86" t="str">
        <f ca="1">VLOOKUP(CONCATENATE(B95,".9"),'Resultados - 9'!$A$10:$BL$156,34,FALSE)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- 9'!$A$10:$BL$156,38,FALSE)</f>
        <v>2</v>
      </c>
      <c r="H99" s="86" t="e">
        <f ca="1">(VLOOKUP(CONCATENATE(B95,".20"),'Resultados - 9'!$A$10:$BL$156,29,FALSE)/T111)*T114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- 9'!$A$10:$BL$156,39,FALSE)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- 9'!$A$10:$BL$156,27,FALSE)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- 9'!$A$10:$BL$156,61,FALSE)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- 9'!$A$10:$BL$156,62,FALSE)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- 9'!$A$10:$BL$156,63,FALSE)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- 9'!$AU$7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- 9'!$A$10:$BL$156,36,FALSE)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- 9'!$A$10:$BL$156,41,FALSE)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- 9'!$A$10:$BL$156,49,FALSE)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- 9'!$A$10:$BL$156,28,FALSE)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- 9'!$A$10:$BL$156,33,FALSE)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- 9'!$AU$6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- 9'!$A$10:$BL$156,50,FALSE)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- 9'!$A$10:$BL$156,51,FALSE)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- 9'!$A$10:$BL$156,43,FALSE)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- 9'!$AU$5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- 9'!$A$10:$BL$156,44,FALSE)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- 9'!$A$10:$BL$156,32,FALSE)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- 9'!$A$10:$BL$156,47,FALSE)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- 9'!$A$10:$BL$156,43,FALSE)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- 9'!$A$10:$BL$156,44,FALSE)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- 9'!$A$10:$BL$156,42,FALSE)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- 9'!$A$10:$BL$156,41,FALSE)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- 9'!$A$10:$BL$156,42,FALSE)</f>
        <v>0</v>
      </c>
      <c r="D121" s="86" t="str">
        <f>VLOOKUP(CONCATENATE(B118,".3"),'Resultados - 9'!$A$10:$BL$156,7,FALSE)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- 9'!$A$10:$BL$156,42,FALSE)=1,1,VLOOKUP(CONCATENATE(B118,".5"),'Resultados - 9'!$A$10:$BL$156,42,FALSE)-1)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- 9'!$A$10:$BL$156,26,FALSE)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- 9'!$A$10:$BL$156,37,FALSE)</f>
        <v>3.0000000000000001E-5</v>
      </c>
      <c r="D122" s="86" t="str">
        <f ca="1">VLOOKUP(CONCATENATE(B118,".9"),'Resultados - 9'!$A$10:$BL$156,34,FALSE)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- 9'!$A$10:$BL$156,38,FALSE)</f>
        <v>2</v>
      </c>
      <c r="H122" s="86" t="e">
        <f ca="1">(VLOOKUP(CONCATENATE(B118,".20"),'Resultados - 9'!$A$10:$BL$156,29,FALSE)/T134)*T137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- 9'!$A$10:$BL$156,39,FALSE)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- 9'!$A$10:$BL$156,27,FALSE)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- 9'!$A$10:$BL$156,61,FALSE)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- 9'!$A$10:$BL$156,62,FALSE)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- 9'!$A$10:$BL$156,63,FALSE)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- 9'!$AU$7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- 9'!$A$10:$BL$156,36,FALSE)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- 9'!$A$10:$BL$156,41,FALSE)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- 9'!$A$10:$BL$156,49,FALSE)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- 9'!$A$10:$BL$156,28,FALSE)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- 9'!$A$10:$BL$156,33,FALSE)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- 9'!$AU$6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- 9'!$A$10:$BL$156,50,FALSE)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- 9'!$A$10:$BL$156,51,FALSE)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- 9'!$A$10:$BL$156,43,FALSE)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- 9'!$AU$5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- 9'!$A$10:$BL$156,44,FALSE)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- 9'!$A$10:$BL$156,32,FALSE)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- 9'!$A$10:$BL$156,47,FALSE)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- 9'!$A$10:$BL$156,43,FALSE)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- 9'!$A$10:$BL$156,44,FALSE)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- 9'!$A$10:$BL$156,42,FALSE)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- 9'!$A$10:$BL$156,41,FALSE)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- 9'!$A$10:$BL$156,42,FALSE)</f>
        <v>0</v>
      </c>
      <c r="D144" s="86" t="str">
        <f>VLOOKUP(CONCATENATE(B141,".3"),'Resultados - 9'!$A$10:$BL$156,7,FALSE)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- 9'!$A$10:$BL$156,42,FALSE)=1,1,VLOOKUP(CONCATENATE(B141,".5"),'Resultados - 9'!$A$10:$BL$156,42,FALSE)-1)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- 9'!$A$10:$BL$156,26,FALSE)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- 9'!$A$10:$BL$156,37,FALSE)</f>
        <v>3.0000000000000001E-5</v>
      </c>
      <c r="D145" s="86" t="str">
        <f ca="1">VLOOKUP(CONCATENATE(B141,".9"),'Resultados - 9'!$A$10:$BL$156,34,FALSE)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- 9'!$A$10:$BL$156,38,FALSE)</f>
        <v>2</v>
      </c>
      <c r="H145" s="86" t="e">
        <f ca="1">(VLOOKUP(CONCATENATE(B141,".20"),'Resultados - 9'!$A$10:$BL$156,29,FALSE)/T157)*T160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- 9'!$A$10:$BL$156,39,FALSE)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- 9'!$A$10:$BL$156,27,FALSE)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- 9'!$A$10:$BL$156,61,FALSE)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- 9'!$A$10:$BL$156,62,FALSE)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- 9'!$A$10:$BL$156,63,FALSE)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- 9'!$AU$7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- 9'!$A$10:$BL$156,36,FALSE)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- 9'!$A$10:$BL$156,41,FALSE)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- 9'!$A$10:$BL$156,49,FALSE)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- 9'!$A$10:$BL$156,28,FALSE)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- 9'!$A$10:$BL$156,33,FALSE)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- 9'!$AU$6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- 9'!$A$10:$BL$156,50,FALSE)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- 9'!$A$10:$BL$156,51,FALSE)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- 9'!$A$10:$BL$156,43,FALSE)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- 9'!$AU$5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- 9'!$A$10:$BL$156,44,FALSE)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- 9'!$A$10:$BL$156,32,FALSE)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- 9'!$A$10:$BL$156,47,FALSE)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- 9'!$A$10:$BL$156,43,FALSE)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- 9'!$A$10:$BL$156,44,FALSE)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- 9'!$A$10:$BL$156,42,FALSE)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bAW5mxsMg99l1w0IvIp4oS4qzuhTHudKH2Uz+Jl7x2SLNSMGfwbUQc1+Zxb4PZMgjJgKORIZxc5HcgJoRjcyjw==" saltValue="jth+c1T3p8BCxN2KtgmE1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BA15F-6D26-49DE-BEA3-DEFEE46F1A0F}">
  <sheetPr codeName="Planilha28"/>
  <dimension ref="A1:AB163"/>
  <sheetViews>
    <sheetView workbookViewId="0">
      <selection activeCell="Q4" sqref="Q4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- 10'!$A$2</f>
        <v>10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- 10</v>
      </c>
    </row>
    <row r="2" spans="1:28" ht="23.4" thickBot="1" x14ac:dyDescent="0.35">
      <c r="A2" s="490" t="str">
        <f>CONCATENATE("Volume - Resultados - ",P1)</f>
        <v>Volume - Resultados - 10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- 10'!$A$10:$BL$156,41,FALSE)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- 10'!$A$10:$BL$156,42,FALSE)</f>
        <v>0</v>
      </c>
      <c r="D6" s="86" t="str">
        <f>VLOOKUP(CONCATENATE(B3,".3"),'Resultados - 10'!$A$10:$BL$156,7,FALSE)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- 10'!$A$10:$BL$156,42,FALSE)=1,1,VLOOKUP(CONCATENATE(B3,".5"),'Resultados - 10'!$A$10:$BL$156,42,FALSE)-1)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- 10'!$A$10:$BL$156,26,FALSE)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- 10'!$A$10:$BL$156,37,FALSE)</f>
        <v>3.0000000000000001E-5</v>
      </c>
      <c r="D7" s="86" t="str">
        <f ca="1">VLOOKUP(CONCATENATE(B3,".9"),'Resultados - 10'!$A$10:$BL$156,34,FALSE)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- 10'!$A$10:$BL$156,38,FALSE)</f>
        <v>2</v>
      </c>
      <c r="H7" s="86" t="e">
        <f ca="1">(VLOOKUP(CONCATENATE(B3,".20"),'Resultados - 10'!$A$10:$BL$156,29,FALSE)/T19)*T22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- 10'!$A$10:$BL$156,39,FALSE)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- 10'!$A$10:$BL$156,27,FALSE)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- 10'!$A$10:$BL$156,61,FALSE)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- 10'!$A$10:$BL$156,62,FALSE)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- 10'!$A$10:$BL$156,63,FALSE)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- 10'!$AU$7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- 10'!$A$10:$BL$156,36,FALSE)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- 10'!$A$10:$BL$156,41,FALSE)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- 10'!$A$10:$BL$156,49,FALSE)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- 10'!$A$10:$BL$156,28,FALSE)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- 10'!$A$10:$BL$156,33,FALSE)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- 10'!$AU$6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- 10'!$A$10:$BL$156,50,FALSE)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- 10'!$A$10:$BL$156,51,FALSE)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- 10'!$A$10:$BL$156,43,FALSE)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- 10'!$AU$5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- 10'!$A$10:$BL$156,44,FALSE)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- 10'!$A$10:$BL$156,32,FALSE)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- 10'!$A$10:$BL$156,47,FALSE)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- 10'!$A$10:$BL$156,43,FALSE)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- 10'!$A$10:$BL$156,44,FALSE)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- 10'!$A$10:$BL$156,42,FALSE)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- 10'!$A$10:$BL$156,41,FALSE)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- 10'!$A$10:$BL$156,42,FALSE)</f>
        <v>0</v>
      </c>
      <c r="D29" s="86" t="str">
        <f>VLOOKUP(CONCATENATE(B26,".3"),'Resultados - 10'!$A$10:$BL$156,7,FALSE)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- 10'!$A$10:$BL$156,42,FALSE)=1,1,VLOOKUP(CONCATENATE(B26,".5"),'Resultados - 10'!$A$10:$BL$156,42,FALSE)-1)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- 10'!$A$10:$BL$156,26,FALSE)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- 10'!$A$10:$BL$156,37,FALSE)</f>
        <v>3.0000000000000001E-5</v>
      </c>
      <c r="D30" s="86" t="str">
        <f ca="1">VLOOKUP(CONCATENATE(B26,".9"),'Resultados - 10'!$A$10:$BL$156,34,FALSE)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- 10'!$A$10:$BL$156,38,FALSE)</f>
        <v>2</v>
      </c>
      <c r="H30" s="86" t="e">
        <f ca="1">(VLOOKUP(CONCATENATE(B26,".20"),'Resultados - 10'!$A$10:$BL$156,29,FALSE)/T42)*T45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- 10'!$A$10:$BL$156,39,FALSE)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- 10'!$A$10:$BL$156,27,FALSE)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- 10'!$A$10:$BL$156,61,FALSE)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- 10'!$A$10:$BL$156,62,FALSE)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- 10'!$A$10:$BL$156,63,FALSE)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- 10'!$AU$7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- 10'!$A$10:$BL$156,36,FALSE)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- 10'!$A$10:$BL$156,41,FALSE)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- 10'!$A$10:$BL$156,49,FALSE)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- 10'!$A$10:$BL$156,28,FALSE)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- 10'!$A$10:$BL$156,33,FALSE)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- 10'!$AU$6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- 10'!$A$10:$BL$156,50,FALSE)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- 10'!$A$10:$BL$156,51,FALSE)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- 10'!$A$10:$BL$156,43,FALSE)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- 10'!$AU$5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- 10'!$A$10:$BL$156,44,FALSE)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- 10'!$A$10:$BL$156,32,FALSE)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- 10'!$A$10:$BL$156,47,FALSE)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- 10'!$A$10:$BL$156,43,FALSE)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- 10'!$A$10:$BL$156,44,FALSE)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- 10'!$A$10:$BL$156,42,FALSE)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- 10'!$A$10:$BL$156,41,FALSE)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- 10'!$A$10:$BL$156,42,FALSE)</f>
        <v>0</v>
      </c>
      <c r="D52" s="86" t="str">
        <f>VLOOKUP(CONCATENATE(B49,".3"),'Resultados - 10'!$A$10:$BL$156,7,FALSE)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- 10'!$A$10:$BL$156,42,FALSE)=1,1,VLOOKUP(CONCATENATE(B49,".5"),'Resultados - 10'!$A$10:$BL$156,42,FALSE)-1)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- 10'!$A$10:$BL$156,26,FALSE)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- 10'!$A$10:$BL$156,37,FALSE)</f>
        <v>3.0000000000000001E-5</v>
      </c>
      <c r="D53" s="86" t="str">
        <f ca="1">VLOOKUP(CONCATENATE(B49,".9"),'Resultados - 10'!$A$10:$BL$156,34,FALSE)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- 10'!$A$10:$BL$156,38,FALSE)</f>
        <v>2</v>
      </c>
      <c r="H53" s="86" t="e">
        <f ca="1">(VLOOKUP(CONCATENATE(B49,".20"),'Resultados - 10'!$A$10:$BL$156,29,FALSE)/T65)*T68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- 10'!$A$10:$BL$156,39,FALSE)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- 10'!$A$10:$BL$156,27,FALSE)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- 10'!$A$10:$BL$156,61,FALSE)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- 10'!$A$10:$BL$156,62,FALSE)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- 10'!$A$10:$BL$156,63,FALSE)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- 10'!$AU$7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- 10'!$A$10:$BL$156,36,FALSE)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- 10'!$A$10:$BL$156,41,FALSE)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- 10'!$A$10:$BL$156,49,FALSE)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- 10'!$A$10:$BL$156,28,FALSE)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- 10'!$A$10:$BL$156,33,FALSE)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- 10'!$AU$6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- 10'!$A$10:$BL$156,50,FALSE)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- 10'!$A$10:$BL$156,51,FALSE)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- 10'!$A$10:$BL$156,43,FALSE)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- 10'!$AU$5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- 10'!$A$10:$BL$156,44,FALSE)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- 10'!$A$10:$BL$156,32,FALSE)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- 10'!$A$10:$BL$156,47,FALSE)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- 10'!$A$10:$BL$156,43,FALSE)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- 10'!$A$10:$BL$156,44,FALSE)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- 10'!$A$10:$BL$156,42,FALSE)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- 10'!$A$10:$BL$156,41,FALSE)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- 10'!$A$10:$BL$156,42,FALSE)</f>
        <v>0</v>
      </c>
      <c r="D75" s="86" t="str">
        <f>VLOOKUP(CONCATENATE(B72,".3"),'Resultados - 10'!$A$10:$BL$156,7,FALSE)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- 10'!$A$10:$BL$156,42,FALSE)=1,1,VLOOKUP(CONCATENATE(B72,".5"),'Resultados - 10'!$A$10:$BL$156,42,FALSE)-1)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- 10'!$A$10:$BL$156,26,FALSE)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- 10'!$A$10:$BL$156,37,FALSE)</f>
        <v>3.0000000000000001E-5</v>
      </c>
      <c r="D76" s="86" t="str">
        <f ca="1">VLOOKUP(CONCATENATE(B72,".9"),'Resultados - 10'!$A$10:$BL$156,34,FALSE)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- 10'!$A$10:$BL$156,38,FALSE)</f>
        <v>2</v>
      </c>
      <c r="H76" s="86" t="e">
        <f ca="1">(VLOOKUP(CONCATENATE(B72,".20"),'Resultados - 10'!$A$10:$BL$156,29,FALSE)/T88)*T91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- 10'!$A$10:$BL$156,39,FALSE)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- 10'!$A$10:$BL$156,27,FALSE)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- 10'!$A$10:$BL$156,61,FALSE)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- 10'!$A$10:$BL$156,62,FALSE)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- 10'!$A$10:$BL$156,63,FALSE)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- 10'!$AU$7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- 10'!$A$10:$BL$156,36,FALSE)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- 10'!$A$10:$BL$156,41,FALSE)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- 10'!$A$10:$BL$156,49,FALSE)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- 10'!$A$10:$BL$156,28,FALSE)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- 10'!$A$10:$BL$156,33,FALSE)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- 10'!$AU$6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- 10'!$A$10:$BL$156,50,FALSE)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- 10'!$A$10:$BL$156,51,FALSE)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- 10'!$A$10:$BL$156,43,FALSE)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- 10'!$AU$5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- 10'!$A$10:$BL$156,44,FALSE)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- 10'!$A$10:$BL$156,32,FALSE)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- 10'!$A$10:$BL$156,47,FALSE)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- 10'!$A$10:$BL$156,43,FALSE)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- 10'!$A$10:$BL$156,44,FALSE)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- 10'!$A$10:$BL$156,42,FALSE)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- 10'!$A$10:$BL$156,41,FALSE)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- 10'!$A$10:$BL$156,42,FALSE)</f>
        <v>0</v>
      </c>
      <c r="D98" s="86" t="str">
        <f>VLOOKUP(CONCATENATE(B95,".3"),'Resultados - 10'!$A$10:$BL$156,7,FALSE)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- 10'!$A$10:$BL$156,42,FALSE)=1,1,VLOOKUP(CONCATENATE(B95,".5"),'Resultados - 10'!$A$10:$BL$156,42,FALSE)-1)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- 10'!$A$10:$BL$156,26,FALSE)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- 10'!$A$10:$BL$156,37,FALSE)</f>
        <v>3.0000000000000001E-5</v>
      </c>
      <c r="D99" s="86" t="str">
        <f ca="1">VLOOKUP(CONCATENATE(B95,".9"),'Resultados - 10'!$A$10:$BL$156,34,FALSE)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- 10'!$A$10:$BL$156,38,FALSE)</f>
        <v>2</v>
      </c>
      <c r="H99" s="86" t="e">
        <f ca="1">(VLOOKUP(CONCATENATE(B95,".20"),'Resultados - 10'!$A$10:$BL$156,29,FALSE)/T111)*T114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- 10'!$A$10:$BL$156,39,FALSE)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- 10'!$A$10:$BL$156,27,FALSE)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- 10'!$A$10:$BL$156,61,FALSE)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- 10'!$A$10:$BL$156,62,FALSE)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- 10'!$A$10:$BL$156,63,FALSE)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- 10'!$AU$7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- 10'!$A$10:$BL$156,36,FALSE)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- 10'!$A$10:$BL$156,41,FALSE)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- 10'!$A$10:$BL$156,49,FALSE)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- 10'!$A$10:$BL$156,28,FALSE)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- 10'!$A$10:$BL$156,33,FALSE)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- 10'!$AU$6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- 10'!$A$10:$BL$156,50,FALSE)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- 10'!$A$10:$BL$156,51,FALSE)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- 10'!$A$10:$BL$156,43,FALSE)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- 10'!$AU$5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- 10'!$A$10:$BL$156,44,FALSE)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- 10'!$A$10:$BL$156,32,FALSE)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- 10'!$A$10:$BL$156,47,FALSE)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- 10'!$A$10:$BL$156,43,FALSE)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- 10'!$A$10:$BL$156,44,FALSE)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- 10'!$A$10:$BL$156,42,FALSE)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- 10'!$A$10:$BL$156,41,FALSE)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- 10'!$A$10:$BL$156,42,FALSE)</f>
        <v>0</v>
      </c>
      <c r="D121" s="86" t="str">
        <f>VLOOKUP(CONCATENATE(B118,".3"),'Resultados - 10'!$A$10:$BL$156,7,FALSE)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- 10'!$A$10:$BL$156,42,FALSE)=1,1,VLOOKUP(CONCATENATE(B118,".5"),'Resultados - 10'!$A$10:$BL$156,42,FALSE)-1)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- 10'!$A$10:$BL$156,26,FALSE)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- 10'!$A$10:$BL$156,37,FALSE)</f>
        <v>3.0000000000000001E-5</v>
      </c>
      <c r="D122" s="86" t="str">
        <f ca="1">VLOOKUP(CONCATENATE(B118,".9"),'Resultados - 10'!$A$10:$BL$156,34,FALSE)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- 10'!$A$10:$BL$156,38,FALSE)</f>
        <v>2</v>
      </c>
      <c r="H122" s="86" t="e">
        <f ca="1">(VLOOKUP(CONCATENATE(B118,".20"),'Resultados - 10'!$A$10:$BL$156,29,FALSE)/T134)*T137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- 10'!$A$10:$BL$156,39,FALSE)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- 10'!$A$10:$BL$156,27,FALSE)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- 10'!$A$10:$BL$156,61,FALSE)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- 10'!$A$10:$BL$156,62,FALSE)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- 10'!$A$10:$BL$156,63,FALSE)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- 10'!$AU$7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- 10'!$A$10:$BL$156,36,FALSE)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- 10'!$A$10:$BL$156,41,FALSE)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- 10'!$A$10:$BL$156,49,FALSE)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- 10'!$A$10:$BL$156,28,FALSE)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- 10'!$A$10:$BL$156,33,FALSE)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- 10'!$AU$6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- 10'!$A$10:$BL$156,50,FALSE)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- 10'!$A$10:$BL$156,51,FALSE)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- 10'!$A$10:$BL$156,43,FALSE)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- 10'!$AU$5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- 10'!$A$10:$BL$156,44,FALSE)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- 10'!$A$10:$BL$156,32,FALSE)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- 10'!$A$10:$BL$156,47,FALSE)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- 10'!$A$10:$BL$156,43,FALSE)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- 10'!$A$10:$BL$156,44,FALSE)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- 10'!$A$10:$BL$156,42,FALSE)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- 10'!$A$10:$BL$156,41,FALSE)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- 10'!$A$10:$BL$156,42,FALSE)</f>
        <v>0</v>
      </c>
      <c r="D144" s="86" t="str">
        <f>VLOOKUP(CONCATENATE(B141,".3"),'Resultados - 10'!$A$10:$BL$156,7,FALSE)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- 10'!$A$10:$BL$156,42,FALSE)=1,1,VLOOKUP(CONCATENATE(B141,".5"),'Resultados - 10'!$A$10:$BL$156,42,FALSE)-1)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- 10'!$A$10:$BL$156,26,FALSE)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- 10'!$A$10:$BL$156,37,FALSE)</f>
        <v>3.0000000000000001E-5</v>
      </c>
      <c r="D145" s="86" t="str">
        <f ca="1">VLOOKUP(CONCATENATE(B141,".9"),'Resultados - 10'!$A$10:$BL$156,34,FALSE)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- 10'!$A$10:$BL$156,38,FALSE)</f>
        <v>2</v>
      </c>
      <c r="H145" s="86" t="e">
        <f ca="1">(VLOOKUP(CONCATENATE(B141,".20"),'Resultados - 10'!$A$10:$BL$156,29,FALSE)/T157)*T160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- 10'!$A$10:$BL$156,39,FALSE)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- 10'!$A$10:$BL$156,27,FALSE)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- 10'!$A$10:$BL$156,61,FALSE)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- 10'!$A$10:$BL$156,62,FALSE)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- 10'!$A$10:$BL$156,63,FALSE)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- 10'!$AU$7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- 10'!$A$10:$BL$156,36,FALSE)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- 10'!$A$10:$BL$156,41,FALSE)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- 10'!$A$10:$BL$156,49,FALSE)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- 10'!$A$10:$BL$156,28,FALSE)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- 10'!$A$10:$BL$156,33,FALSE)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- 10'!$AU$6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- 10'!$A$10:$BL$156,50,FALSE)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- 10'!$A$10:$BL$156,51,FALSE)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- 10'!$A$10:$BL$156,43,FALSE)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- 10'!$AU$5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- 10'!$A$10:$BL$156,44,FALSE)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- 10'!$A$10:$BL$156,32,FALSE)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- 10'!$A$10:$BL$156,47,FALSE)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- 10'!$A$10:$BL$156,43,FALSE)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- 10'!$A$10:$BL$156,44,FALSE)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- 10'!$A$10:$BL$156,42,FALSE)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iujnDrp/vHcYMj6or9x9siEtcnFqFdUJfPuAv67KmniH5yUxW0t/4Oh7hiMJWgOVqUsIuLXViM7dcv1SigTk1g==" saltValue="J2PENQlX+XyKGPGDyuEuYw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2E17E-EEFE-47CB-BCDF-103BE3782E1D}">
  <sheetPr codeName="Planilha27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- 11'!$A$2</f>
        <v>11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- 11</v>
      </c>
    </row>
    <row r="2" spans="1:28" ht="23.4" thickBot="1" x14ac:dyDescent="0.35">
      <c r="A2" s="490" t="str">
        <f>CONCATENATE("Volume - Resultados - ",P1)</f>
        <v>Volume - Resultados - 11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- 11'!$A$10:$BL$156,41,FALSE)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- 11'!$A$10:$BL$156,42,FALSE)</f>
        <v>0</v>
      </c>
      <c r="D6" s="86" t="str">
        <f>VLOOKUP(CONCATENATE(B3,".3"),'Resultados - 11'!$A$10:$BL$156,7,FALSE)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- 11'!$A$10:$BL$156,42,FALSE)=1,1,VLOOKUP(CONCATENATE(B3,".5"),'Resultados - 11'!$A$10:$BL$156,42,FALSE)-1)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- 11'!$A$10:$BL$156,26,FALSE)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- 11'!$A$10:$BL$156,37,FALSE)</f>
        <v>3.0000000000000001E-5</v>
      </c>
      <c r="D7" s="86" t="str">
        <f ca="1">VLOOKUP(CONCATENATE(B3,".9"),'Resultados - 11'!$A$10:$BL$156,34,FALSE)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- 11'!$A$10:$BL$156,38,FALSE)</f>
        <v>2</v>
      </c>
      <c r="H7" s="86" t="e">
        <f ca="1">(VLOOKUP(CONCATENATE(B3,".20"),'Resultados - 11'!$A$10:$BL$156,29,FALSE)/T19)*T22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- 11'!$A$10:$BL$156,39,FALSE)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- 11'!$A$10:$BL$156,27,FALSE)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- 11'!$A$10:$BL$156,61,FALSE)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- 11'!$A$10:$BL$156,62,FALSE)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- 11'!$A$10:$BL$156,63,FALSE)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- 11'!$AU$7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- 11'!$A$10:$BL$156,36,FALSE)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- 11'!$A$10:$BL$156,41,FALSE)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- 11'!$A$10:$BL$156,49,FALSE)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- 11'!$A$10:$BL$156,28,FALSE)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- 11'!$A$10:$BL$156,33,FALSE)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- 11'!$AU$6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- 11'!$A$10:$BL$156,50,FALSE)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- 11'!$A$10:$BL$156,51,FALSE)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- 11'!$A$10:$BL$156,43,FALSE)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- 11'!$AU$5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- 11'!$A$10:$BL$156,44,FALSE)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- 11'!$A$10:$BL$156,32,FALSE)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- 11'!$A$10:$BL$156,47,FALSE)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- 11'!$A$10:$BL$156,43,FALSE)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- 11'!$A$10:$BL$156,44,FALSE)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- 11'!$A$10:$BL$156,42,FALSE)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- 11'!$A$10:$BL$156,41,FALSE)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- 11'!$A$10:$BL$156,42,FALSE)</f>
        <v>0</v>
      </c>
      <c r="D29" s="86" t="str">
        <f>VLOOKUP(CONCATENATE(B26,".3"),'Resultados - 11'!$A$10:$BL$156,7,FALSE)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- 11'!$A$10:$BL$156,42,FALSE)=1,1,VLOOKUP(CONCATENATE(B26,".5"),'Resultados - 11'!$A$10:$BL$156,42,FALSE)-1)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- 11'!$A$10:$BL$156,26,FALSE)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- 11'!$A$10:$BL$156,37,FALSE)</f>
        <v>3.0000000000000001E-5</v>
      </c>
      <c r="D30" s="86" t="str">
        <f ca="1">VLOOKUP(CONCATENATE(B26,".9"),'Resultados - 11'!$A$10:$BL$156,34,FALSE)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- 11'!$A$10:$BL$156,38,FALSE)</f>
        <v>2</v>
      </c>
      <c r="H30" s="86" t="e">
        <f ca="1">(VLOOKUP(CONCATENATE(B26,".20"),'Resultados - 11'!$A$10:$BL$156,29,FALSE)/T42)*T45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- 11'!$A$10:$BL$156,39,FALSE)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- 11'!$A$10:$BL$156,27,FALSE)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- 11'!$A$10:$BL$156,61,FALSE)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- 11'!$A$10:$BL$156,62,FALSE)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- 11'!$A$10:$BL$156,63,FALSE)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- 11'!$AU$7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- 11'!$A$10:$BL$156,36,FALSE)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- 11'!$A$10:$BL$156,41,FALSE)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- 11'!$A$10:$BL$156,49,FALSE)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- 11'!$A$10:$BL$156,28,FALSE)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- 11'!$A$10:$BL$156,33,FALSE)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- 11'!$AU$6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- 11'!$A$10:$BL$156,50,FALSE)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- 11'!$A$10:$BL$156,51,FALSE)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- 11'!$A$10:$BL$156,43,FALSE)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- 11'!$AU$5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- 11'!$A$10:$BL$156,44,FALSE)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- 11'!$A$10:$BL$156,32,FALSE)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- 11'!$A$10:$BL$156,47,FALSE)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- 11'!$A$10:$BL$156,43,FALSE)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- 11'!$A$10:$BL$156,44,FALSE)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- 11'!$A$10:$BL$156,42,FALSE)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- 11'!$A$10:$BL$156,41,FALSE)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- 11'!$A$10:$BL$156,42,FALSE)</f>
        <v>0</v>
      </c>
      <c r="D52" s="86" t="str">
        <f>VLOOKUP(CONCATENATE(B49,".3"),'Resultados - 11'!$A$10:$BL$156,7,FALSE)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- 11'!$A$10:$BL$156,42,FALSE)=1,1,VLOOKUP(CONCATENATE(B49,".5"),'Resultados - 11'!$A$10:$BL$156,42,FALSE)-1)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- 11'!$A$10:$BL$156,26,FALSE)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- 11'!$A$10:$BL$156,37,FALSE)</f>
        <v>3.0000000000000001E-5</v>
      </c>
      <c r="D53" s="86" t="str">
        <f ca="1">VLOOKUP(CONCATENATE(B49,".9"),'Resultados - 11'!$A$10:$BL$156,34,FALSE)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- 11'!$A$10:$BL$156,38,FALSE)</f>
        <v>2</v>
      </c>
      <c r="H53" s="86" t="e">
        <f ca="1">(VLOOKUP(CONCATENATE(B49,".20"),'Resultados - 11'!$A$10:$BL$156,29,FALSE)/T65)*T68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- 11'!$A$10:$BL$156,39,FALSE)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- 11'!$A$10:$BL$156,27,FALSE)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- 11'!$A$10:$BL$156,61,FALSE)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- 11'!$A$10:$BL$156,62,FALSE)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- 11'!$A$10:$BL$156,63,FALSE)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- 11'!$AU$7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- 11'!$A$10:$BL$156,36,FALSE)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- 11'!$A$10:$BL$156,41,FALSE)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- 11'!$A$10:$BL$156,49,FALSE)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- 11'!$A$10:$BL$156,28,FALSE)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- 11'!$A$10:$BL$156,33,FALSE)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- 11'!$AU$6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- 11'!$A$10:$BL$156,50,FALSE)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- 11'!$A$10:$BL$156,51,FALSE)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- 11'!$A$10:$BL$156,43,FALSE)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- 11'!$AU$5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- 11'!$A$10:$BL$156,44,FALSE)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- 11'!$A$10:$BL$156,32,FALSE)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- 11'!$A$10:$BL$156,47,FALSE)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- 11'!$A$10:$BL$156,43,FALSE)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- 11'!$A$10:$BL$156,44,FALSE)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- 11'!$A$10:$BL$156,42,FALSE)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- 11'!$A$10:$BL$156,41,FALSE)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- 11'!$A$10:$BL$156,42,FALSE)</f>
        <v>0</v>
      </c>
      <c r="D75" s="86" t="str">
        <f>VLOOKUP(CONCATENATE(B72,".3"),'Resultados - 11'!$A$10:$BL$156,7,FALSE)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- 11'!$A$10:$BL$156,42,FALSE)=1,1,VLOOKUP(CONCATENATE(B72,".5"),'Resultados - 11'!$A$10:$BL$156,42,FALSE)-1)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- 11'!$A$10:$BL$156,26,FALSE)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- 11'!$A$10:$BL$156,37,FALSE)</f>
        <v>3.0000000000000001E-5</v>
      </c>
      <c r="D76" s="86" t="str">
        <f ca="1">VLOOKUP(CONCATENATE(B72,".9"),'Resultados - 11'!$A$10:$BL$156,34,FALSE)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- 11'!$A$10:$BL$156,38,FALSE)</f>
        <v>2</v>
      </c>
      <c r="H76" s="86" t="e">
        <f ca="1">(VLOOKUP(CONCATENATE(B72,".20"),'Resultados - 11'!$A$10:$BL$156,29,FALSE)/T88)*T91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- 11'!$A$10:$BL$156,39,FALSE)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- 11'!$A$10:$BL$156,27,FALSE)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- 11'!$A$10:$BL$156,61,FALSE)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- 11'!$A$10:$BL$156,62,FALSE)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- 11'!$A$10:$BL$156,63,FALSE)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- 11'!$AU$7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- 11'!$A$10:$BL$156,36,FALSE)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- 11'!$A$10:$BL$156,41,FALSE)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- 11'!$A$10:$BL$156,49,FALSE)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- 11'!$A$10:$BL$156,28,FALSE)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- 11'!$A$10:$BL$156,33,FALSE)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- 11'!$AU$6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- 11'!$A$10:$BL$156,50,FALSE)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- 11'!$A$10:$BL$156,51,FALSE)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- 11'!$A$10:$BL$156,43,FALSE)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- 11'!$AU$5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- 11'!$A$10:$BL$156,44,FALSE)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- 11'!$A$10:$BL$156,32,FALSE)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- 11'!$A$10:$BL$156,47,FALSE)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- 11'!$A$10:$BL$156,43,FALSE)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- 11'!$A$10:$BL$156,44,FALSE)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- 11'!$A$10:$BL$156,42,FALSE)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- 11'!$A$10:$BL$156,41,FALSE)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- 11'!$A$10:$BL$156,42,FALSE)</f>
        <v>0</v>
      </c>
      <c r="D98" s="86" t="str">
        <f>VLOOKUP(CONCATENATE(B95,".3"),'Resultados - 11'!$A$10:$BL$156,7,FALSE)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- 11'!$A$10:$BL$156,42,FALSE)=1,1,VLOOKUP(CONCATENATE(B95,".5"),'Resultados - 11'!$A$10:$BL$156,42,FALSE)-1)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- 11'!$A$10:$BL$156,26,FALSE)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- 11'!$A$10:$BL$156,37,FALSE)</f>
        <v>3.0000000000000001E-5</v>
      </c>
      <c r="D99" s="86" t="str">
        <f ca="1">VLOOKUP(CONCATENATE(B95,".9"),'Resultados - 11'!$A$10:$BL$156,34,FALSE)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- 11'!$A$10:$BL$156,38,FALSE)</f>
        <v>2</v>
      </c>
      <c r="H99" s="86" t="e">
        <f ca="1">(VLOOKUP(CONCATENATE(B95,".20"),'Resultados - 11'!$A$10:$BL$156,29,FALSE)/T111)*T114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- 11'!$A$10:$BL$156,39,FALSE)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- 11'!$A$10:$BL$156,27,FALSE)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- 11'!$A$10:$BL$156,61,FALSE)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- 11'!$A$10:$BL$156,62,FALSE)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- 11'!$A$10:$BL$156,63,FALSE)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- 11'!$AU$7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- 11'!$A$10:$BL$156,36,FALSE)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- 11'!$A$10:$BL$156,41,FALSE)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- 11'!$A$10:$BL$156,49,FALSE)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- 11'!$A$10:$BL$156,28,FALSE)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- 11'!$A$10:$BL$156,33,FALSE)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- 11'!$AU$6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- 11'!$A$10:$BL$156,50,FALSE)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- 11'!$A$10:$BL$156,51,FALSE)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- 11'!$A$10:$BL$156,43,FALSE)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- 11'!$AU$5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- 11'!$A$10:$BL$156,44,FALSE)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- 11'!$A$10:$BL$156,32,FALSE)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- 11'!$A$10:$BL$156,47,FALSE)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- 11'!$A$10:$BL$156,43,FALSE)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- 11'!$A$10:$BL$156,44,FALSE)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- 11'!$A$10:$BL$156,42,FALSE)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- 11'!$A$10:$BL$156,41,FALSE)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- 11'!$A$10:$BL$156,42,FALSE)</f>
        <v>0</v>
      </c>
      <c r="D121" s="86" t="str">
        <f>VLOOKUP(CONCATENATE(B118,".3"),'Resultados - 11'!$A$10:$BL$156,7,FALSE)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- 11'!$A$10:$BL$156,42,FALSE)=1,1,VLOOKUP(CONCATENATE(B118,".5"),'Resultados - 11'!$A$10:$BL$156,42,FALSE)-1)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- 11'!$A$10:$BL$156,26,FALSE)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- 11'!$A$10:$BL$156,37,FALSE)</f>
        <v>3.0000000000000001E-5</v>
      </c>
      <c r="D122" s="86" t="str">
        <f ca="1">VLOOKUP(CONCATENATE(B118,".9"),'Resultados - 11'!$A$10:$BL$156,34,FALSE)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- 11'!$A$10:$BL$156,38,FALSE)</f>
        <v>2</v>
      </c>
      <c r="H122" s="86" t="e">
        <f ca="1">(VLOOKUP(CONCATENATE(B118,".20"),'Resultados - 11'!$A$10:$BL$156,29,FALSE)/T134)*T137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- 11'!$A$10:$BL$156,39,FALSE)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- 11'!$A$10:$BL$156,27,FALSE)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- 11'!$A$10:$BL$156,61,FALSE)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- 11'!$A$10:$BL$156,62,FALSE)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- 11'!$A$10:$BL$156,63,FALSE)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- 11'!$AU$7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- 11'!$A$10:$BL$156,36,FALSE)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- 11'!$A$10:$BL$156,41,FALSE)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- 11'!$A$10:$BL$156,49,FALSE)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- 11'!$A$10:$BL$156,28,FALSE)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- 11'!$A$10:$BL$156,33,FALSE)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- 11'!$AU$6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- 11'!$A$10:$BL$156,50,FALSE)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- 11'!$A$10:$BL$156,51,FALSE)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- 11'!$A$10:$BL$156,43,FALSE)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- 11'!$AU$5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- 11'!$A$10:$BL$156,44,FALSE)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- 11'!$A$10:$BL$156,32,FALSE)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- 11'!$A$10:$BL$156,47,FALSE)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- 11'!$A$10:$BL$156,43,FALSE)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- 11'!$A$10:$BL$156,44,FALSE)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- 11'!$A$10:$BL$156,42,FALSE)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- 11'!$A$10:$BL$156,41,FALSE)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- 11'!$A$10:$BL$156,42,FALSE)</f>
        <v>0</v>
      </c>
      <c r="D144" s="86" t="str">
        <f>VLOOKUP(CONCATENATE(B141,".3"),'Resultados - 11'!$A$10:$BL$156,7,FALSE)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- 11'!$A$10:$BL$156,42,FALSE)=1,1,VLOOKUP(CONCATENATE(B141,".5"),'Resultados - 11'!$A$10:$BL$156,42,FALSE)-1)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- 11'!$A$10:$BL$156,26,FALSE)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- 11'!$A$10:$BL$156,37,FALSE)</f>
        <v>3.0000000000000001E-5</v>
      </c>
      <c r="D145" s="86" t="str">
        <f ca="1">VLOOKUP(CONCATENATE(B141,".9"),'Resultados - 11'!$A$10:$BL$156,34,FALSE)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- 11'!$A$10:$BL$156,38,FALSE)</f>
        <v>2</v>
      </c>
      <c r="H145" s="86" t="e">
        <f ca="1">(VLOOKUP(CONCATENATE(B141,".20"),'Resultados - 11'!$A$10:$BL$156,29,FALSE)/T157)*T160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- 11'!$A$10:$BL$156,39,FALSE)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- 11'!$A$10:$BL$156,27,FALSE)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- 11'!$A$10:$BL$156,61,FALSE)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- 11'!$A$10:$BL$156,62,FALSE)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- 11'!$A$10:$BL$156,63,FALSE)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- 11'!$AU$7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- 11'!$A$10:$BL$156,36,FALSE)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- 11'!$A$10:$BL$156,41,FALSE)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- 11'!$A$10:$BL$156,49,FALSE)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- 11'!$A$10:$BL$156,28,FALSE)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- 11'!$A$10:$BL$156,33,FALSE)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- 11'!$AU$6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- 11'!$A$10:$BL$156,50,FALSE)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- 11'!$A$10:$BL$156,51,FALSE)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- 11'!$A$10:$BL$156,43,FALSE)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- 11'!$AU$5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- 11'!$A$10:$BL$156,44,FALSE)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- 11'!$A$10:$BL$156,32,FALSE)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- 11'!$A$10:$BL$156,47,FALSE)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- 11'!$A$10:$BL$156,43,FALSE)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- 11'!$A$10:$BL$156,44,FALSE)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- 11'!$A$10:$BL$156,42,FALSE)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7zZsqIf/9mbYm4m/uLFZ+fXkK5XtbIdvqEnTHIUHKAmLa+iLTljkYxMMJSBu2Uhz49BjbEg3Gnnm/hjd8LP//w==" saltValue="aTBln5BK8aNHfN2DMj18R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54474-63FB-4780-AA3F-495DE4FECBD3}">
  <sheetPr codeName="Planilha26"/>
  <dimension ref="A1:AB163"/>
  <sheetViews>
    <sheetView workbookViewId="0">
      <selection activeCell="O33" sqref="O33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- 12'!$A$2</f>
        <v>12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- 12</v>
      </c>
    </row>
    <row r="2" spans="1:28" ht="23.4" thickBot="1" x14ac:dyDescent="0.35">
      <c r="A2" s="490" t="str">
        <f>CONCATENATE("Volume - Resultados - ",P1)</f>
        <v>Volume - Resultados - 12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- 12'!$A$10:$BL$156,41,FALSE)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- 12'!$A$10:$BL$156,42,FALSE)</f>
        <v>0</v>
      </c>
      <c r="D6" s="86" t="str">
        <f>VLOOKUP(CONCATENATE(B3,".3"),'Resultados - 12'!$A$10:$BL$156,7,FALSE)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- 12'!$A$10:$BL$156,42,FALSE)=1,1,VLOOKUP(CONCATENATE(B3,".5"),'Resultados - 12'!$A$10:$BL$156,42,FALSE)-1)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- 12'!$A$10:$BL$156,26,FALSE)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- 12'!$A$10:$BL$156,37,FALSE)</f>
        <v>3.0000000000000001E-5</v>
      </c>
      <c r="D7" s="86" t="str">
        <f ca="1">VLOOKUP(CONCATENATE(B3,".9"),'Resultados - 12'!$A$10:$BL$156,34,FALSE)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- 12'!$A$10:$BL$156,38,FALSE)</f>
        <v>2</v>
      </c>
      <c r="H7" s="86" t="e">
        <f ca="1">(VLOOKUP(CONCATENATE(B3,".20"),'Resultados - 12'!$A$10:$BL$156,29,FALSE)/T19)*T22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- 12'!$A$10:$BL$156,39,FALSE)</f>
        <v>1000000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- 12'!$A$10:$BL$156,27,FALSE)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- 12'!$A$10:$BL$156,61,FALSE)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- 12'!$A$10:$BL$156,62,FALSE)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- 12'!$A$10:$BL$156,63,FALSE)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- 12'!$AU$7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- 12'!$A$10:$BL$156,36,FALSE)</f>
        <v>9.9999999996214228E-6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- 12'!$A$10:$BL$156,41,FALSE)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- 12'!$A$10:$BL$156,49,FALSE)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- 12'!$A$10:$BL$156,28,FALSE)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- 12'!$A$10:$BL$156,33,FALSE)</f>
        <v>9.9999999996214228E-6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- 12'!$AU$6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- 12'!$A$10:$BL$156,50,FALSE)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- 12'!$A$10:$BL$156,51,FALSE)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- 12'!$A$10:$BL$156,43,FALSE)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- 12'!$AU$5</f>
        <v>1.0984011836896383E-3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- 12'!$A$10:$BL$156,44,FALSE)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- 12'!$A$10:$BL$156,32,FALSE)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- 12'!$A$10:$BL$156,47,FALSE)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- 12'!$A$10:$BL$156,43,FALSE)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- 12'!$A$10:$BL$156,44,FALSE)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- 12'!$A$10:$BL$156,42,FALSE)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- 12'!$A$10:$BL$156,41,FALSE)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- 12'!$A$10:$BL$156,42,FALSE)</f>
        <v>0</v>
      </c>
      <c r="D29" s="86" t="str">
        <f>VLOOKUP(CONCATENATE(B26,".3"),'Resultados - 12'!$A$10:$BL$156,7,FALSE)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- 12'!$A$10:$BL$156,42,FALSE)=1,1,VLOOKUP(CONCATENATE(B26,".5"),'Resultados - 12'!$A$10:$BL$156,42,FALSE)-1)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- 12'!$A$10:$BL$156,26,FALSE)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- 12'!$A$10:$BL$156,37,FALSE)</f>
        <v>3.0000000000000001E-5</v>
      </c>
      <c r="D30" s="86" t="str">
        <f ca="1">VLOOKUP(CONCATENATE(B26,".9"),'Resultados - 12'!$A$10:$BL$156,34,FALSE)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- 12'!$A$10:$BL$156,38,FALSE)</f>
        <v>2</v>
      </c>
      <c r="H30" s="86" t="e">
        <f ca="1">(VLOOKUP(CONCATENATE(B26,".20"),'Resultados - 12'!$A$10:$BL$156,29,FALSE)/T42)*T45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- 12'!$A$10:$BL$156,39,FALSE)</f>
        <v>1000000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- 12'!$A$10:$BL$156,27,FALSE)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- 12'!$A$10:$BL$156,61,FALSE)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- 12'!$A$10:$BL$156,62,FALSE)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- 12'!$A$10:$BL$156,63,FALSE)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- 12'!$AU$7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- 12'!$A$10:$BL$156,36,FALSE)</f>
        <v>9.9999999996214228E-6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- 12'!$A$10:$BL$156,41,FALSE)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- 12'!$A$10:$BL$156,49,FALSE)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- 12'!$A$10:$BL$156,28,FALSE)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- 12'!$A$10:$BL$156,33,FALSE)</f>
        <v>9.9999999996214228E-6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- 12'!$AU$6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- 12'!$A$10:$BL$156,50,FALSE)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- 12'!$A$10:$BL$156,51,FALSE)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- 12'!$A$10:$BL$156,43,FALSE)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- 12'!$AU$5</f>
        <v>1.0984011836896383E-3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- 12'!$A$10:$BL$156,44,FALSE)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- 12'!$A$10:$BL$156,32,FALSE)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- 12'!$A$10:$BL$156,47,FALSE)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- 12'!$A$10:$BL$156,43,FALSE)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- 12'!$A$10:$BL$156,44,FALSE)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- 12'!$A$10:$BL$156,42,FALSE)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- 12'!$A$10:$BL$156,41,FALSE)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- 12'!$A$10:$BL$156,42,FALSE)</f>
        <v>0</v>
      </c>
      <c r="D52" s="86" t="str">
        <f>VLOOKUP(CONCATENATE(B49,".3"),'Resultados - 12'!$A$10:$BL$156,7,FALSE)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- 12'!$A$10:$BL$156,42,FALSE)=1,1,VLOOKUP(CONCATENATE(B49,".5"),'Resultados - 12'!$A$10:$BL$156,42,FALSE)-1)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- 12'!$A$10:$BL$156,26,FALSE)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- 12'!$A$10:$BL$156,37,FALSE)</f>
        <v>3.0000000000000001E-5</v>
      </c>
      <c r="D53" s="86" t="str">
        <f ca="1">VLOOKUP(CONCATENATE(B49,".9"),'Resultados - 12'!$A$10:$BL$156,34,FALSE)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- 12'!$A$10:$BL$156,38,FALSE)</f>
        <v>2</v>
      </c>
      <c r="H53" s="86" t="e">
        <f ca="1">(VLOOKUP(CONCATENATE(B49,".20"),'Resultados - 12'!$A$10:$BL$156,29,FALSE)/T65)*T68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- 12'!$A$10:$BL$156,39,FALSE)</f>
        <v>1000000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- 12'!$A$10:$BL$156,27,FALSE)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- 12'!$A$10:$BL$156,61,FALSE)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- 12'!$A$10:$BL$156,62,FALSE)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- 12'!$A$10:$BL$156,63,FALSE)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- 12'!$AU$7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- 12'!$A$10:$BL$156,36,FALSE)</f>
        <v>9.9999999996214228E-6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- 12'!$A$10:$BL$156,41,FALSE)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- 12'!$A$10:$BL$156,49,FALSE)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- 12'!$A$10:$BL$156,28,FALSE)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- 12'!$A$10:$BL$156,33,FALSE)</f>
        <v>9.9999999996214228E-6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- 12'!$AU$6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- 12'!$A$10:$BL$156,50,FALSE)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- 12'!$A$10:$BL$156,51,FALSE)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- 12'!$A$10:$BL$156,43,FALSE)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- 12'!$AU$5</f>
        <v>1.0984011836896383E-3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- 12'!$A$10:$BL$156,44,FALSE)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- 12'!$A$10:$BL$156,32,FALSE)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- 12'!$A$10:$BL$156,47,FALSE)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- 12'!$A$10:$BL$156,43,FALSE)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- 12'!$A$10:$BL$156,44,FALSE)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- 12'!$A$10:$BL$156,42,FALSE)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- 12'!$A$10:$BL$156,41,FALSE)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- 12'!$A$10:$BL$156,42,FALSE)</f>
        <v>0</v>
      </c>
      <c r="D75" s="86" t="str">
        <f>VLOOKUP(CONCATENATE(B72,".3"),'Resultados - 12'!$A$10:$BL$156,7,FALSE)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- 12'!$A$10:$BL$156,42,FALSE)=1,1,VLOOKUP(CONCATENATE(B72,".5"),'Resultados - 12'!$A$10:$BL$156,42,FALSE)-1)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- 12'!$A$10:$BL$156,26,FALSE)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- 12'!$A$10:$BL$156,37,FALSE)</f>
        <v>3.0000000000000001E-5</v>
      </c>
      <c r="D76" s="86" t="str">
        <f ca="1">VLOOKUP(CONCATENATE(B72,".9"),'Resultados - 12'!$A$10:$BL$156,34,FALSE)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- 12'!$A$10:$BL$156,38,FALSE)</f>
        <v>2</v>
      </c>
      <c r="H76" s="86" t="e">
        <f ca="1">(VLOOKUP(CONCATENATE(B72,".20"),'Resultados - 12'!$A$10:$BL$156,29,FALSE)/T88)*T91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- 12'!$A$10:$BL$156,39,FALSE)</f>
        <v>1000000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- 12'!$A$10:$BL$156,27,FALSE)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- 12'!$A$10:$BL$156,61,FALSE)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- 12'!$A$10:$BL$156,62,FALSE)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- 12'!$A$10:$BL$156,63,FALSE)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- 12'!$AU$7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- 12'!$A$10:$BL$156,36,FALSE)</f>
        <v>9.9999999996214228E-6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- 12'!$A$10:$BL$156,41,FALSE)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- 12'!$A$10:$BL$156,49,FALSE)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- 12'!$A$10:$BL$156,28,FALSE)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- 12'!$A$10:$BL$156,33,FALSE)</f>
        <v>9.9999999996214228E-6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- 12'!$AU$6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- 12'!$A$10:$BL$156,50,FALSE)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- 12'!$A$10:$BL$156,51,FALSE)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- 12'!$A$10:$BL$156,43,FALSE)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- 12'!$AU$5</f>
        <v>1.0984011836896383E-3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- 12'!$A$10:$BL$156,44,FALSE)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- 12'!$A$10:$BL$156,32,FALSE)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- 12'!$A$10:$BL$156,47,FALSE)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- 12'!$A$10:$BL$156,43,FALSE)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- 12'!$A$10:$BL$156,44,FALSE)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- 12'!$A$10:$BL$156,42,FALSE)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- 12'!$A$10:$BL$156,41,FALSE)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- 12'!$A$10:$BL$156,42,FALSE)</f>
        <v>0</v>
      </c>
      <c r="D98" s="86" t="str">
        <f>VLOOKUP(CONCATENATE(B95,".3"),'Resultados - 12'!$A$10:$BL$156,7,FALSE)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- 12'!$A$10:$BL$156,42,FALSE)=1,1,VLOOKUP(CONCATENATE(B95,".5"),'Resultados - 12'!$A$10:$BL$156,42,FALSE)-1)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- 12'!$A$10:$BL$156,26,FALSE)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- 12'!$A$10:$BL$156,37,FALSE)</f>
        <v>3.0000000000000001E-5</v>
      </c>
      <c r="D99" s="86" t="str">
        <f ca="1">VLOOKUP(CONCATENATE(B95,".9"),'Resultados - 12'!$A$10:$BL$156,34,FALSE)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- 12'!$A$10:$BL$156,38,FALSE)</f>
        <v>2</v>
      </c>
      <c r="H99" s="86" t="e">
        <f ca="1">(VLOOKUP(CONCATENATE(B95,".20"),'Resultados - 12'!$A$10:$BL$156,29,FALSE)/T111)*T114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- 12'!$A$10:$BL$156,39,FALSE)</f>
        <v>1000000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- 12'!$A$10:$BL$156,27,FALSE)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- 12'!$A$10:$BL$156,61,FALSE)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- 12'!$A$10:$BL$156,62,FALSE)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- 12'!$A$10:$BL$156,63,FALSE)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- 12'!$AU$7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- 12'!$A$10:$BL$156,36,FALSE)</f>
        <v>9.9999999996214228E-6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- 12'!$A$10:$BL$156,41,FALSE)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- 12'!$A$10:$BL$156,49,FALSE)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- 12'!$A$10:$BL$156,28,FALSE)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- 12'!$A$10:$BL$156,33,FALSE)</f>
        <v>9.9999999996214228E-6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- 12'!$AU$6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- 12'!$A$10:$BL$156,50,FALSE)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- 12'!$A$10:$BL$156,51,FALSE)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- 12'!$A$10:$BL$156,43,FALSE)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- 12'!$AU$5</f>
        <v>1.0984011836896383E-3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- 12'!$A$10:$BL$156,44,FALSE)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- 12'!$A$10:$BL$156,32,FALSE)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- 12'!$A$10:$BL$156,47,FALSE)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- 12'!$A$10:$BL$156,43,FALSE)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- 12'!$A$10:$BL$156,44,FALSE)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- 12'!$A$10:$BL$156,42,FALSE)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- 12'!$A$10:$BL$156,41,FALSE)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- 12'!$A$10:$BL$156,42,FALSE)</f>
        <v>0</v>
      </c>
      <c r="D121" s="86" t="str">
        <f>VLOOKUP(CONCATENATE(B118,".3"),'Resultados - 12'!$A$10:$BL$156,7,FALSE)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- 12'!$A$10:$BL$156,42,FALSE)=1,1,VLOOKUP(CONCATENATE(B118,".5"),'Resultados - 12'!$A$10:$BL$156,42,FALSE)-1)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- 12'!$A$10:$BL$156,26,FALSE)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- 12'!$A$10:$BL$156,37,FALSE)</f>
        <v>3.0000000000000001E-5</v>
      </c>
      <c r="D122" s="86" t="str">
        <f ca="1">VLOOKUP(CONCATENATE(B118,".9"),'Resultados - 12'!$A$10:$BL$156,34,FALSE)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- 12'!$A$10:$BL$156,38,FALSE)</f>
        <v>2</v>
      </c>
      <c r="H122" s="86" t="e">
        <f ca="1">(VLOOKUP(CONCATENATE(B118,".20"),'Resultados - 12'!$A$10:$BL$156,29,FALSE)/T134)*T137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- 12'!$A$10:$BL$156,39,FALSE)</f>
        <v>1000000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- 12'!$A$10:$BL$156,27,FALSE)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- 12'!$A$10:$BL$156,61,FALSE)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- 12'!$A$10:$BL$156,62,FALSE)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- 12'!$A$10:$BL$156,63,FALSE)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- 12'!$AU$7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- 12'!$A$10:$BL$156,36,FALSE)</f>
        <v>9.9999999996214228E-6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- 12'!$A$10:$BL$156,41,FALSE)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- 12'!$A$10:$BL$156,49,FALSE)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- 12'!$A$10:$BL$156,28,FALSE)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- 12'!$A$10:$BL$156,33,FALSE)</f>
        <v>9.9999999996214228E-6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- 12'!$AU$6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- 12'!$A$10:$BL$156,50,FALSE)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- 12'!$A$10:$BL$156,51,FALSE)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- 12'!$A$10:$BL$156,43,FALSE)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- 12'!$AU$5</f>
        <v>1.0984011836896383E-3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- 12'!$A$10:$BL$156,44,FALSE)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- 12'!$A$10:$BL$156,32,FALSE)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- 12'!$A$10:$BL$156,47,FALSE)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- 12'!$A$10:$BL$156,43,FALSE)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- 12'!$A$10:$BL$156,44,FALSE)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- 12'!$A$10:$BL$156,42,FALSE)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- 12'!$A$10:$BL$156,41,FALSE)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- 12'!$A$10:$BL$156,42,FALSE)</f>
        <v>0</v>
      </c>
      <c r="D144" s="86" t="str">
        <f>VLOOKUP(CONCATENATE(B141,".3"),'Resultados - 12'!$A$10:$BL$156,7,FALSE)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- 12'!$A$10:$BL$156,42,FALSE)=1,1,VLOOKUP(CONCATENATE(B141,".5"),'Resultados - 12'!$A$10:$BL$156,42,FALSE)-1)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- 12'!$A$10:$BL$156,26,FALSE)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- 12'!$A$10:$BL$156,37,FALSE)</f>
        <v>3.0000000000000001E-5</v>
      </c>
      <c r="D145" s="86" t="str">
        <f ca="1">VLOOKUP(CONCATENATE(B141,".9"),'Resultados - 12'!$A$10:$BL$156,34,FALSE)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- 12'!$A$10:$BL$156,38,FALSE)</f>
        <v>2</v>
      </c>
      <c r="H145" s="86" t="e">
        <f ca="1">(VLOOKUP(CONCATENATE(B141,".20"),'Resultados - 12'!$A$10:$BL$156,29,FALSE)/T157)*T160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- 12'!$A$10:$BL$156,39,FALSE)</f>
        <v>1000000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- 12'!$A$10:$BL$156,27,FALSE)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- 12'!$A$10:$BL$156,61,FALSE)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- 12'!$A$10:$BL$156,62,FALSE)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- 12'!$A$10:$BL$156,63,FALSE)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- 12'!$AU$7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- 12'!$A$10:$BL$156,36,FALSE)</f>
        <v>9.9999999996214228E-6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- 12'!$A$10:$BL$156,41,FALSE)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- 12'!$A$10:$BL$156,49,FALSE)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- 12'!$A$10:$BL$156,28,FALSE)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- 12'!$A$10:$BL$156,33,FALSE)</f>
        <v>9.9999999996214228E-6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- 12'!$AU$6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- 12'!$A$10:$BL$156,50,FALSE)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- 12'!$A$10:$BL$156,51,FALSE)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- 12'!$A$10:$BL$156,43,FALSE)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- 12'!$AU$5</f>
        <v>1.0984011836896383E-3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- 12'!$A$10:$BL$156,44,FALSE)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- 12'!$A$10:$BL$156,32,FALSE)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- 12'!$A$10:$BL$156,47,FALSE)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- 12'!$A$10:$BL$156,43,FALSE)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- 12'!$A$10:$BL$156,44,FALSE)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- 12'!$A$10:$BL$156,42,FALSE)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V7CTv3sps4A2A2I8PRpweDOBC0UhknkBpqJGbQ5kowCArkhNf2ZhEpJMIfBVFClkVoPPtkpTj03oTAxIOGxm5Q==" saltValue="UOw2bfgk0jEIdlzTRLEUJ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6CC7-3FD1-47CC-9025-C15141BB1F59}">
  <sheetPr codeName="Planilha5"/>
  <dimension ref="A1:W25"/>
  <sheetViews>
    <sheetView workbookViewId="0">
      <selection activeCell="J9" sqref="J9"/>
    </sheetView>
  </sheetViews>
  <sheetFormatPr defaultColWidth="9.109375" defaultRowHeight="14.4" x14ac:dyDescent="0.3"/>
  <cols>
    <col min="1" max="1" width="9.109375" style="7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3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70"/>
      <c r="Q1" s="70"/>
      <c r="R1" s="70"/>
      <c r="S1" s="70"/>
      <c r="T1" s="70"/>
      <c r="U1" s="70"/>
      <c r="V1" s="70"/>
      <c r="W1" s="70"/>
    </row>
    <row r="2" spans="1:23" ht="23.4" thickBot="1" x14ac:dyDescent="0.35">
      <c r="A2" s="490" t="s">
        <v>298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3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 t="s">
        <v>300</v>
      </c>
      <c r="I3" s="76">
        <f>Dados!F36</f>
        <v>19.670000000000002</v>
      </c>
      <c r="J3" s="76"/>
      <c r="K3" s="76" t="s">
        <v>301</v>
      </c>
      <c r="L3" s="76">
        <f>Dados!N36</f>
        <v>57.13</v>
      </c>
      <c r="M3" s="76" t="s">
        <v>302</v>
      </c>
      <c r="N3" s="77">
        <f>Dados!V36</f>
        <v>927.81</v>
      </c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3" ht="23.4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v>0</v>
      </c>
      <c r="R4" s="87"/>
      <c r="S4" s="86">
        <v>1</v>
      </c>
      <c r="T4" s="86" t="s">
        <v>313</v>
      </c>
      <c r="U4" s="86">
        <v>2</v>
      </c>
      <c r="V4" s="86" t="s">
        <v>314</v>
      </c>
      <c r="W4" s="88">
        <v>1</v>
      </c>
    </row>
    <row r="5" spans="1:23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>IF(Q9&lt;1-INT(LOG10(Q4))-1,TRUNC(Q4,1-INT(LOG10(Q4))-1),TRUNC(Q4, Q9))</f>
        <v>#NUM!</v>
      </c>
      <c r="R5" s="87"/>
      <c r="S5" s="87"/>
      <c r="T5" s="87"/>
      <c r="U5" s="87"/>
      <c r="V5" s="87"/>
      <c r="W5" s="92"/>
    </row>
    <row r="6" spans="1:23" x14ac:dyDescent="0.3">
      <c r="A6" s="93" t="s">
        <v>321</v>
      </c>
      <c r="B6" s="86" t="s">
        <v>322</v>
      </c>
      <c r="C6" s="94">
        <f ca="1">Dados!V40</f>
        <v>0.2</v>
      </c>
      <c r="D6" s="86" t="s">
        <v>128</v>
      </c>
      <c r="E6" s="86" t="s">
        <v>323</v>
      </c>
      <c r="F6" s="86" t="s">
        <v>324</v>
      </c>
      <c r="G6" s="86">
        <v>2</v>
      </c>
      <c r="H6" s="86">
        <f>0.348444/(273.15+I3)</f>
        <v>1.1899597022061335E-3</v>
      </c>
      <c r="I6" s="86" t="str">
        <f>D6</f>
        <v>hPa</v>
      </c>
      <c r="J6" s="94" t="s">
        <v>325</v>
      </c>
      <c r="K6" s="86" t="s">
        <v>326</v>
      </c>
      <c r="L6" s="95">
        <f ca="1">ABS(C6/G6*H6)</f>
        <v>1.1899597022061336E-4</v>
      </c>
      <c r="M6" s="86" t="s">
        <v>327</v>
      </c>
      <c r="N6" s="96">
        <f ca="1">ABS(L6/$L$24%)</f>
        <v>8.0819634895935053</v>
      </c>
      <c r="O6" s="97"/>
      <c r="P6" s="86" t="s">
        <v>328</v>
      </c>
      <c r="Q6" s="86" t="e">
        <f>Q4-Q5</f>
        <v>#NUM!</v>
      </c>
      <c r="R6" s="87"/>
      <c r="S6" s="87"/>
      <c r="T6" s="87"/>
      <c r="U6" s="87"/>
      <c r="V6" s="87"/>
      <c r="W6" s="92"/>
    </row>
    <row r="7" spans="1:23" x14ac:dyDescent="0.3">
      <c r="A7" s="93" t="s">
        <v>329</v>
      </c>
      <c r="B7" s="86" t="s">
        <v>330</v>
      </c>
      <c r="C7" s="94">
        <f ca="1">Dados!V38</f>
        <v>0.1</v>
      </c>
      <c r="D7" s="86" t="s">
        <v>128</v>
      </c>
      <c r="E7" s="86" t="s">
        <v>323</v>
      </c>
      <c r="F7" s="86" t="s">
        <v>331</v>
      </c>
      <c r="G7" s="86">
        <f>SQRT(3)</f>
        <v>1.7320508075688772</v>
      </c>
      <c r="H7" s="86">
        <f>H6</f>
        <v>1.1899597022061335E-3</v>
      </c>
      <c r="I7" s="86" t="str">
        <f>D7</f>
        <v>hPa</v>
      </c>
      <c r="J7" s="94" t="s">
        <v>325</v>
      </c>
      <c r="K7" s="86" t="s">
        <v>326</v>
      </c>
      <c r="L7" s="95">
        <f t="shared" ref="L7:L20" ca="1" si="0">ABS(C7/G7*H7)</f>
        <v>6.8702355439351814E-5</v>
      </c>
      <c r="M7" s="86" t="s">
        <v>327</v>
      </c>
      <c r="N7" s="96">
        <f t="shared" ref="N7:N20" ca="1" si="1">ABS(L7/$L$24%)</f>
        <v>4.6661237962975379</v>
      </c>
      <c r="O7" s="97"/>
      <c r="P7" s="86" t="s">
        <v>332</v>
      </c>
      <c r="Q7" s="86" t="e">
        <f>ABS(Q6/ Q5) * 100</f>
        <v>#NUM!</v>
      </c>
      <c r="R7" s="87"/>
      <c r="S7" s="87"/>
      <c r="T7" s="87"/>
      <c r="U7" s="87"/>
      <c r="V7" s="87"/>
      <c r="W7" s="92"/>
    </row>
    <row r="8" spans="1:23" x14ac:dyDescent="0.3">
      <c r="A8" s="93" t="s">
        <v>333</v>
      </c>
      <c r="B8" s="86" t="s">
        <v>334</v>
      </c>
      <c r="C8" s="94">
        <f ca="1">Dados!V41</f>
        <v>0.20000000000004547</v>
      </c>
      <c r="D8" s="86" t="s">
        <v>128</v>
      </c>
      <c r="E8" s="86" t="s">
        <v>323</v>
      </c>
      <c r="F8" s="86" t="s">
        <v>331</v>
      </c>
      <c r="G8" s="86">
        <f t="shared" ref="G8:G9" si="2">SQRT(3)</f>
        <v>1.7320508075688772</v>
      </c>
      <c r="H8" s="86">
        <f>H7</f>
        <v>1.1899597022061335E-3</v>
      </c>
      <c r="I8" s="86" t="str">
        <f t="shared" ref="I8:I19" si="3">D8</f>
        <v>hPa</v>
      </c>
      <c r="J8" s="94" t="s">
        <v>325</v>
      </c>
      <c r="K8" s="86" t="s">
        <v>326</v>
      </c>
      <c r="L8" s="95">
        <f t="shared" ca="1" si="0"/>
        <v>1.3740471087873488E-4</v>
      </c>
      <c r="M8" s="86" t="s">
        <v>327</v>
      </c>
      <c r="N8" s="96">
        <f t="shared" ca="1" si="1"/>
        <v>9.3322475925971986</v>
      </c>
      <c r="O8" s="85"/>
      <c r="P8" s="86" t="s">
        <v>335</v>
      </c>
      <c r="Q8" s="86">
        <f>IF(Q4=0,0,IF(Q7&lt;=5,ROUND(Q4,Q9),ROUNDUP(Q4,Q9)))</f>
        <v>0</v>
      </c>
      <c r="R8" s="87"/>
      <c r="S8" s="87"/>
      <c r="T8" s="87"/>
      <c r="U8" s="87"/>
      <c r="V8" s="87"/>
      <c r="W8" s="92"/>
    </row>
    <row r="9" spans="1:23" x14ac:dyDescent="0.3">
      <c r="A9" s="93" t="s">
        <v>336</v>
      </c>
      <c r="B9" s="86" t="s">
        <v>337</v>
      </c>
      <c r="C9" s="94">
        <f ca="1">Dados!V39</f>
        <v>0.5</v>
      </c>
      <c r="D9" s="86" t="s">
        <v>128</v>
      </c>
      <c r="E9" s="86" t="s">
        <v>323</v>
      </c>
      <c r="F9" s="86" t="s">
        <v>331</v>
      </c>
      <c r="G9" s="86">
        <f t="shared" si="2"/>
        <v>1.7320508075688772</v>
      </c>
      <c r="H9" s="86">
        <f>H8</f>
        <v>1.1899597022061335E-3</v>
      </c>
      <c r="I9" s="86" t="str">
        <f t="shared" si="3"/>
        <v>hPa</v>
      </c>
      <c r="J9" s="94" t="s">
        <v>325</v>
      </c>
      <c r="K9" s="86" t="s">
        <v>326</v>
      </c>
      <c r="L9" s="95">
        <f t="shared" ca="1" si="0"/>
        <v>3.4351177719675911E-4</v>
      </c>
      <c r="M9" s="86" t="s">
        <v>327</v>
      </c>
      <c r="N9" s="96">
        <f t="shared" ca="1" si="1"/>
        <v>23.330618981487692</v>
      </c>
      <c r="O9" s="97"/>
      <c r="P9" s="86" t="s">
        <v>338</v>
      </c>
      <c r="Q9" s="86">
        <v>10</v>
      </c>
      <c r="R9" s="87"/>
      <c r="S9" s="87"/>
      <c r="T9" s="87"/>
      <c r="U9" s="87"/>
      <c r="V9" s="87"/>
      <c r="W9" s="92"/>
    </row>
    <row r="10" spans="1:23" x14ac:dyDescent="0.3">
      <c r="A10" s="93" t="s">
        <v>339</v>
      </c>
      <c r="B10" s="86" t="s">
        <v>340</v>
      </c>
      <c r="C10" s="94">
        <f ca="1">Dados!F40</f>
        <v>0.1</v>
      </c>
      <c r="D10" s="86" t="s">
        <v>126</v>
      </c>
      <c r="E10" s="86" t="s">
        <v>323</v>
      </c>
      <c r="F10" s="86" t="s">
        <v>324</v>
      </c>
      <c r="G10" s="86">
        <v>2</v>
      </c>
      <c r="H10" s="86">
        <f>-(0.348444*N3+0.020582*L3+0.00252*273.15*L3)/(273.15+I3)^2</f>
        <v>-4.2427729789278005E-3</v>
      </c>
      <c r="I10" s="86" t="str">
        <f t="shared" si="3"/>
        <v>°C</v>
      </c>
      <c r="J10" s="94" t="s">
        <v>325</v>
      </c>
      <c r="K10" s="86" t="s">
        <v>326</v>
      </c>
      <c r="L10" s="95">
        <f t="shared" ca="1" si="0"/>
        <v>2.1213864894639004E-4</v>
      </c>
      <c r="M10" s="86" t="s">
        <v>327</v>
      </c>
      <c r="N10" s="96">
        <f t="shared" ca="1" si="1"/>
        <v>14.408024173741476</v>
      </c>
      <c r="O10" s="97"/>
      <c r="P10" s="86" t="s">
        <v>341</v>
      </c>
      <c r="Q10" s="86">
        <f ca="1">IF(Q9&lt;1-INT(LOG10(L22))-1,TRUNC(L22,1-INT(LOG10(L22))-1),TRUNC(L22, Q9))</f>
        <v>1.13933E-5</v>
      </c>
      <c r="R10" s="87"/>
      <c r="S10" s="87"/>
      <c r="T10" s="87"/>
      <c r="U10" s="87"/>
      <c r="V10" s="87"/>
      <c r="W10" s="92"/>
    </row>
    <row r="11" spans="1:23" x14ac:dyDescent="0.3">
      <c r="A11" s="98" t="s">
        <v>342</v>
      </c>
      <c r="B11" s="99" t="s">
        <v>343</v>
      </c>
      <c r="C11" s="94">
        <f ca="1">Dados!F38</f>
        <v>0.1</v>
      </c>
      <c r="D11" s="86" t="s">
        <v>126</v>
      </c>
      <c r="E11" s="99" t="s">
        <v>323</v>
      </c>
      <c r="F11" s="99" t="s">
        <v>331</v>
      </c>
      <c r="G11" s="86">
        <f>SQRT(3)</f>
        <v>1.7320508075688772</v>
      </c>
      <c r="H11" s="99">
        <f>H10</f>
        <v>-4.2427729789278005E-3</v>
      </c>
      <c r="I11" s="86" t="str">
        <f t="shared" si="3"/>
        <v>°C</v>
      </c>
      <c r="J11" s="94" t="s">
        <v>325</v>
      </c>
      <c r="K11" s="86" t="s">
        <v>326</v>
      </c>
      <c r="L11" s="95">
        <f t="shared" ca="1" si="0"/>
        <v>2.4495661214944361E-4</v>
      </c>
      <c r="M11" s="86" t="s">
        <v>327</v>
      </c>
      <c r="N11" s="96">
        <f t="shared" ca="1" si="1"/>
        <v>16.636953270400554</v>
      </c>
      <c r="O11" s="97"/>
      <c r="P11" s="86" t="s">
        <v>328</v>
      </c>
      <c r="Q11" s="86">
        <f ca="1">L22-Q10</f>
        <v>1.2139661830981715E-11</v>
      </c>
      <c r="R11" s="87"/>
      <c r="S11" s="87"/>
      <c r="T11" s="87"/>
      <c r="U11" s="87"/>
      <c r="V11" s="87"/>
      <c r="W11" s="92"/>
    </row>
    <row r="12" spans="1:23" x14ac:dyDescent="0.3">
      <c r="A12" s="98" t="s">
        <v>344</v>
      </c>
      <c r="B12" s="99" t="s">
        <v>345</v>
      </c>
      <c r="C12" s="94">
        <f ca="1">Dados!F41</f>
        <v>0</v>
      </c>
      <c r="D12" s="86" t="s">
        <v>126</v>
      </c>
      <c r="E12" s="99" t="s">
        <v>323</v>
      </c>
      <c r="F12" s="99" t="s">
        <v>331</v>
      </c>
      <c r="G12" s="86">
        <f t="shared" ref="G12:G13" si="4">SQRT(3)</f>
        <v>1.7320508075688772</v>
      </c>
      <c r="H12" s="99">
        <f>H11</f>
        <v>-4.2427729789278005E-3</v>
      </c>
      <c r="I12" s="86" t="str">
        <f t="shared" si="3"/>
        <v>°C</v>
      </c>
      <c r="J12" s="94" t="s">
        <v>325</v>
      </c>
      <c r="K12" s="86" t="s">
        <v>326</v>
      </c>
      <c r="L12" s="95">
        <f t="shared" ca="1" si="0"/>
        <v>0</v>
      </c>
      <c r="M12" s="86" t="s">
        <v>327</v>
      </c>
      <c r="N12" s="96">
        <f t="shared" ca="1" si="1"/>
        <v>0</v>
      </c>
      <c r="O12" s="100"/>
      <c r="P12" s="86" t="s">
        <v>332</v>
      </c>
      <c r="Q12" s="86">
        <f ca="1">ABS(Q11/ Q10) * 100</f>
        <v>1.0655088368586552E-4</v>
      </c>
      <c r="R12" s="87"/>
      <c r="S12" s="87"/>
      <c r="T12" s="87"/>
      <c r="U12" s="87"/>
      <c r="V12" s="87"/>
      <c r="W12" s="92"/>
    </row>
    <row r="13" spans="1:23" x14ac:dyDescent="0.3">
      <c r="A13" s="98" t="s">
        <v>346</v>
      </c>
      <c r="B13" s="99" t="s">
        <v>347</v>
      </c>
      <c r="C13" s="94">
        <f ca="1">Dados!F39</f>
        <v>0.10000000000000142</v>
      </c>
      <c r="D13" s="86" t="s">
        <v>126</v>
      </c>
      <c r="E13" s="99" t="s">
        <v>323</v>
      </c>
      <c r="F13" s="99" t="s">
        <v>331</v>
      </c>
      <c r="G13" s="86">
        <f t="shared" si="4"/>
        <v>1.7320508075688772</v>
      </c>
      <c r="H13" s="99">
        <f>H12</f>
        <v>-4.2427729789278005E-3</v>
      </c>
      <c r="I13" s="86" t="str">
        <f t="shared" si="3"/>
        <v>°C</v>
      </c>
      <c r="J13" s="94" t="s">
        <v>325</v>
      </c>
      <c r="K13" s="86" t="s">
        <v>326</v>
      </c>
      <c r="L13" s="95">
        <f t="shared" ca="1" si="0"/>
        <v>2.4495661214944708E-4</v>
      </c>
      <c r="M13" s="86" t="s">
        <v>327</v>
      </c>
      <c r="N13" s="96">
        <f t="shared" ca="1" si="1"/>
        <v>16.636953270400788</v>
      </c>
      <c r="O13" s="97"/>
      <c r="P13" s="86" t="s">
        <v>348</v>
      </c>
      <c r="Q13" s="86" t="str">
        <f ca="1">IF((IF(Q12&lt;= 5,ROUND(L22,Q9),ROUNDUP(L22,Q9)))&lt;Q8,FIXED(Q8,Q9),FIXED(IF(Q12 &lt;= 5,ROUND(L22,Q9),ROUNDUP(L22,Q9)),Q9))</f>
        <v>0,0000113933</v>
      </c>
      <c r="R13" s="87"/>
      <c r="S13" s="87"/>
      <c r="T13" s="87"/>
      <c r="U13" s="87"/>
      <c r="V13" s="87"/>
      <c r="W13" s="92"/>
    </row>
    <row r="14" spans="1:23" x14ac:dyDescent="0.3">
      <c r="A14" s="93" t="s">
        <v>349</v>
      </c>
      <c r="B14" s="86" t="s">
        <v>350</v>
      </c>
      <c r="C14" s="94">
        <f ca="1">Dados!N40</f>
        <v>0.9</v>
      </c>
      <c r="D14" s="86" t="s">
        <v>127</v>
      </c>
      <c r="E14" s="86" t="s">
        <v>323</v>
      </c>
      <c r="F14" s="86" t="s">
        <v>324</v>
      </c>
      <c r="G14" s="94">
        <v>2</v>
      </c>
      <c r="H14" s="94">
        <f>(0.020582-0.00252*I3)/(273.15+I3)</f>
        <v>-9.8990506112970448E-5</v>
      </c>
      <c r="I14" s="86" t="str">
        <f t="shared" si="3"/>
        <v>%UR</v>
      </c>
      <c r="J14" s="94" t="s">
        <v>325</v>
      </c>
      <c r="K14" s="86" t="s">
        <v>326</v>
      </c>
      <c r="L14" s="95">
        <f t="shared" ca="1" si="0"/>
        <v>4.4545727750836699E-5</v>
      </c>
      <c r="M14" s="86" t="s">
        <v>327</v>
      </c>
      <c r="N14" s="96">
        <f t="shared" ca="1" si="1"/>
        <v>3.0254549345845803</v>
      </c>
      <c r="O14" s="97"/>
      <c r="P14" s="86" t="s">
        <v>351</v>
      </c>
      <c r="Q14" s="86" t="str">
        <f ca="1">ArredSig(Q13,2)</f>
        <v>0,000011</v>
      </c>
      <c r="R14" s="87"/>
      <c r="S14" s="87"/>
      <c r="T14" s="87"/>
      <c r="U14" s="87"/>
      <c r="V14" s="87"/>
      <c r="W14" s="92"/>
    </row>
    <row r="15" spans="1:23" x14ac:dyDescent="0.3">
      <c r="A15" s="93" t="s">
        <v>352</v>
      </c>
      <c r="B15" s="86" t="s">
        <v>353</v>
      </c>
      <c r="C15" s="94">
        <f ca="1">Dados!N38</f>
        <v>0.1</v>
      </c>
      <c r="D15" s="86" t="s">
        <v>127</v>
      </c>
      <c r="E15" s="86" t="s">
        <v>323</v>
      </c>
      <c r="F15" s="86" t="s">
        <v>331</v>
      </c>
      <c r="G15" s="86">
        <f>SQRT(3)</f>
        <v>1.7320508075688772</v>
      </c>
      <c r="H15" s="94">
        <f>H14</f>
        <v>-9.8990506112970448E-5</v>
      </c>
      <c r="I15" s="86" t="str">
        <f t="shared" si="3"/>
        <v>%UR</v>
      </c>
      <c r="J15" s="94" t="s">
        <v>325</v>
      </c>
      <c r="K15" s="86" t="s">
        <v>326</v>
      </c>
      <c r="L15" s="95">
        <f t="shared" ca="1" si="0"/>
        <v>5.7152195351540789E-6</v>
      </c>
      <c r="M15" s="86" t="s">
        <v>327</v>
      </c>
      <c r="N15" s="96">
        <f t="shared" ca="1" si="1"/>
        <v>0.38816604908966423</v>
      </c>
      <c r="O15" s="85"/>
      <c r="P15" s="86" t="s">
        <v>354</v>
      </c>
      <c r="Q15" s="86" t="str">
        <f ca="1">IF((OR(Q18=2,Q18&gt;2)),Q14,Q13)</f>
        <v>0,000011</v>
      </c>
      <c r="R15" s="87"/>
      <c r="S15" s="87"/>
      <c r="T15" s="87"/>
      <c r="U15" s="87"/>
      <c r="V15" s="87"/>
      <c r="W15" s="92"/>
    </row>
    <row r="16" spans="1:23" x14ac:dyDescent="0.3">
      <c r="A16" s="93" t="s">
        <v>355</v>
      </c>
      <c r="B16" s="86" t="s">
        <v>356</v>
      </c>
      <c r="C16" s="94">
        <f ca="1">Dados!N41</f>
        <v>0.70000000000000284</v>
      </c>
      <c r="D16" s="86" t="s">
        <v>127</v>
      </c>
      <c r="E16" s="86" t="s">
        <v>323</v>
      </c>
      <c r="F16" s="86" t="s">
        <v>331</v>
      </c>
      <c r="G16" s="86">
        <f t="shared" ref="G16:G17" si="5">SQRT(3)</f>
        <v>1.7320508075688772</v>
      </c>
      <c r="H16" s="94">
        <f>H15</f>
        <v>-9.8990506112970448E-5</v>
      </c>
      <c r="I16" s="86" t="str">
        <f t="shared" si="3"/>
        <v>%UR</v>
      </c>
      <c r="J16" s="94" t="s">
        <v>325</v>
      </c>
      <c r="K16" s="86" t="s">
        <v>326</v>
      </c>
      <c r="L16" s="95">
        <f t="shared" ca="1" si="0"/>
        <v>4.0006536746078718E-5</v>
      </c>
      <c r="M16" s="86" t="s">
        <v>327</v>
      </c>
      <c r="N16" s="96">
        <f t="shared" ca="1" si="1"/>
        <v>2.7171623436276611</v>
      </c>
      <c r="O16" s="85"/>
      <c r="P16" s="86" t="s">
        <v>357</v>
      </c>
      <c r="Q16" s="86">
        <f ca="1">1-INT(LOG10(Q14))-1</f>
        <v>5</v>
      </c>
      <c r="R16" s="87"/>
      <c r="S16" s="87"/>
      <c r="T16" s="87"/>
      <c r="U16" s="87"/>
      <c r="V16" s="87"/>
      <c r="W16" s="92"/>
    </row>
    <row r="17" spans="1:23" x14ac:dyDescent="0.3">
      <c r="A17" s="93" t="s">
        <v>358</v>
      </c>
      <c r="B17" s="86" t="s">
        <v>359</v>
      </c>
      <c r="C17" s="86">
        <f ca="1">Dados!N39</f>
        <v>0.20000000000000284</v>
      </c>
      <c r="D17" s="86" t="s">
        <v>127</v>
      </c>
      <c r="E17" s="86" t="s">
        <v>323</v>
      </c>
      <c r="F17" s="86" t="s">
        <v>331</v>
      </c>
      <c r="G17" s="86">
        <f t="shared" si="5"/>
        <v>1.7320508075688772</v>
      </c>
      <c r="H17" s="94">
        <f>H16</f>
        <v>-9.8990506112970448E-5</v>
      </c>
      <c r="I17" s="86" t="str">
        <f t="shared" si="3"/>
        <v>%UR</v>
      </c>
      <c r="J17" s="94" t="s">
        <v>325</v>
      </c>
      <c r="K17" s="86" t="s">
        <v>326</v>
      </c>
      <c r="L17" s="95">
        <f t="shared" ca="1" si="0"/>
        <v>1.143043907030832E-5</v>
      </c>
      <c r="M17" s="86" t="s">
        <v>327</v>
      </c>
      <c r="N17" s="96">
        <f t="shared" ca="1" si="1"/>
        <v>0.77633209817933957</v>
      </c>
      <c r="O17" s="85"/>
      <c r="P17" s="86" t="s">
        <v>360</v>
      </c>
      <c r="Q17" s="86">
        <f ca="1">IF(LEN(Q13)=1,0,LEN(Q13)-2)</f>
        <v>10</v>
      </c>
      <c r="R17" s="87"/>
      <c r="S17" s="87"/>
      <c r="T17" s="87"/>
      <c r="U17" s="87"/>
      <c r="V17" s="87"/>
      <c r="W17" s="92"/>
    </row>
    <row r="18" spans="1:23" x14ac:dyDescent="0.3">
      <c r="A18" s="98" t="s">
        <v>361</v>
      </c>
      <c r="B18" s="99" t="s">
        <v>362</v>
      </c>
      <c r="C18" s="94">
        <f>Dados!V37</f>
        <v>0</v>
      </c>
      <c r="D18" s="86" t="s">
        <v>128</v>
      </c>
      <c r="E18" s="99" t="s">
        <v>363</v>
      </c>
      <c r="F18" s="99" t="s">
        <v>324</v>
      </c>
      <c r="G18" s="99">
        <v>1</v>
      </c>
      <c r="H18" s="99">
        <f>H6</f>
        <v>1.1899597022061335E-3</v>
      </c>
      <c r="I18" s="86" t="str">
        <f t="shared" si="3"/>
        <v>hPa</v>
      </c>
      <c r="J18" s="94" t="s">
        <v>325</v>
      </c>
      <c r="K18" s="86" t="s">
        <v>326</v>
      </c>
      <c r="L18" s="95">
        <f t="shared" si="0"/>
        <v>0</v>
      </c>
      <c r="M18" s="99">
        <v>1</v>
      </c>
      <c r="N18" s="96">
        <f t="shared" ca="1" si="1"/>
        <v>0</v>
      </c>
      <c r="O18" s="85"/>
      <c r="P18" s="86" t="s">
        <v>364</v>
      </c>
      <c r="Q18" s="86">
        <f ca="1">Q17-Q16</f>
        <v>5</v>
      </c>
      <c r="R18" s="87"/>
      <c r="S18" s="87"/>
      <c r="T18" s="87"/>
      <c r="U18" s="87"/>
      <c r="V18" s="87"/>
      <c r="W18" s="92"/>
    </row>
    <row r="19" spans="1:23" x14ac:dyDescent="0.3">
      <c r="A19" s="98" t="s">
        <v>365</v>
      </c>
      <c r="B19" s="99" t="s">
        <v>366</v>
      </c>
      <c r="C19" s="94">
        <f>Dados!F37</f>
        <v>0</v>
      </c>
      <c r="D19" s="86" t="s">
        <v>126</v>
      </c>
      <c r="E19" s="99" t="s">
        <v>363</v>
      </c>
      <c r="F19" s="99" t="s">
        <v>324</v>
      </c>
      <c r="G19" s="99">
        <v>1</v>
      </c>
      <c r="H19" s="99">
        <f>H10</f>
        <v>-4.2427729789278005E-3</v>
      </c>
      <c r="I19" s="86" t="str">
        <f t="shared" si="3"/>
        <v>°C</v>
      </c>
      <c r="J19" s="94" t="s">
        <v>325</v>
      </c>
      <c r="K19" s="86" t="s">
        <v>326</v>
      </c>
      <c r="L19" s="95">
        <f t="shared" si="0"/>
        <v>0</v>
      </c>
      <c r="M19" s="99">
        <v>1</v>
      </c>
      <c r="N19" s="96">
        <f t="shared" ca="1" si="1"/>
        <v>0</v>
      </c>
      <c r="O19" s="85"/>
      <c r="P19" s="86" t="s">
        <v>367</v>
      </c>
      <c r="Q19" s="86">
        <f ca="1">IF(Q16=Q17,Q17,Q16+1)</f>
        <v>6</v>
      </c>
      <c r="R19" s="87"/>
      <c r="S19" s="87"/>
      <c r="T19" s="87"/>
      <c r="U19" s="87"/>
      <c r="V19" s="87"/>
      <c r="W19" s="92"/>
    </row>
    <row r="20" spans="1:23" ht="15" thickBot="1" x14ac:dyDescent="0.35">
      <c r="A20" s="93" t="s">
        <v>368</v>
      </c>
      <c r="B20" s="86" t="s">
        <v>369</v>
      </c>
      <c r="C20" s="86">
        <f>Dados!N37</f>
        <v>0</v>
      </c>
      <c r="D20" s="86" t="s">
        <v>127</v>
      </c>
      <c r="E20" s="86" t="s">
        <v>363</v>
      </c>
      <c r="F20" s="86" t="s">
        <v>324</v>
      </c>
      <c r="G20" s="86">
        <v>1</v>
      </c>
      <c r="H20" s="94">
        <f>H17</f>
        <v>-9.8990506112970448E-5</v>
      </c>
      <c r="I20" s="86" t="str">
        <f>D20</f>
        <v>%UR</v>
      </c>
      <c r="J20" s="94" t="s">
        <v>325</v>
      </c>
      <c r="K20" s="86" t="s">
        <v>326</v>
      </c>
      <c r="L20" s="95">
        <f t="shared" si="0"/>
        <v>0</v>
      </c>
      <c r="M20" s="86">
        <v>1</v>
      </c>
      <c r="N20" s="96">
        <f t="shared" ca="1" si="1"/>
        <v>0</v>
      </c>
      <c r="O20" s="101"/>
      <c r="P20" s="101"/>
      <c r="Q20" s="101"/>
      <c r="R20" s="101"/>
      <c r="S20" s="101"/>
      <c r="T20" s="101"/>
      <c r="U20" s="101"/>
      <c r="V20" s="101"/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">
        <v>326</v>
      </c>
      <c r="J21" s="466"/>
      <c r="K21" s="467"/>
      <c r="L21" s="103">
        <f ca="1">SQRT(SUMSQ(L6:L20))</f>
        <v>5.6966560698309152E-4</v>
      </c>
      <c r="M21" s="468" t="s">
        <v>372</v>
      </c>
      <c r="N21" s="469"/>
      <c r="O21" s="101"/>
      <c r="P21" s="101"/>
      <c r="Q21" s="101"/>
      <c r="R21" s="101"/>
      <c r="S21" s="101"/>
      <c r="T21" s="101"/>
      <c r="U21" s="101"/>
      <c r="V21" s="101"/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">
        <v>375</v>
      </c>
      <c r="J22" s="458"/>
      <c r="K22" s="459"/>
      <c r="L22" s="106">
        <f ca="1">(L21*N24)/100</f>
        <v>1.1393312139661831E-5</v>
      </c>
      <c r="M22" s="473">
        <f>IF(AND(C18=0,C19=0,C20=0),1000000,IF((L21^4)/(((L18^4)/M18)+((L19^4)/M19)+((L20^4)/M20))&gt;10000,1000000,(L21^4)/(((L18^4)/M18)+((L19^4)/M19)+((L20^4)/M20))))</f>
        <v>1000000</v>
      </c>
      <c r="N22" s="474"/>
      <c r="O22" s="101"/>
      <c r="P22" s="101"/>
      <c r="Q22" s="101"/>
      <c r="R22" s="101"/>
      <c r="S22" s="101"/>
      <c r="T22" s="101"/>
      <c r="U22" s="101"/>
      <c r="V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">
        <v>375</v>
      </c>
      <c r="J23" s="458"/>
      <c r="K23" s="459"/>
      <c r="L23" s="106" t="str">
        <f ca="1">FIXED(Q15,Q19)</f>
        <v>0,000011</v>
      </c>
      <c r="M23" s="460"/>
      <c r="N23" s="461"/>
      <c r="O23" s="101"/>
      <c r="P23" s="101"/>
      <c r="Q23" s="101"/>
      <c r="R23" s="101"/>
      <c r="S23" s="101"/>
      <c r="T23" s="101"/>
      <c r="U23" s="101"/>
      <c r="V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ca="1">SUM(N6:N20)</f>
        <v>100.00000000000001</v>
      </c>
      <c r="L24" s="87">
        <f ca="1">SUM(L6:L20)</f>
        <v>1.4723646100831178E-3</v>
      </c>
      <c r="M24" s="108" t="s">
        <v>378</v>
      </c>
      <c r="N24" s="109">
        <f>IF(M22="infinito",2,ROUND(TINV(1-(95.45/100),M22),2))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</sheetData>
  <sheetProtection algorithmName="SHA-512" hashValue="PPisBEq9ehGQBFt/sVcKJ1pla+tv06B+NwOGz0k9Pr6BDBf3BwJMaCyYFAY5voKnfhNaoxjToo5C7JvT3HnLgQ==" saltValue="z5iAso3DZ/3XRFiH9pBjsw==" spinCount="100000" sheet="1" objects="1" scenarios="1"/>
  <mergeCells count="17">
    <mergeCell ref="A1:N1"/>
    <mergeCell ref="A2:N2"/>
    <mergeCell ref="A4:A5"/>
    <mergeCell ref="B4:D4"/>
    <mergeCell ref="E4:E5"/>
    <mergeCell ref="F4:F5"/>
    <mergeCell ref="H4:K4"/>
    <mergeCell ref="I5:K5"/>
    <mergeCell ref="B23:H23"/>
    <mergeCell ref="I23:K23"/>
    <mergeCell ref="M23:N23"/>
    <mergeCell ref="B21:H21"/>
    <mergeCell ref="I21:K21"/>
    <mergeCell ref="M21:N21"/>
    <mergeCell ref="B22:H22"/>
    <mergeCell ref="I22:K22"/>
    <mergeCell ref="M22:N22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73F79-4E06-4873-ACE9-7635632709ED}">
  <sheetPr codeName="Folha1"/>
  <dimension ref="B1:Q22"/>
  <sheetViews>
    <sheetView workbookViewId="0">
      <selection activeCell="O15" sqref="O15"/>
    </sheetView>
  </sheetViews>
  <sheetFormatPr defaultRowHeight="13.2" x14ac:dyDescent="0.25"/>
  <cols>
    <col min="1" max="1" width="3.88671875" style="9" customWidth="1"/>
    <col min="2" max="8" width="9.109375" style="9"/>
    <col min="9" max="9" width="19.88671875" style="9" bestFit="1" customWidth="1"/>
    <col min="10" max="249" width="9.109375" style="9"/>
    <col min="250" max="250" width="3.88671875" style="9" customWidth="1"/>
    <col min="251" max="258" width="9.109375" style="9"/>
    <col min="259" max="259" width="19.88671875" style="9" bestFit="1" customWidth="1"/>
    <col min="260" max="505" width="9.109375" style="9"/>
    <col min="506" max="506" width="3.88671875" style="9" customWidth="1"/>
    <col min="507" max="514" width="9.109375" style="9"/>
    <col min="515" max="515" width="19.88671875" style="9" bestFit="1" customWidth="1"/>
    <col min="516" max="761" width="9.109375" style="9"/>
    <col min="762" max="762" width="3.88671875" style="9" customWidth="1"/>
    <col min="763" max="770" width="9.109375" style="9"/>
    <col min="771" max="771" width="19.88671875" style="9" bestFit="1" customWidth="1"/>
    <col min="772" max="1017" width="9.109375" style="9"/>
    <col min="1018" max="1018" width="3.88671875" style="9" customWidth="1"/>
    <col min="1019" max="1026" width="9.109375" style="9"/>
    <col min="1027" max="1027" width="19.88671875" style="9" bestFit="1" customWidth="1"/>
    <col min="1028" max="1273" width="9.109375" style="9"/>
    <col min="1274" max="1274" width="3.88671875" style="9" customWidth="1"/>
    <col min="1275" max="1282" width="9.109375" style="9"/>
    <col min="1283" max="1283" width="19.88671875" style="9" bestFit="1" customWidth="1"/>
    <col min="1284" max="1529" width="9.109375" style="9"/>
    <col min="1530" max="1530" width="3.88671875" style="9" customWidth="1"/>
    <col min="1531" max="1538" width="9.109375" style="9"/>
    <col min="1539" max="1539" width="19.88671875" style="9" bestFit="1" customWidth="1"/>
    <col min="1540" max="1785" width="9.109375" style="9"/>
    <col min="1786" max="1786" width="3.88671875" style="9" customWidth="1"/>
    <col min="1787" max="1794" width="9.109375" style="9"/>
    <col min="1795" max="1795" width="19.88671875" style="9" bestFit="1" customWidth="1"/>
    <col min="1796" max="2041" width="9.109375" style="9"/>
    <col min="2042" max="2042" width="3.88671875" style="9" customWidth="1"/>
    <col min="2043" max="2050" width="9.109375" style="9"/>
    <col min="2051" max="2051" width="19.88671875" style="9" bestFit="1" customWidth="1"/>
    <col min="2052" max="2297" width="9.109375" style="9"/>
    <col min="2298" max="2298" width="3.88671875" style="9" customWidth="1"/>
    <col min="2299" max="2306" width="9.109375" style="9"/>
    <col min="2307" max="2307" width="19.88671875" style="9" bestFit="1" customWidth="1"/>
    <col min="2308" max="2553" width="9.109375" style="9"/>
    <col min="2554" max="2554" width="3.88671875" style="9" customWidth="1"/>
    <col min="2555" max="2562" width="9.109375" style="9"/>
    <col min="2563" max="2563" width="19.88671875" style="9" bestFit="1" customWidth="1"/>
    <col min="2564" max="2809" width="9.109375" style="9"/>
    <col min="2810" max="2810" width="3.88671875" style="9" customWidth="1"/>
    <col min="2811" max="2818" width="9.109375" style="9"/>
    <col min="2819" max="2819" width="19.88671875" style="9" bestFit="1" customWidth="1"/>
    <col min="2820" max="3065" width="9.109375" style="9"/>
    <col min="3066" max="3066" width="3.88671875" style="9" customWidth="1"/>
    <col min="3067" max="3074" width="9.109375" style="9"/>
    <col min="3075" max="3075" width="19.88671875" style="9" bestFit="1" customWidth="1"/>
    <col min="3076" max="3321" width="9.109375" style="9"/>
    <col min="3322" max="3322" width="3.88671875" style="9" customWidth="1"/>
    <col min="3323" max="3330" width="9.109375" style="9"/>
    <col min="3331" max="3331" width="19.88671875" style="9" bestFit="1" customWidth="1"/>
    <col min="3332" max="3577" width="9.109375" style="9"/>
    <col min="3578" max="3578" width="3.88671875" style="9" customWidth="1"/>
    <col min="3579" max="3586" width="9.109375" style="9"/>
    <col min="3587" max="3587" width="19.88671875" style="9" bestFit="1" customWidth="1"/>
    <col min="3588" max="3833" width="9.109375" style="9"/>
    <col min="3834" max="3834" width="3.88671875" style="9" customWidth="1"/>
    <col min="3835" max="3842" width="9.109375" style="9"/>
    <col min="3843" max="3843" width="19.88671875" style="9" bestFit="1" customWidth="1"/>
    <col min="3844" max="4089" width="9.109375" style="9"/>
    <col min="4090" max="4090" width="3.88671875" style="9" customWidth="1"/>
    <col min="4091" max="4098" width="9.109375" style="9"/>
    <col min="4099" max="4099" width="19.88671875" style="9" bestFit="1" customWidth="1"/>
    <col min="4100" max="4345" width="9.109375" style="9"/>
    <col min="4346" max="4346" width="3.88671875" style="9" customWidth="1"/>
    <col min="4347" max="4354" width="9.109375" style="9"/>
    <col min="4355" max="4355" width="19.88671875" style="9" bestFit="1" customWidth="1"/>
    <col min="4356" max="4601" width="9.109375" style="9"/>
    <col min="4602" max="4602" width="3.88671875" style="9" customWidth="1"/>
    <col min="4603" max="4610" width="9.109375" style="9"/>
    <col min="4611" max="4611" width="19.88671875" style="9" bestFit="1" customWidth="1"/>
    <col min="4612" max="4857" width="9.109375" style="9"/>
    <col min="4858" max="4858" width="3.88671875" style="9" customWidth="1"/>
    <col min="4859" max="4866" width="9.109375" style="9"/>
    <col min="4867" max="4867" width="19.88671875" style="9" bestFit="1" customWidth="1"/>
    <col min="4868" max="5113" width="9.109375" style="9"/>
    <col min="5114" max="5114" width="3.88671875" style="9" customWidth="1"/>
    <col min="5115" max="5122" width="9.109375" style="9"/>
    <col min="5123" max="5123" width="19.88671875" style="9" bestFit="1" customWidth="1"/>
    <col min="5124" max="5369" width="9.109375" style="9"/>
    <col min="5370" max="5370" width="3.88671875" style="9" customWidth="1"/>
    <col min="5371" max="5378" width="9.109375" style="9"/>
    <col min="5379" max="5379" width="19.88671875" style="9" bestFit="1" customWidth="1"/>
    <col min="5380" max="5625" width="9.109375" style="9"/>
    <col min="5626" max="5626" width="3.88671875" style="9" customWidth="1"/>
    <col min="5627" max="5634" width="9.109375" style="9"/>
    <col min="5635" max="5635" width="19.88671875" style="9" bestFit="1" customWidth="1"/>
    <col min="5636" max="5881" width="9.109375" style="9"/>
    <col min="5882" max="5882" width="3.88671875" style="9" customWidth="1"/>
    <col min="5883" max="5890" width="9.109375" style="9"/>
    <col min="5891" max="5891" width="19.88671875" style="9" bestFit="1" customWidth="1"/>
    <col min="5892" max="6137" width="9.109375" style="9"/>
    <col min="6138" max="6138" width="3.88671875" style="9" customWidth="1"/>
    <col min="6139" max="6146" width="9.109375" style="9"/>
    <col min="6147" max="6147" width="19.88671875" style="9" bestFit="1" customWidth="1"/>
    <col min="6148" max="6393" width="9.109375" style="9"/>
    <col min="6394" max="6394" width="3.88671875" style="9" customWidth="1"/>
    <col min="6395" max="6402" width="9.109375" style="9"/>
    <col min="6403" max="6403" width="19.88671875" style="9" bestFit="1" customWidth="1"/>
    <col min="6404" max="6649" width="9.109375" style="9"/>
    <col min="6650" max="6650" width="3.88671875" style="9" customWidth="1"/>
    <col min="6651" max="6658" width="9.109375" style="9"/>
    <col min="6659" max="6659" width="19.88671875" style="9" bestFit="1" customWidth="1"/>
    <col min="6660" max="6905" width="9.109375" style="9"/>
    <col min="6906" max="6906" width="3.88671875" style="9" customWidth="1"/>
    <col min="6907" max="6914" width="9.109375" style="9"/>
    <col min="6915" max="6915" width="19.88671875" style="9" bestFit="1" customWidth="1"/>
    <col min="6916" max="7161" width="9.109375" style="9"/>
    <col min="7162" max="7162" width="3.88671875" style="9" customWidth="1"/>
    <col min="7163" max="7170" width="9.109375" style="9"/>
    <col min="7171" max="7171" width="19.88671875" style="9" bestFit="1" customWidth="1"/>
    <col min="7172" max="7417" width="9.109375" style="9"/>
    <col min="7418" max="7418" width="3.88671875" style="9" customWidth="1"/>
    <col min="7419" max="7426" width="9.109375" style="9"/>
    <col min="7427" max="7427" width="19.88671875" style="9" bestFit="1" customWidth="1"/>
    <col min="7428" max="7673" width="9.109375" style="9"/>
    <col min="7674" max="7674" width="3.88671875" style="9" customWidth="1"/>
    <col min="7675" max="7682" width="9.109375" style="9"/>
    <col min="7683" max="7683" width="19.88671875" style="9" bestFit="1" customWidth="1"/>
    <col min="7684" max="7929" width="9.109375" style="9"/>
    <col min="7930" max="7930" width="3.88671875" style="9" customWidth="1"/>
    <col min="7931" max="7938" width="9.109375" style="9"/>
    <col min="7939" max="7939" width="19.88671875" style="9" bestFit="1" customWidth="1"/>
    <col min="7940" max="8185" width="9.109375" style="9"/>
    <col min="8186" max="8186" width="3.88671875" style="9" customWidth="1"/>
    <col min="8187" max="8194" width="9.109375" style="9"/>
    <col min="8195" max="8195" width="19.88671875" style="9" bestFit="1" customWidth="1"/>
    <col min="8196" max="8441" width="9.109375" style="9"/>
    <col min="8442" max="8442" width="3.88671875" style="9" customWidth="1"/>
    <col min="8443" max="8450" width="9.109375" style="9"/>
    <col min="8451" max="8451" width="19.88671875" style="9" bestFit="1" customWidth="1"/>
    <col min="8452" max="8697" width="9.109375" style="9"/>
    <col min="8698" max="8698" width="3.88671875" style="9" customWidth="1"/>
    <col min="8699" max="8706" width="9.109375" style="9"/>
    <col min="8707" max="8707" width="19.88671875" style="9" bestFit="1" customWidth="1"/>
    <col min="8708" max="8953" width="9.109375" style="9"/>
    <col min="8954" max="8954" width="3.88671875" style="9" customWidth="1"/>
    <col min="8955" max="8962" width="9.109375" style="9"/>
    <col min="8963" max="8963" width="19.88671875" style="9" bestFit="1" customWidth="1"/>
    <col min="8964" max="9209" width="9.109375" style="9"/>
    <col min="9210" max="9210" width="3.88671875" style="9" customWidth="1"/>
    <col min="9211" max="9218" width="9.109375" style="9"/>
    <col min="9219" max="9219" width="19.88671875" style="9" bestFit="1" customWidth="1"/>
    <col min="9220" max="9465" width="9.109375" style="9"/>
    <col min="9466" max="9466" width="3.88671875" style="9" customWidth="1"/>
    <col min="9467" max="9474" width="9.109375" style="9"/>
    <col min="9475" max="9475" width="19.88671875" style="9" bestFit="1" customWidth="1"/>
    <col min="9476" max="9721" width="9.109375" style="9"/>
    <col min="9722" max="9722" width="3.88671875" style="9" customWidth="1"/>
    <col min="9723" max="9730" width="9.109375" style="9"/>
    <col min="9731" max="9731" width="19.88671875" style="9" bestFit="1" customWidth="1"/>
    <col min="9732" max="9977" width="9.109375" style="9"/>
    <col min="9978" max="9978" width="3.88671875" style="9" customWidth="1"/>
    <col min="9979" max="9986" width="9.109375" style="9"/>
    <col min="9987" max="9987" width="19.88671875" style="9" bestFit="1" customWidth="1"/>
    <col min="9988" max="10233" width="9.109375" style="9"/>
    <col min="10234" max="10234" width="3.88671875" style="9" customWidth="1"/>
    <col min="10235" max="10242" width="9.109375" style="9"/>
    <col min="10243" max="10243" width="19.88671875" style="9" bestFit="1" customWidth="1"/>
    <col min="10244" max="10489" width="9.109375" style="9"/>
    <col min="10490" max="10490" width="3.88671875" style="9" customWidth="1"/>
    <col min="10491" max="10498" width="9.109375" style="9"/>
    <col min="10499" max="10499" width="19.88671875" style="9" bestFit="1" customWidth="1"/>
    <col min="10500" max="10745" width="9.109375" style="9"/>
    <col min="10746" max="10746" width="3.88671875" style="9" customWidth="1"/>
    <col min="10747" max="10754" width="9.109375" style="9"/>
    <col min="10755" max="10755" width="19.88671875" style="9" bestFit="1" customWidth="1"/>
    <col min="10756" max="11001" width="9.109375" style="9"/>
    <col min="11002" max="11002" width="3.88671875" style="9" customWidth="1"/>
    <col min="11003" max="11010" width="9.109375" style="9"/>
    <col min="11011" max="11011" width="19.88671875" style="9" bestFit="1" customWidth="1"/>
    <col min="11012" max="11257" width="9.109375" style="9"/>
    <col min="11258" max="11258" width="3.88671875" style="9" customWidth="1"/>
    <col min="11259" max="11266" width="9.109375" style="9"/>
    <col min="11267" max="11267" width="19.88671875" style="9" bestFit="1" customWidth="1"/>
    <col min="11268" max="11513" width="9.109375" style="9"/>
    <col min="11514" max="11514" width="3.88671875" style="9" customWidth="1"/>
    <col min="11515" max="11522" width="9.109375" style="9"/>
    <col min="11523" max="11523" width="19.88671875" style="9" bestFit="1" customWidth="1"/>
    <col min="11524" max="11769" width="9.109375" style="9"/>
    <col min="11770" max="11770" width="3.88671875" style="9" customWidth="1"/>
    <col min="11771" max="11778" width="9.109375" style="9"/>
    <col min="11779" max="11779" width="19.88671875" style="9" bestFit="1" customWidth="1"/>
    <col min="11780" max="12025" width="9.109375" style="9"/>
    <col min="12026" max="12026" width="3.88671875" style="9" customWidth="1"/>
    <col min="12027" max="12034" width="9.109375" style="9"/>
    <col min="12035" max="12035" width="19.88671875" style="9" bestFit="1" customWidth="1"/>
    <col min="12036" max="12281" width="9.109375" style="9"/>
    <col min="12282" max="12282" width="3.88671875" style="9" customWidth="1"/>
    <col min="12283" max="12290" width="9.109375" style="9"/>
    <col min="12291" max="12291" width="19.88671875" style="9" bestFit="1" customWidth="1"/>
    <col min="12292" max="12537" width="9.109375" style="9"/>
    <col min="12538" max="12538" width="3.88671875" style="9" customWidth="1"/>
    <col min="12539" max="12546" width="9.109375" style="9"/>
    <col min="12547" max="12547" width="19.88671875" style="9" bestFit="1" customWidth="1"/>
    <col min="12548" max="12793" width="9.109375" style="9"/>
    <col min="12794" max="12794" width="3.88671875" style="9" customWidth="1"/>
    <col min="12795" max="12802" width="9.109375" style="9"/>
    <col min="12803" max="12803" width="19.88671875" style="9" bestFit="1" customWidth="1"/>
    <col min="12804" max="13049" width="9.109375" style="9"/>
    <col min="13050" max="13050" width="3.88671875" style="9" customWidth="1"/>
    <col min="13051" max="13058" width="9.109375" style="9"/>
    <col min="13059" max="13059" width="19.88671875" style="9" bestFit="1" customWidth="1"/>
    <col min="13060" max="13305" width="9.109375" style="9"/>
    <col min="13306" max="13306" width="3.88671875" style="9" customWidth="1"/>
    <col min="13307" max="13314" width="9.109375" style="9"/>
    <col min="13315" max="13315" width="19.88671875" style="9" bestFit="1" customWidth="1"/>
    <col min="13316" max="13561" width="9.109375" style="9"/>
    <col min="13562" max="13562" width="3.88671875" style="9" customWidth="1"/>
    <col min="13563" max="13570" width="9.109375" style="9"/>
    <col min="13571" max="13571" width="19.88671875" style="9" bestFit="1" customWidth="1"/>
    <col min="13572" max="13817" width="9.109375" style="9"/>
    <col min="13818" max="13818" width="3.88671875" style="9" customWidth="1"/>
    <col min="13819" max="13826" width="9.109375" style="9"/>
    <col min="13827" max="13827" width="19.88671875" style="9" bestFit="1" customWidth="1"/>
    <col min="13828" max="14073" width="9.109375" style="9"/>
    <col min="14074" max="14074" width="3.88671875" style="9" customWidth="1"/>
    <col min="14075" max="14082" width="9.109375" style="9"/>
    <col min="14083" max="14083" width="19.88671875" style="9" bestFit="1" customWidth="1"/>
    <col min="14084" max="14329" width="9.109375" style="9"/>
    <col min="14330" max="14330" width="3.88671875" style="9" customWidth="1"/>
    <col min="14331" max="14338" width="9.109375" style="9"/>
    <col min="14339" max="14339" width="19.88671875" style="9" bestFit="1" customWidth="1"/>
    <col min="14340" max="14585" width="9.109375" style="9"/>
    <col min="14586" max="14586" width="3.88671875" style="9" customWidth="1"/>
    <col min="14587" max="14594" width="9.109375" style="9"/>
    <col min="14595" max="14595" width="19.88671875" style="9" bestFit="1" customWidth="1"/>
    <col min="14596" max="14841" width="9.109375" style="9"/>
    <col min="14842" max="14842" width="3.88671875" style="9" customWidth="1"/>
    <col min="14843" max="14850" width="9.109375" style="9"/>
    <col min="14851" max="14851" width="19.88671875" style="9" bestFit="1" customWidth="1"/>
    <col min="14852" max="15097" width="9.109375" style="9"/>
    <col min="15098" max="15098" width="3.88671875" style="9" customWidth="1"/>
    <col min="15099" max="15106" width="9.109375" style="9"/>
    <col min="15107" max="15107" width="19.88671875" style="9" bestFit="1" customWidth="1"/>
    <col min="15108" max="15353" width="9.109375" style="9"/>
    <col min="15354" max="15354" width="3.88671875" style="9" customWidth="1"/>
    <col min="15355" max="15362" width="9.109375" style="9"/>
    <col min="15363" max="15363" width="19.88671875" style="9" bestFit="1" customWidth="1"/>
    <col min="15364" max="15609" width="9.109375" style="9"/>
    <col min="15610" max="15610" width="3.88671875" style="9" customWidth="1"/>
    <col min="15611" max="15618" width="9.109375" style="9"/>
    <col min="15619" max="15619" width="19.88671875" style="9" bestFit="1" customWidth="1"/>
    <col min="15620" max="15865" width="9.109375" style="9"/>
    <col min="15866" max="15866" width="3.88671875" style="9" customWidth="1"/>
    <col min="15867" max="15874" width="9.109375" style="9"/>
    <col min="15875" max="15875" width="19.88671875" style="9" bestFit="1" customWidth="1"/>
    <col min="15876" max="16121" width="9.109375" style="9"/>
    <col min="16122" max="16122" width="3.88671875" style="9" customWidth="1"/>
    <col min="16123" max="16130" width="9.109375" style="9"/>
    <col min="16131" max="16131" width="19.88671875" style="9" bestFit="1" customWidth="1"/>
    <col min="16132" max="16384" width="9.109375" style="9"/>
  </cols>
  <sheetData>
    <row r="1" spans="2:17" x14ac:dyDescent="0.25">
      <c r="H1" s="9" t="str">
        <f>Dados!AM1</f>
        <v>E</v>
      </c>
      <c r="M1" s="491" t="s">
        <v>498</v>
      </c>
      <c r="N1" s="491"/>
      <c r="O1" s="491"/>
      <c r="P1" s="491"/>
      <c r="Q1" s="491"/>
    </row>
    <row r="2" spans="2:17" ht="13.8" thickBot="1" x14ac:dyDescent="0.3"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M2" s="10" t="s">
        <v>36</v>
      </c>
      <c r="N2" s="10" t="s">
        <v>37</v>
      </c>
      <c r="O2" s="10" t="s">
        <v>38</v>
      </c>
      <c r="P2" s="10" t="s">
        <v>39</v>
      </c>
      <c r="Q2" s="10" t="s">
        <v>40</v>
      </c>
    </row>
    <row r="3" spans="2:17" x14ac:dyDescent="0.25">
      <c r="B3" s="11" t="str">
        <f>IF($H$1="E",M3,"-")</f>
        <v>2467.1</v>
      </c>
      <c r="C3" s="12">
        <f t="shared" ref="C3:F3" si="0">IF($H$1="E",N3,"-")</f>
        <v>9.8000000000000004E-2</v>
      </c>
      <c r="D3" s="12">
        <f t="shared" si="0"/>
        <v>1</v>
      </c>
      <c r="E3" s="12">
        <f t="shared" si="0"/>
        <v>0.1</v>
      </c>
      <c r="F3" s="13" t="str">
        <f t="shared" si="0"/>
        <v>%</v>
      </c>
      <c r="G3" s="9">
        <v>1</v>
      </c>
      <c r="I3" s="15" t="s">
        <v>43</v>
      </c>
      <c r="J3" s="14">
        <v>2467</v>
      </c>
      <c r="M3" s="11" t="s">
        <v>41</v>
      </c>
      <c r="N3" s="12">
        <f>0.1*0.98</f>
        <v>9.8000000000000004E-2</v>
      </c>
      <c r="O3" s="12">
        <v>1</v>
      </c>
      <c r="P3" s="12">
        <v>0.1</v>
      </c>
      <c r="Q3" s="13" t="s">
        <v>42</v>
      </c>
    </row>
    <row r="4" spans="2:17" x14ac:dyDescent="0.25">
      <c r="B4" s="16" t="str">
        <f t="shared" ref="B4:B20" si="1">IF($H$1="E",M4,"-")</f>
        <v>2467.2</v>
      </c>
      <c r="C4" s="14">
        <f t="shared" ref="C4:C20" si="2">IF($H$1="E",N4,"-")</f>
        <v>1</v>
      </c>
      <c r="D4" s="14">
        <f t="shared" ref="D4:D20" si="3">IF($H$1="E",O4,"-")</f>
        <v>5</v>
      </c>
      <c r="E4" s="14">
        <f t="shared" ref="E4:E20" si="4">IF($H$1="E",P4,"-")</f>
        <v>0.03</v>
      </c>
      <c r="F4" s="17" t="str">
        <f t="shared" ref="F4:F20" si="5">IF($H$1="E",Q4,"-")</f>
        <v>%</v>
      </c>
      <c r="G4" s="9">
        <v>2</v>
      </c>
      <c r="I4" s="15" t="s">
        <v>45</v>
      </c>
      <c r="J4" s="14">
        <v>2466</v>
      </c>
      <c r="M4" s="16" t="s">
        <v>44</v>
      </c>
      <c r="N4" s="14">
        <v>1</v>
      </c>
      <c r="O4" s="14">
        <v>5</v>
      </c>
      <c r="P4" s="14">
        <v>0.03</v>
      </c>
      <c r="Q4" s="17" t="s">
        <v>42</v>
      </c>
    </row>
    <row r="5" spans="2:17" ht="13.8" thickBot="1" x14ac:dyDescent="0.3">
      <c r="B5" s="18" t="str">
        <f t="shared" si="1"/>
        <v>2467.3</v>
      </c>
      <c r="C5" s="19">
        <f t="shared" si="2"/>
        <v>5</v>
      </c>
      <c r="D5" s="19">
        <f t="shared" si="3"/>
        <v>1020</v>
      </c>
      <c r="E5" s="19">
        <f t="shared" si="4"/>
        <v>0.01</v>
      </c>
      <c r="F5" s="20" t="str">
        <f t="shared" si="5"/>
        <v>%</v>
      </c>
      <c r="G5" s="9">
        <v>3</v>
      </c>
      <c r="I5" s="15" t="s">
        <v>47</v>
      </c>
      <c r="J5" s="14">
        <v>2277</v>
      </c>
      <c r="M5" s="18" t="s">
        <v>46</v>
      </c>
      <c r="N5" s="19">
        <v>5</v>
      </c>
      <c r="O5" s="19">
        <f>1000*1.02</f>
        <v>1020</v>
      </c>
      <c r="P5" s="19">
        <v>0.01</v>
      </c>
      <c r="Q5" s="20" t="s">
        <v>42</v>
      </c>
    </row>
    <row r="6" spans="2:17" ht="12.75" customHeight="1" x14ac:dyDescent="0.25">
      <c r="B6" s="11" t="str">
        <f t="shared" si="1"/>
        <v>2466.1</v>
      </c>
      <c r="C6" s="12">
        <f t="shared" si="2"/>
        <v>9.7999999999999997E-4</v>
      </c>
      <c r="D6" s="12">
        <f t="shared" si="3"/>
        <v>0.5</v>
      </c>
      <c r="E6" s="12">
        <f t="shared" si="4"/>
        <v>0.05</v>
      </c>
      <c r="F6" s="13" t="str">
        <f t="shared" si="5"/>
        <v>µL</v>
      </c>
      <c r="G6" s="9">
        <v>4</v>
      </c>
      <c r="I6" s="15" t="s">
        <v>50</v>
      </c>
      <c r="J6" s="14">
        <v>2330</v>
      </c>
      <c r="M6" s="11" t="s">
        <v>48</v>
      </c>
      <c r="N6" s="12">
        <f>0.001*0.98</f>
        <v>9.7999999999999997E-4</v>
      </c>
      <c r="O6" s="12">
        <v>0.5</v>
      </c>
      <c r="P6" s="12">
        <v>0.05</v>
      </c>
      <c r="Q6" s="13" t="s">
        <v>49</v>
      </c>
    </row>
    <row r="7" spans="2:17" x14ac:dyDescent="0.25">
      <c r="B7" s="16" t="str">
        <f t="shared" si="1"/>
        <v>2466.2</v>
      </c>
      <c r="C7" s="14">
        <f t="shared" si="2"/>
        <v>0.5</v>
      </c>
      <c r="D7" s="14">
        <f t="shared" si="3"/>
        <v>1.02</v>
      </c>
      <c r="E7" s="14">
        <f t="shared" si="4"/>
        <v>0.01</v>
      </c>
      <c r="F7" s="17" t="str">
        <f t="shared" si="5"/>
        <v>%</v>
      </c>
      <c r="G7" s="9">
        <v>5</v>
      </c>
      <c r="I7" s="15" t="s">
        <v>52</v>
      </c>
      <c r="J7" s="14">
        <v>2331</v>
      </c>
      <c r="M7" s="16" t="s">
        <v>51</v>
      </c>
      <c r="N7" s="14">
        <v>0.5</v>
      </c>
      <c r="O7" s="14">
        <f>1*1.02</f>
        <v>1.02</v>
      </c>
      <c r="P7" s="14">
        <v>0.01</v>
      </c>
      <c r="Q7" s="17" t="s">
        <v>42</v>
      </c>
    </row>
    <row r="8" spans="2:17" ht="13.8" thickBot="1" x14ac:dyDescent="0.3">
      <c r="B8" s="18" t="str">
        <f t="shared" si="1"/>
        <v>2466.3</v>
      </c>
      <c r="C8" s="21" t="str">
        <f t="shared" si="2"/>
        <v>-</v>
      </c>
      <c r="D8" s="21" t="str">
        <f t="shared" si="3"/>
        <v>-</v>
      </c>
      <c r="E8" s="21" t="str">
        <f t="shared" si="4"/>
        <v>-</v>
      </c>
      <c r="F8" s="20" t="str">
        <f t="shared" si="5"/>
        <v>%</v>
      </c>
      <c r="G8" s="9">
        <v>6</v>
      </c>
      <c r="I8" s="15" t="s">
        <v>55</v>
      </c>
      <c r="J8" s="14">
        <v>2307</v>
      </c>
      <c r="M8" s="18" t="s">
        <v>53</v>
      </c>
      <c r="N8" s="21" t="s">
        <v>54</v>
      </c>
      <c r="O8" s="21" t="s">
        <v>54</v>
      </c>
      <c r="P8" s="21" t="s">
        <v>54</v>
      </c>
      <c r="Q8" s="20" t="s">
        <v>42</v>
      </c>
    </row>
    <row r="9" spans="2:17" ht="12.75" customHeight="1" x14ac:dyDescent="0.25">
      <c r="B9" s="11" t="str">
        <f t="shared" si="1"/>
        <v>2277.1</v>
      </c>
      <c r="C9" s="12">
        <f t="shared" si="2"/>
        <v>0</v>
      </c>
      <c r="D9" s="12">
        <f t="shared" si="3"/>
        <v>510</v>
      </c>
      <c r="E9" s="12">
        <f t="shared" si="4"/>
        <v>3.0000000000000001E-3</v>
      </c>
      <c r="F9" s="13" t="str">
        <f t="shared" si="5"/>
        <v>%</v>
      </c>
      <c r="G9" s="9">
        <v>7</v>
      </c>
      <c r="M9" s="11" t="s">
        <v>56</v>
      </c>
      <c r="N9" s="12">
        <v>0</v>
      </c>
      <c r="O9" s="12">
        <f>500*1.02</f>
        <v>510</v>
      </c>
      <c r="P9" s="12">
        <v>3.0000000000000001E-3</v>
      </c>
      <c r="Q9" s="13" t="s">
        <v>42</v>
      </c>
    </row>
    <row r="10" spans="2:17" x14ac:dyDescent="0.25">
      <c r="B10" s="16" t="str">
        <f t="shared" si="1"/>
        <v>2277.2</v>
      </c>
      <c r="C10" s="22" t="str">
        <f t="shared" si="2"/>
        <v>-</v>
      </c>
      <c r="D10" s="22" t="str">
        <f t="shared" si="3"/>
        <v>-</v>
      </c>
      <c r="E10" s="22" t="str">
        <f t="shared" si="4"/>
        <v>-</v>
      </c>
      <c r="F10" s="17" t="str">
        <f t="shared" si="5"/>
        <v>%</v>
      </c>
      <c r="G10" s="9">
        <v>8</v>
      </c>
      <c r="M10" s="16" t="s">
        <v>57</v>
      </c>
      <c r="N10" s="22" t="s">
        <v>54</v>
      </c>
      <c r="O10" s="22" t="s">
        <v>54</v>
      </c>
      <c r="P10" s="22" t="s">
        <v>54</v>
      </c>
      <c r="Q10" s="17" t="s">
        <v>42</v>
      </c>
    </row>
    <row r="11" spans="2:17" ht="13.8" thickBot="1" x14ac:dyDescent="0.3">
      <c r="B11" s="18" t="str">
        <f t="shared" si="1"/>
        <v>2277.3</v>
      </c>
      <c r="C11" s="21" t="str">
        <f t="shared" si="2"/>
        <v>-</v>
      </c>
      <c r="D11" s="21" t="str">
        <f t="shared" si="3"/>
        <v>-</v>
      </c>
      <c r="E11" s="21" t="str">
        <f t="shared" si="4"/>
        <v>-</v>
      </c>
      <c r="F11" s="20" t="str">
        <f t="shared" si="5"/>
        <v>%</v>
      </c>
      <c r="G11" s="9">
        <v>9</v>
      </c>
      <c r="M11" s="18" t="s">
        <v>58</v>
      </c>
      <c r="N11" s="21" t="s">
        <v>54</v>
      </c>
      <c r="O11" s="21" t="s">
        <v>54</v>
      </c>
      <c r="P11" s="21" t="s">
        <v>54</v>
      </c>
      <c r="Q11" s="20" t="s">
        <v>42</v>
      </c>
    </row>
    <row r="12" spans="2:17" ht="12.75" customHeight="1" x14ac:dyDescent="0.25">
      <c r="B12" s="11" t="str">
        <f t="shared" si="1"/>
        <v>2330.1</v>
      </c>
      <c r="C12" s="12">
        <f t="shared" si="2"/>
        <v>9.8000000000000004E-2</v>
      </c>
      <c r="D12" s="12">
        <f t="shared" si="3"/>
        <v>1</v>
      </c>
      <c r="E12" s="12">
        <f t="shared" si="4"/>
        <v>0.1</v>
      </c>
      <c r="F12" s="13" t="str">
        <f t="shared" si="5"/>
        <v>%</v>
      </c>
      <c r="G12" s="9">
        <v>10</v>
      </c>
      <c r="M12" s="11" t="s">
        <v>59</v>
      </c>
      <c r="N12" s="12">
        <f>0.1*0.98</f>
        <v>9.8000000000000004E-2</v>
      </c>
      <c r="O12" s="12">
        <v>1</v>
      </c>
      <c r="P12" s="12">
        <v>0.1</v>
      </c>
      <c r="Q12" s="13" t="s">
        <v>42</v>
      </c>
    </row>
    <row r="13" spans="2:17" x14ac:dyDescent="0.25">
      <c r="B13" s="16" t="str">
        <f t="shared" si="1"/>
        <v>2330.2</v>
      </c>
      <c r="C13" s="14">
        <f t="shared" si="2"/>
        <v>1</v>
      </c>
      <c r="D13" s="14">
        <f t="shared" si="3"/>
        <v>5</v>
      </c>
      <c r="E13" s="14">
        <f t="shared" si="4"/>
        <v>0.03</v>
      </c>
      <c r="F13" s="17" t="str">
        <f t="shared" si="5"/>
        <v>%</v>
      </c>
      <c r="G13" s="9">
        <v>11</v>
      </c>
      <c r="M13" s="16" t="s">
        <v>61</v>
      </c>
      <c r="N13" s="14">
        <v>1</v>
      </c>
      <c r="O13" s="14">
        <v>5</v>
      </c>
      <c r="P13" s="14">
        <v>0.03</v>
      </c>
      <c r="Q13" s="17" t="s">
        <v>42</v>
      </c>
    </row>
    <row r="14" spans="2:17" ht="13.8" thickBot="1" x14ac:dyDescent="0.3">
      <c r="B14" s="18" t="str">
        <f t="shared" si="1"/>
        <v>2330.3</v>
      </c>
      <c r="C14" s="19">
        <f t="shared" si="2"/>
        <v>5</v>
      </c>
      <c r="D14" s="19">
        <f t="shared" si="3"/>
        <v>1020</v>
      </c>
      <c r="E14" s="19">
        <f t="shared" si="4"/>
        <v>0.01</v>
      </c>
      <c r="F14" s="20" t="str">
        <f t="shared" si="5"/>
        <v>%</v>
      </c>
      <c r="G14" s="9">
        <v>12</v>
      </c>
      <c r="M14" s="18" t="s">
        <v>62</v>
      </c>
      <c r="N14" s="19">
        <v>5</v>
      </c>
      <c r="O14" s="19">
        <f>1000*1.02</f>
        <v>1020</v>
      </c>
      <c r="P14" s="19">
        <v>0.01</v>
      </c>
      <c r="Q14" s="20" t="s">
        <v>42</v>
      </c>
    </row>
    <row r="15" spans="2:17" ht="12.75" customHeight="1" x14ac:dyDescent="0.25">
      <c r="B15" s="11" t="str">
        <f t="shared" si="1"/>
        <v>2331.1</v>
      </c>
      <c r="C15" s="12">
        <f t="shared" si="2"/>
        <v>9.8000000000000004E-2</v>
      </c>
      <c r="D15" s="12">
        <f t="shared" si="3"/>
        <v>1</v>
      </c>
      <c r="E15" s="12">
        <f t="shared" si="4"/>
        <v>0.1</v>
      </c>
      <c r="F15" s="13" t="str">
        <f t="shared" si="5"/>
        <v>%</v>
      </c>
      <c r="G15" s="9">
        <v>13</v>
      </c>
      <c r="M15" s="11" t="s">
        <v>63</v>
      </c>
      <c r="N15" s="12">
        <f>0.1*0.98</f>
        <v>9.8000000000000004E-2</v>
      </c>
      <c r="O15" s="12">
        <v>1</v>
      </c>
      <c r="P15" s="12">
        <v>0.1</v>
      </c>
      <c r="Q15" s="13" t="s">
        <v>42</v>
      </c>
    </row>
    <row r="16" spans="2:17" x14ac:dyDescent="0.25">
      <c r="B16" s="16" t="str">
        <f t="shared" si="1"/>
        <v>2331.2</v>
      </c>
      <c r="C16" s="14">
        <f t="shared" si="2"/>
        <v>1</v>
      </c>
      <c r="D16" s="14">
        <f t="shared" si="3"/>
        <v>5</v>
      </c>
      <c r="E16" s="14">
        <f t="shared" si="4"/>
        <v>0.03</v>
      </c>
      <c r="F16" s="17" t="str">
        <f t="shared" si="5"/>
        <v>%</v>
      </c>
      <c r="G16" s="9">
        <v>14</v>
      </c>
      <c r="M16" s="16" t="s">
        <v>64</v>
      </c>
      <c r="N16" s="14">
        <v>1</v>
      </c>
      <c r="O16" s="14">
        <v>5</v>
      </c>
      <c r="P16" s="14">
        <v>0.03</v>
      </c>
      <c r="Q16" s="17" t="s">
        <v>42</v>
      </c>
    </row>
    <row r="17" spans="2:17" ht="13.8" thickBot="1" x14ac:dyDescent="0.3">
      <c r="B17" s="18" t="str">
        <f t="shared" si="1"/>
        <v>2331.3</v>
      </c>
      <c r="C17" s="19">
        <f t="shared" si="2"/>
        <v>5</v>
      </c>
      <c r="D17" s="19">
        <f t="shared" si="3"/>
        <v>1020</v>
      </c>
      <c r="E17" s="19">
        <f t="shared" si="4"/>
        <v>0.01</v>
      </c>
      <c r="F17" s="20" t="str">
        <f t="shared" si="5"/>
        <v>%</v>
      </c>
      <c r="G17" s="9">
        <v>15</v>
      </c>
      <c r="M17" s="18" t="s">
        <v>65</v>
      </c>
      <c r="N17" s="19">
        <v>5</v>
      </c>
      <c r="O17" s="19">
        <f>1000*1.02</f>
        <v>1020</v>
      </c>
      <c r="P17" s="19">
        <v>0.01</v>
      </c>
      <c r="Q17" s="20" t="s">
        <v>42</v>
      </c>
    </row>
    <row r="18" spans="2:17" ht="12.75" customHeight="1" x14ac:dyDescent="0.25">
      <c r="B18" s="11" t="str">
        <f t="shared" si="1"/>
        <v>2307.1</v>
      </c>
      <c r="C18" s="12">
        <f t="shared" si="2"/>
        <v>9.8000000000000004E-2</v>
      </c>
      <c r="D18" s="12">
        <f t="shared" si="3"/>
        <v>1</v>
      </c>
      <c r="E18" s="12">
        <f t="shared" si="4"/>
        <v>0.1</v>
      </c>
      <c r="F18" s="13" t="str">
        <f t="shared" si="5"/>
        <v>%</v>
      </c>
      <c r="G18" s="9">
        <v>16</v>
      </c>
      <c r="M18" s="11" t="s">
        <v>66</v>
      </c>
      <c r="N18" s="12">
        <f>0.1*0.98</f>
        <v>9.8000000000000004E-2</v>
      </c>
      <c r="O18" s="12">
        <v>1</v>
      </c>
      <c r="P18" s="12">
        <v>0.1</v>
      </c>
      <c r="Q18" s="13" t="s">
        <v>42</v>
      </c>
    </row>
    <row r="19" spans="2:17" x14ac:dyDescent="0.25">
      <c r="B19" s="16" t="str">
        <f t="shared" si="1"/>
        <v>2307.2</v>
      </c>
      <c r="C19" s="14">
        <f t="shared" si="2"/>
        <v>1</v>
      </c>
      <c r="D19" s="14">
        <f t="shared" si="3"/>
        <v>5</v>
      </c>
      <c r="E19" s="14">
        <f t="shared" si="4"/>
        <v>0.03</v>
      </c>
      <c r="F19" s="17" t="str">
        <f t="shared" si="5"/>
        <v>%</v>
      </c>
      <c r="G19" s="9">
        <v>17</v>
      </c>
      <c r="M19" s="16" t="s">
        <v>67</v>
      </c>
      <c r="N19" s="14">
        <v>1</v>
      </c>
      <c r="O19" s="14">
        <v>5</v>
      </c>
      <c r="P19" s="14">
        <v>0.03</v>
      </c>
      <c r="Q19" s="17" t="s">
        <v>42</v>
      </c>
    </row>
    <row r="20" spans="2:17" ht="13.8" thickBot="1" x14ac:dyDescent="0.3">
      <c r="B20" s="18" t="str">
        <f t="shared" si="1"/>
        <v>2307.3</v>
      </c>
      <c r="C20" s="19">
        <f t="shared" si="2"/>
        <v>5</v>
      </c>
      <c r="D20" s="19">
        <f t="shared" si="3"/>
        <v>6120</v>
      </c>
      <c r="E20" s="19">
        <f t="shared" si="4"/>
        <v>0.01</v>
      </c>
      <c r="F20" s="20" t="str">
        <f t="shared" si="5"/>
        <v>%</v>
      </c>
      <c r="G20" s="9">
        <v>18</v>
      </c>
      <c r="M20" s="18" t="s">
        <v>68</v>
      </c>
      <c r="N20" s="19">
        <v>5</v>
      </c>
      <c r="O20" s="19">
        <f>6000*1.02</f>
        <v>6120</v>
      </c>
      <c r="P20" s="19">
        <v>0.01</v>
      </c>
      <c r="Q20" s="20" t="s">
        <v>42</v>
      </c>
    </row>
    <row r="22" spans="2:17" x14ac:dyDescent="0.25">
      <c r="B22" s="9" t="s">
        <v>69</v>
      </c>
      <c r="C22" s="23" t="s">
        <v>70</v>
      </c>
    </row>
  </sheetData>
  <sheetProtection algorithmName="SHA-512" hashValue="A/DUF15YnWYMIHCXUlUSB4XI9SqRfjd+XWxeb2bMclVVQJV/GXm0tbY+KuOtxJL8MkwzjJo2AacBUutOrPswpA==" saltValue="8LbY0J8TQHo8YYC74w2kDA==" spinCount="100000" sheet="1" objects="1" scenarios="1"/>
  <mergeCells count="1">
    <mergeCell ref="M1:Q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E5EC8-2BCF-4DB1-AC31-E4C659BB00E8}">
  <sheetPr codeName="Planilha7"/>
  <dimension ref="A1:AH171"/>
  <sheetViews>
    <sheetView workbookViewId="0">
      <selection sqref="A1:L1"/>
    </sheetView>
  </sheetViews>
  <sheetFormatPr defaultRowHeight="14.4" x14ac:dyDescent="0.3"/>
  <cols>
    <col min="1" max="1" width="4" bestFit="1" customWidth="1"/>
    <col min="2" max="2" width="22.44140625" style="119" customWidth="1"/>
    <col min="3" max="3" width="24.109375" style="119" customWidth="1"/>
    <col min="4" max="6" width="19.33203125" style="119" customWidth="1"/>
    <col min="7" max="7" width="3.6640625" style="119" customWidth="1"/>
    <col min="8" max="9" width="20.109375" style="119" bestFit="1" customWidth="1"/>
    <col min="10" max="12" width="19.33203125" style="119" customWidth="1"/>
    <col min="13" max="13" width="16.5546875" customWidth="1"/>
    <col min="15" max="23" width="20.33203125" customWidth="1"/>
    <col min="24" max="24" width="24.33203125" customWidth="1"/>
    <col min="25" max="25" width="20.5546875" customWidth="1"/>
  </cols>
  <sheetData>
    <row r="1" spans="1:12" ht="85.5" customHeight="1" thickBot="1" x14ac:dyDescent="0.35">
      <c r="A1" s="505" t="s">
        <v>433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7"/>
    </row>
    <row r="2" spans="1:12" ht="15" thickBot="1" x14ac:dyDescent="0.35">
      <c r="B2" s="118" t="s">
        <v>434</v>
      </c>
    </row>
    <row r="3" spans="1:12" ht="24" thickBot="1" x14ac:dyDescent="0.5">
      <c r="A3" s="497" t="s">
        <v>435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9"/>
    </row>
    <row r="4" spans="1:12" ht="15" thickBot="1" x14ac:dyDescent="0.35">
      <c r="B4" s="500" t="s">
        <v>436</v>
      </c>
      <c r="C4" s="501"/>
      <c r="D4" s="501"/>
      <c r="E4" s="501"/>
      <c r="F4" s="502"/>
      <c r="G4"/>
      <c r="H4" s="500" t="s">
        <v>437</v>
      </c>
      <c r="I4" s="501"/>
      <c r="J4" s="501"/>
      <c r="K4" s="501"/>
      <c r="L4" s="502"/>
    </row>
    <row r="5" spans="1:12" ht="43.8" thickBot="1" x14ac:dyDescent="0.35">
      <c r="B5" s="503" t="s">
        <v>438</v>
      </c>
      <c r="C5" s="504"/>
      <c r="D5" s="120" t="s">
        <v>439</v>
      </c>
      <c r="E5" s="120" t="s">
        <v>440</v>
      </c>
      <c r="F5" s="121" t="s">
        <v>441</v>
      </c>
      <c r="G5"/>
      <c r="H5" s="503" t="s">
        <v>438</v>
      </c>
      <c r="I5" s="504"/>
      <c r="J5" s="120" t="s">
        <v>439</v>
      </c>
      <c r="K5" s="120" t="s">
        <v>440</v>
      </c>
      <c r="L5" s="121" t="s">
        <v>441</v>
      </c>
    </row>
    <row r="6" spans="1:12" x14ac:dyDescent="0.3">
      <c r="A6">
        <f>IF(AND($B$29&lt;=C6,$B$29&gt;=B6),100,0)</f>
        <v>0</v>
      </c>
      <c r="B6" s="122">
        <v>1</v>
      </c>
      <c r="C6" s="122">
        <v>3</v>
      </c>
      <c r="D6" s="123">
        <v>100</v>
      </c>
      <c r="E6" s="123">
        <v>2.5</v>
      </c>
      <c r="F6" s="124">
        <v>2</v>
      </c>
      <c r="G6" s="125">
        <f>IF(AND($H$29&lt;=I6,$H$29&gt;=H6),100,0)</f>
        <v>0</v>
      </c>
      <c r="H6" s="122">
        <v>2</v>
      </c>
      <c r="I6" s="122">
        <v>2</v>
      </c>
      <c r="J6" s="123">
        <v>100</v>
      </c>
      <c r="K6" s="123">
        <v>8</v>
      </c>
      <c r="L6" s="124">
        <v>8</v>
      </c>
    </row>
    <row r="7" spans="1:12" x14ac:dyDescent="0.3">
      <c r="A7">
        <f>IF(AND($B$29&lt;=C7,$B$29&gt;=B7),50,0)</f>
        <v>0</v>
      </c>
      <c r="B7" s="126">
        <v>1</v>
      </c>
      <c r="C7" s="126">
        <v>3</v>
      </c>
      <c r="D7" s="127">
        <v>50</v>
      </c>
      <c r="E7" s="127">
        <v>5</v>
      </c>
      <c r="F7" s="128">
        <v>4</v>
      </c>
      <c r="G7" s="125">
        <f>IF(AND($H$29&lt;=I7,$H$29&gt;=H7),50,0)</f>
        <v>0</v>
      </c>
      <c r="H7" s="126">
        <f>H6</f>
        <v>2</v>
      </c>
      <c r="I7" s="126">
        <f>I6</f>
        <v>2</v>
      </c>
      <c r="J7" s="127">
        <v>50</v>
      </c>
      <c r="K7" s="127">
        <v>16</v>
      </c>
      <c r="L7" s="128">
        <v>16</v>
      </c>
    </row>
    <row r="8" spans="1:12" ht="15" thickBot="1" x14ac:dyDescent="0.35">
      <c r="A8">
        <f>IF(AND($B$29&lt;=C8,$B$29&gt;=B8),10,0)</f>
        <v>0</v>
      </c>
      <c r="B8" s="129">
        <v>1</v>
      </c>
      <c r="C8" s="129">
        <v>3</v>
      </c>
      <c r="D8" s="130">
        <v>10</v>
      </c>
      <c r="E8" s="130">
        <v>25</v>
      </c>
      <c r="F8" s="131">
        <v>20</v>
      </c>
      <c r="G8" s="125">
        <f>IF(AND($H$29&lt;=I8,$H$29&gt;=H8),10,0)</f>
        <v>0</v>
      </c>
      <c r="H8" s="129">
        <f>H7</f>
        <v>2</v>
      </c>
      <c r="I8" s="129">
        <f>I7</f>
        <v>2</v>
      </c>
      <c r="J8" s="130">
        <v>10</v>
      </c>
      <c r="K8" s="130">
        <v>25</v>
      </c>
      <c r="L8" s="131">
        <v>20</v>
      </c>
    </row>
    <row r="9" spans="1:12" x14ac:dyDescent="0.3">
      <c r="A9">
        <f>IF(AND($B$29&lt;=C9,$B$29&gt;B9),100,0)</f>
        <v>0</v>
      </c>
      <c r="B9" s="122">
        <v>3</v>
      </c>
      <c r="C9" s="122">
        <v>5</v>
      </c>
      <c r="D9" s="123">
        <v>100</v>
      </c>
      <c r="E9" s="123">
        <v>2.5</v>
      </c>
      <c r="F9" s="124">
        <v>1.5</v>
      </c>
      <c r="G9" s="125">
        <f>IF(AND($H$29&lt;=I9,$H$29&gt;H9),100,0)</f>
        <v>0</v>
      </c>
      <c r="H9" s="122">
        <v>2</v>
      </c>
      <c r="I9" s="122">
        <v>5</v>
      </c>
      <c r="J9" s="123">
        <v>100</v>
      </c>
      <c r="K9" s="123">
        <v>5</v>
      </c>
      <c r="L9" s="124">
        <v>3</v>
      </c>
    </row>
    <row r="10" spans="1:12" x14ac:dyDescent="0.3">
      <c r="A10">
        <f>IF(AND($B$29&lt;=C10,$B$29&gt;B10),50,0)</f>
        <v>0</v>
      </c>
      <c r="B10" s="126">
        <f>B9</f>
        <v>3</v>
      </c>
      <c r="C10" s="126">
        <f>C9</f>
        <v>5</v>
      </c>
      <c r="D10" s="127">
        <v>50</v>
      </c>
      <c r="E10" s="127">
        <v>5</v>
      </c>
      <c r="F10" s="128">
        <v>3</v>
      </c>
      <c r="G10" s="125">
        <f>IF(AND($H$29&lt;=I10,$H$29&gt;H10),50,0)</f>
        <v>0</v>
      </c>
      <c r="H10" s="126">
        <f>H9</f>
        <v>2</v>
      </c>
      <c r="I10" s="126">
        <f>I9</f>
        <v>5</v>
      </c>
      <c r="J10" s="127">
        <v>50</v>
      </c>
      <c r="K10" s="127">
        <v>10</v>
      </c>
      <c r="L10" s="128">
        <v>6</v>
      </c>
    </row>
    <row r="11" spans="1:12" ht="15" thickBot="1" x14ac:dyDescent="0.35">
      <c r="A11">
        <f>IF(AND($B$29&lt;=C11,$B$29&gt;B11),10,0)</f>
        <v>0</v>
      </c>
      <c r="B11" s="129">
        <f>B10</f>
        <v>3</v>
      </c>
      <c r="C11" s="129">
        <f>C10</f>
        <v>5</v>
      </c>
      <c r="D11" s="130">
        <v>10</v>
      </c>
      <c r="E11" s="130">
        <v>25</v>
      </c>
      <c r="F11" s="131">
        <v>15</v>
      </c>
      <c r="G11" s="125">
        <f>IF(AND($H$29&lt;=I11,$H$29&gt;H11),10,0)</f>
        <v>0</v>
      </c>
      <c r="H11" s="129">
        <f>H10</f>
        <v>2</v>
      </c>
      <c r="I11" s="129">
        <f>I10</f>
        <v>5</v>
      </c>
      <c r="J11" s="130">
        <v>10</v>
      </c>
      <c r="K11" s="130">
        <v>25</v>
      </c>
      <c r="L11" s="131">
        <v>25</v>
      </c>
    </row>
    <row r="12" spans="1:12" x14ac:dyDescent="0.3">
      <c r="A12">
        <f>IF(AND($B$29&lt;=C12,$B$29&gt;B12),100,0)</f>
        <v>0</v>
      </c>
      <c r="B12" s="122">
        <v>5</v>
      </c>
      <c r="C12" s="122">
        <v>10</v>
      </c>
      <c r="D12" s="123">
        <v>100</v>
      </c>
      <c r="E12" s="123">
        <v>1.2</v>
      </c>
      <c r="F12" s="124">
        <v>0.8</v>
      </c>
      <c r="G12" s="125">
        <f>IF(AND($H$29&lt;=I12,$H$29&gt;H12),100,0)</f>
        <v>0</v>
      </c>
      <c r="H12" s="122">
        <v>5</v>
      </c>
      <c r="I12" s="122">
        <v>10</v>
      </c>
      <c r="J12" s="123">
        <v>100</v>
      </c>
      <c r="K12" s="123">
        <v>2.4</v>
      </c>
      <c r="L12" s="124">
        <v>1.6</v>
      </c>
    </row>
    <row r="13" spans="1:12" x14ac:dyDescent="0.3">
      <c r="A13">
        <f>IF(AND($B$29&lt;=C13,$B$29&gt;B13),50,0)</f>
        <v>0</v>
      </c>
      <c r="B13" s="126">
        <f>B12</f>
        <v>5</v>
      </c>
      <c r="C13" s="126">
        <f>C12</f>
        <v>10</v>
      </c>
      <c r="D13" s="127">
        <v>50</v>
      </c>
      <c r="E13" s="127">
        <v>2.4</v>
      </c>
      <c r="F13" s="128">
        <v>1.6</v>
      </c>
      <c r="G13" s="125">
        <f>IF(AND($H$29&lt;=I13,$H$29&gt;H13),50,0)</f>
        <v>0</v>
      </c>
      <c r="H13" s="126">
        <f>H12</f>
        <v>5</v>
      </c>
      <c r="I13" s="126">
        <f>I12</f>
        <v>10</v>
      </c>
      <c r="J13" s="127">
        <v>50</v>
      </c>
      <c r="K13" s="127">
        <v>4.8</v>
      </c>
      <c r="L13" s="128">
        <v>3.2</v>
      </c>
    </row>
    <row r="14" spans="1:12" ht="15" thickBot="1" x14ac:dyDescent="0.35">
      <c r="A14">
        <f>IF(AND($B$29&lt;=C14,$B$29&gt;B14),10,0)</f>
        <v>0</v>
      </c>
      <c r="B14" s="129">
        <f>B13</f>
        <v>5</v>
      </c>
      <c r="C14" s="129">
        <f>C13</f>
        <v>10</v>
      </c>
      <c r="D14" s="130">
        <v>10</v>
      </c>
      <c r="E14" s="130">
        <v>12</v>
      </c>
      <c r="F14" s="131">
        <v>8</v>
      </c>
      <c r="G14" s="125">
        <f>IF(AND($H$29&lt;=I14,$H$29&gt;H14),10,0)</f>
        <v>0</v>
      </c>
      <c r="H14" s="129">
        <f>H13</f>
        <v>5</v>
      </c>
      <c r="I14" s="129">
        <f>I13</f>
        <v>10</v>
      </c>
      <c r="J14" s="130">
        <v>10</v>
      </c>
      <c r="K14" s="130">
        <v>24</v>
      </c>
      <c r="L14" s="131">
        <v>16</v>
      </c>
    </row>
    <row r="15" spans="1:12" x14ac:dyDescent="0.3">
      <c r="A15">
        <f>IF(AND($B$29&lt;=C15,$B$29&gt;B15),100,0)</f>
        <v>0</v>
      </c>
      <c r="B15" s="122">
        <v>10</v>
      </c>
      <c r="C15" s="122">
        <v>50</v>
      </c>
      <c r="D15" s="123">
        <v>100</v>
      </c>
      <c r="E15" s="123">
        <v>1</v>
      </c>
      <c r="F15" s="124">
        <v>0.5</v>
      </c>
      <c r="G15" s="125">
        <f>IF(AND($H$29&lt;=I15,$H$29&gt;H15),100,0)</f>
        <v>0</v>
      </c>
      <c r="H15" s="122">
        <v>10</v>
      </c>
      <c r="I15" s="122">
        <v>20</v>
      </c>
      <c r="J15" s="123">
        <v>100</v>
      </c>
      <c r="K15" s="123">
        <v>2</v>
      </c>
      <c r="L15" s="124">
        <v>1</v>
      </c>
    </row>
    <row r="16" spans="1:12" x14ac:dyDescent="0.3">
      <c r="A16">
        <f>IF(AND($B$29&lt;=C16,$B$29&gt;B16),50,0)</f>
        <v>0</v>
      </c>
      <c r="B16" s="126">
        <f>B15</f>
        <v>10</v>
      </c>
      <c r="C16" s="126">
        <f>C15</f>
        <v>50</v>
      </c>
      <c r="D16" s="127">
        <v>50</v>
      </c>
      <c r="E16" s="127">
        <v>2</v>
      </c>
      <c r="F16" s="128">
        <v>1</v>
      </c>
      <c r="G16" s="125">
        <f>IF(AND($H$29&lt;=I16,$H$29&gt;H16),50,0)</f>
        <v>0</v>
      </c>
      <c r="H16" s="126">
        <f>H15</f>
        <v>10</v>
      </c>
      <c r="I16" s="126">
        <f>I15</f>
        <v>20</v>
      </c>
      <c r="J16" s="127">
        <v>50</v>
      </c>
      <c r="K16" s="127">
        <v>4</v>
      </c>
      <c r="L16" s="128">
        <v>2</v>
      </c>
    </row>
    <row r="17" spans="1:12" ht="15" thickBot="1" x14ac:dyDescent="0.35">
      <c r="A17">
        <f>IF(AND($B$29&lt;=C17,$B$29&gt;B17),10,0)</f>
        <v>0</v>
      </c>
      <c r="B17" s="129">
        <f>B16</f>
        <v>10</v>
      </c>
      <c r="C17" s="129">
        <f>C16</f>
        <v>50</v>
      </c>
      <c r="D17" s="130">
        <v>10</v>
      </c>
      <c r="E17" s="130">
        <v>10</v>
      </c>
      <c r="F17" s="131">
        <v>5</v>
      </c>
      <c r="G17" s="125">
        <f>IF(AND($H$29&lt;=I17,$H$29&gt;H17),10,0)</f>
        <v>0</v>
      </c>
      <c r="H17" s="129">
        <f>H16</f>
        <v>10</v>
      </c>
      <c r="I17" s="129">
        <f>I16</f>
        <v>20</v>
      </c>
      <c r="J17" s="130">
        <v>10</v>
      </c>
      <c r="K17" s="130">
        <v>20</v>
      </c>
      <c r="L17" s="131">
        <v>10</v>
      </c>
    </row>
    <row r="18" spans="1:12" x14ac:dyDescent="0.3">
      <c r="A18">
        <f>IF(AND($B$29&lt;=C18,$B$29&gt;B18),100,0)</f>
        <v>100</v>
      </c>
      <c r="B18" s="122">
        <v>50</v>
      </c>
      <c r="C18" s="122">
        <v>5000</v>
      </c>
      <c r="D18" s="123">
        <v>100</v>
      </c>
      <c r="E18" s="123">
        <v>0.8</v>
      </c>
      <c r="F18" s="124">
        <v>0.3</v>
      </c>
      <c r="G18" s="125">
        <f>IF(AND($H$29&lt;=I18,$H$29&gt;H18),100,0)</f>
        <v>0</v>
      </c>
      <c r="H18" s="122">
        <v>20</v>
      </c>
      <c r="I18" s="122">
        <v>50</v>
      </c>
      <c r="J18" s="123">
        <v>100</v>
      </c>
      <c r="K18" s="123">
        <v>2</v>
      </c>
      <c r="L18" s="124">
        <v>0.8</v>
      </c>
    </row>
    <row r="19" spans="1:12" x14ac:dyDescent="0.3">
      <c r="A19">
        <f>IF(AND($B$29&lt;=C19,$B$29&gt;B19),50,0)</f>
        <v>50</v>
      </c>
      <c r="B19" s="126">
        <f>B18</f>
        <v>50</v>
      </c>
      <c r="C19" s="126">
        <f>C18</f>
        <v>5000</v>
      </c>
      <c r="D19" s="127">
        <v>50</v>
      </c>
      <c r="E19" s="127">
        <v>1.6</v>
      </c>
      <c r="F19" s="128">
        <v>0.6</v>
      </c>
      <c r="G19" s="125">
        <f>IF(AND($H$29&lt;=I19,$H$29&gt;H19),50,0)</f>
        <v>0</v>
      </c>
      <c r="H19" s="126">
        <f>H18</f>
        <v>20</v>
      </c>
      <c r="I19" s="126">
        <f>I18</f>
        <v>50</v>
      </c>
      <c r="J19" s="127">
        <v>50</v>
      </c>
      <c r="K19" s="127">
        <v>4</v>
      </c>
      <c r="L19" s="128">
        <v>1.6</v>
      </c>
    </row>
    <row r="20" spans="1:12" ht="15" thickBot="1" x14ac:dyDescent="0.35">
      <c r="A20">
        <f>IF(AND($B$29&lt;=C20,$B$29&gt;B20),10,0)</f>
        <v>10</v>
      </c>
      <c r="B20" s="129">
        <f>B19</f>
        <v>50</v>
      </c>
      <c r="C20" s="129">
        <f>C19</f>
        <v>5000</v>
      </c>
      <c r="D20" s="130">
        <v>10</v>
      </c>
      <c r="E20" s="130">
        <v>8</v>
      </c>
      <c r="F20" s="131">
        <v>3</v>
      </c>
      <c r="G20" s="125">
        <f>IF(AND($H$29&lt;=I20,$H$29&gt;H20),10,0)</f>
        <v>0</v>
      </c>
      <c r="H20" s="129">
        <f>H19</f>
        <v>20</v>
      </c>
      <c r="I20" s="129">
        <f>I19</f>
        <v>50</v>
      </c>
      <c r="J20" s="130">
        <v>10</v>
      </c>
      <c r="K20" s="130">
        <v>20</v>
      </c>
      <c r="L20" s="131">
        <v>8</v>
      </c>
    </row>
    <row r="21" spans="1:12" x14ac:dyDescent="0.3">
      <c r="A21">
        <f>IF(AND($B$29&lt;=C21,$B$29&gt;B21),100,0)</f>
        <v>0</v>
      </c>
      <c r="B21" s="122">
        <v>5000</v>
      </c>
      <c r="C21" s="122">
        <v>20000</v>
      </c>
      <c r="D21" s="123">
        <v>100</v>
      </c>
      <c r="E21" s="123">
        <v>0.6</v>
      </c>
      <c r="F21" s="124">
        <v>0.3</v>
      </c>
      <c r="G21" s="125">
        <f>IF(AND($H$29&lt;=I21,$H$29&gt;H21),100,0)</f>
        <v>100</v>
      </c>
      <c r="H21" s="122">
        <v>50</v>
      </c>
      <c r="I21" s="122">
        <v>2000</v>
      </c>
      <c r="J21" s="123">
        <v>100</v>
      </c>
      <c r="K21" s="123">
        <v>1.6</v>
      </c>
      <c r="L21" s="124">
        <v>0.6</v>
      </c>
    </row>
    <row r="22" spans="1:12" x14ac:dyDescent="0.3">
      <c r="A22">
        <f>IF(AND($B$29&lt;=C22,$B$29&gt;B22),50,0)</f>
        <v>0</v>
      </c>
      <c r="B22" s="126">
        <f>B21</f>
        <v>5000</v>
      </c>
      <c r="C22" s="126">
        <f>C21</f>
        <v>20000</v>
      </c>
      <c r="D22" s="127">
        <v>50</v>
      </c>
      <c r="E22" s="127">
        <v>1.2</v>
      </c>
      <c r="F22" s="128">
        <v>0.6</v>
      </c>
      <c r="G22" s="125">
        <f>IF(AND($H$29&lt;=I22,$H$29&gt;H22),50,0)</f>
        <v>50</v>
      </c>
      <c r="H22" s="126">
        <f>H21</f>
        <v>50</v>
      </c>
      <c r="I22" s="126">
        <f>I21</f>
        <v>2000</v>
      </c>
      <c r="J22" s="127">
        <v>50</v>
      </c>
      <c r="K22" s="127">
        <v>3.2</v>
      </c>
      <c r="L22" s="128">
        <v>1.2</v>
      </c>
    </row>
    <row r="23" spans="1:12" ht="15" thickBot="1" x14ac:dyDescent="0.35">
      <c r="A23">
        <f>IF(AND($B$29&lt;=C23,$B$29&gt;B23),10,0)</f>
        <v>0</v>
      </c>
      <c r="B23" s="129">
        <f>B22</f>
        <v>5000</v>
      </c>
      <c r="C23" s="129">
        <f>C22</f>
        <v>20000</v>
      </c>
      <c r="D23" s="130">
        <v>10</v>
      </c>
      <c r="E23" s="130">
        <v>6</v>
      </c>
      <c r="F23" s="131">
        <v>3</v>
      </c>
      <c r="G23" s="125">
        <f>IF(AND($H$29&lt;=I23,$H$29&gt;H23),10,0)</f>
        <v>10</v>
      </c>
      <c r="H23" s="129">
        <f>H22</f>
        <v>50</v>
      </c>
      <c r="I23" s="129">
        <f>I22</f>
        <v>2000</v>
      </c>
      <c r="J23" s="130">
        <v>10</v>
      </c>
      <c r="K23" s="130">
        <v>16</v>
      </c>
      <c r="L23" s="131">
        <v>6</v>
      </c>
    </row>
    <row r="24" spans="1:12" ht="15" hidden="1" thickBot="1" x14ac:dyDescent="0.35">
      <c r="A24">
        <v>1</v>
      </c>
      <c r="B24" s="119">
        <v>2</v>
      </c>
      <c r="C24">
        <v>3</v>
      </c>
      <c r="D24" s="119">
        <v>4</v>
      </c>
      <c r="E24">
        <v>5</v>
      </c>
      <c r="F24" s="119">
        <v>6</v>
      </c>
      <c r="G24" s="119">
        <v>1</v>
      </c>
      <c r="H24">
        <v>2</v>
      </c>
      <c r="I24" s="119">
        <v>3</v>
      </c>
      <c r="J24">
        <v>4</v>
      </c>
      <c r="K24" s="119">
        <v>5</v>
      </c>
      <c r="L24">
        <v>6</v>
      </c>
    </row>
    <row r="25" spans="1:12" ht="15" thickBot="1" x14ac:dyDescent="0.35">
      <c r="B25" s="492" t="s">
        <v>442</v>
      </c>
      <c r="C25" s="493"/>
      <c r="D25" s="493"/>
      <c r="E25" s="494"/>
      <c r="H25" s="492" t="s">
        <v>443</v>
      </c>
      <c r="I25" s="493"/>
      <c r="J25" s="493"/>
      <c r="K25" s="494"/>
      <c r="L25"/>
    </row>
    <row r="26" spans="1:12" x14ac:dyDescent="0.3">
      <c r="B26" s="132" t="s">
        <v>257</v>
      </c>
      <c r="C26"/>
      <c r="E26"/>
      <c r="H26" s="132" t="s">
        <v>257</v>
      </c>
      <c r="I26"/>
      <c r="K26"/>
      <c r="L26"/>
    </row>
    <row r="27" spans="1:12" ht="15" thickBot="1" x14ac:dyDescent="0.35">
      <c r="B27" s="133" t="s">
        <v>444</v>
      </c>
      <c r="C27"/>
      <c r="E27"/>
      <c r="H27" s="133" t="s">
        <v>444</v>
      </c>
      <c r="I27"/>
      <c r="K27"/>
      <c r="L27"/>
    </row>
    <row r="28" spans="1:12" ht="15" thickBot="1" x14ac:dyDescent="0.35">
      <c r="B28" s="134" t="s">
        <v>438</v>
      </c>
      <c r="C28" s="135" t="str">
        <f>IF(B27="Fixo","N/A","Ponto 1")</f>
        <v>Ponto 1</v>
      </c>
      <c r="D28" s="135" t="str">
        <f>IF(B27="Fixo","N/A","Ponto 2")</f>
        <v>Ponto 2</v>
      </c>
      <c r="E28" s="136" t="str">
        <f>IF(B27="Fixo","Ponto Fixo","Ponto 3")</f>
        <v>Ponto 3</v>
      </c>
      <c r="H28" s="134" t="s">
        <v>438</v>
      </c>
      <c r="I28" s="135" t="str">
        <f>IF(H27="Fixo","N/A","Ponto 1")</f>
        <v>Ponto 1</v>
      </c>
      <c r="J28" s="135" t="str">
        <f>IF(H27="Fixo","N/A","Ponto 2")</f>
        <v>Ponto 2</v>
      </c>
      <c r="K28" s="136" t="str">
        <f>IF(H27="Fixo","Ponto Fixo","Ponto 3")</f>
        <v>Ponto 3</v>
      </c>
    </row>
    <row r="29" spans="1:12" ht="15" thickBot="1" x14ac:dyDescent="0.35">
      <c r="B29" s="137">
        <f>B62</f>
        <v>1000</v>
      </c>
      <c r="C29" s="138">
        <f>IF(B27="Fixo","N/A",B29*0.1)</f>
        <v>100</v>
      </c>
      <c r="D29" s="139">
        <f>IF(B27="Fixo","N/A",B29*0.5)</f>
        <v>500</v>
      </c>
      <c r="E29" s="140">
        <f>B29*1</f>
        <v>1000</v>
      </c>
      <c r="H29" s="141">
        <f>B29</f>
        <v>1000</v>
      </c>
      <c r="I29" s="142">
        <f>IF(H27="Fixo","N/A",H29*0.1)</f>
        <v>100</v>
      </c>
      <c r="J29" s="139">
        <f>IF(H27="Fixo","N/A",H29*0.5)</f>
        <v>500</v>
      </c>
      <c r="K29" s="140">
        <f>H29*1</f>
        <v>1000</v>
      </c>
    </row>
    <row r="30" spans="1:12" ht="29.4" thickBot="1" x14ac:dyDescent="0.35">
      <c r="B30" s="143" t="s">
        <v>445</v>
      </c>
      <c r="C30" s="139">
        <f>IF(B27="Fixo","N/A",10)</f>
        <v>10</v>
      </c>
      <c r="D30" s="139">
        <f>IF(B27="Fixo","N/A",50)</f>
        <v>50</v>
      </c>
      <c r="E30" s="140">
        <v>100</v>
      </c>
      <c r="H30" s="143" t="s">
        <v>445</v>
      </c>
      <c r="I30" s="139">
        <f>IF(H27="Fixo","N/A",10)</f>
        <v>10</v>
      </c>
      <c r="J30" s="139">
        <f>IF(H27="Fixo","N/A",50)</f>
        <v>50</v>
      </c>
      <c r="K30" s="140">
        <v>100</v>
      </c>
    </row>
    <row r="31" spans="1:12" ht="28.8" x14ac:dyDescent="0.3">
      <c r="B31" s="144" t="s">
        <v>446</v>
      </c>
      <c r="C31" s="145">
        <f>IF(B27="Fixo","N/A",VLOOKUP(C30,$A$6:$F$23,$E$24,FALSE))</f>
        <v>8</v>
      </c>
      <c r="D31" s="145">
        <f>IF(B27="Fixo","N/A",VLOOKUP(D30,$A$6:$F$23,$E$24,FALSE))</f>
        <v>1.6</v>
      </c>
      <c r="E31" s="146">
        <f>VLOOKUP(E30,$A$6:$F$23,$E$24,FALSE)</f>
        <v>0.8</v>
      </c>
      <c r="H31" s="144" t="s">
        <v>446</v>
      </c>
      <c r="I31" s="145">
        <f>IF($H$27="Fixo","N/A",VLOOKUP(I30,$G$6:$L$23,$K$24,FALSE))</f>
        <v>16</v>
      </c>
      <c r="J31" s="145">
        <f>IF($H$27="Fixo","N/A",VLOOKUP(J30,$G$6:$L$23,$K$24,FALSE))</f>
        <v>3.2</v>
      </c>
      <c r="K31" s="146">
        <f>IF($H$27="Fixo","N/A",VLOOKUP(K30,$G$6:$L$23,$K$24,FALSE))</f>
        <v>1.6</v>
      </c>
    </row>
    <row r="32" spans="1:12" ht="36.6" thickBot="1" x14ac:dyDescent="0.35">
      <c r="B32" s="147" t="s">
        <v>447</v>
      </c>
      <c r="C32" s="148">
        <f>IF(B27="Fixo","N/A",C29*C31%)</f>
        <v>8</v>
      </c>
      <c r="D32" s="148">
        <f>IF(B27="Fixo","N/A",D29*D31%)</f>
        <v>8</v>
      </c>
      <c r="E32" s="149">
        <f>E29*E31%</f>
        <v>8</v>
      </c>
      <c r="H32" s="147" t="s">
        <v>447</v>
      </c>
      <c r="I32" s="148">
        <f>IF(H27="Fixo","N/A",I29*I31%)</f>
        <v>16</v>
      </c>
      <c r="J32" s="148">
        <f>IF(H27="Fixo","N/A",J29*J31%)</f>
        <v>16</v>
      </c>
      <c r="K32" s="149">
        <f>K29*K31%</f>
        <v>16</v>
      </c>
    </row>
    <row r="33" spans="1:12" ht="28.8" x14ac:dyDescent="0.3">
      <c r="B33" s="144" t="s">
        <v>448</v>
      </c>
      <c r="C33" s="145">
        <f>IF(B27="Fixo","N/A",VLOOKUP(C30,$A$6:$F$23,$F$24,FALSE))</f>
        <v>3</v>
      </c>
      <c r="D33" s="145">
        <f>IF(B27="Fixo","N/A",VLOOKUP(D30,$A$6:$F$23,$F$24,FALSE))</f>
        <v>0.6</v>
      </c>
      <c r="E33" s="146">
        <f>VLOOKUP(E30,$A$6:$F$23,$F$24,FALSE)</f>
        <v>0.3</v>
      </c>
      <c r="H33" s="144" t="s">
        <v>448</v>
      </c>
      <c r="I33" s="145">
        <f>IF($H$27="Fixo","N/A",VLOOKUP(I30,$G$6:$L$23,$L$24,FALSE))</f>
        <v>6</v>
      </c>
      <c r="J33" s="145">
        <f>IF($H$27="Fixo","N/A",VLOOKUP(J30,$G$6:$L$23,$L$24,FALSE))</f>
        <v>1.2</v>
      </c>
      <c r="K33" s="146">
        <f>IF($H$27="Fixo","N/A",VLOOKUP(K30,$G$6:$L$23,$L$24,FALSE))</f>
        <v>0.6</v>
      </c>
    </row>
    <row r="34" spans="1:12" ht="36.6" thickBot="1" x14ac:dyDescent="0.35">
      <c r="B34" s="147" t="s">
        <v>449</v>
      </c>
      <c r="C34" s="148">
        <f>IF(B27="Fixo","N/A",C29*C33%)</f>
        <v>3</v>
      </c>
      <c r="D34" s="148">
        <f>IF(B27="Fixo","N/A",D29*D33%)</f>
        <v>3</v>
      </c>
      <c r="E34" s="149">
        <f>E29*E33%</f>
        <v>3</v>
      </c>
      <c r="H34" s="147" t="s">
        <v>449</v>
      </c>
      <c r="I34" s="148">
        <f>IF(H27="Fixo","N/A",I29*I33%)</f>
        <v>6</v>
      </c>
      <c r="J34" s="148">
        <f>IF(H27="Fixo","N/A",J29*J33%)</f>
        <v>6</v>
      </c>
      <c r="K34" s="149">
        <f>K29*K33%</f>
        <v>6</v>
      </c>
    </row>
    <row r="35" spans="1:12" ht="15" thickBot="1" x14ac:dyDescent="0.35"/>
    <row r="36" spans="1:12" ht="24" thickBot="1" x14ac:dyDescent="0.5">
      <c r="A36" s="497" t="s">
        <v>450</v>
      </c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9"/>
    </row>
    <row r="37" spans="1:12" ht="15" thickBot="1" x14ac:dyDescent="0.35">
      <c r="B37" s="500" t="s">
        <v>436</v>
      </c>
      <c r="C37" s="501"/>
      <c r="D37" s="501"/>
      <c r="E37" s="501"/>
      <c r="F37" s="502"/>
      <c r="G37"/>
      <c r="H37" s="500" t="s">
        <v>437</v>
      </c>
      <c r="I37" s="501"/>
      <c r="J37" s="501"/>
      <c r="K37" s="501"/>
      <c r="L37" s="502"/>
    </row>
    <row r="38" spans="1:12" ht="43.8" thickBot="1" x14ac:dyDescent="0.35">
      <c r="B38" s="503" t="s">
        <v>438</v>
      </c>
      <c r="C38" s="504"/>
      <c r="D38" s="120" t="s">
        <v>439</v>
      </c>
      <c r="E38" s="120" t="s">
        <v>440</v>
      </c>
      <c r="F38" s="121" t="s">
        <v>441</v>
      </c>
      <c r="G38"/>
      <c r="H38" s="503" t="s">
        <v>438</v>
      </c>
      <c r="I38" s="504"/>
      <c r="J38" s="120" t="s">
        <v>439</v>
      </c>
      <c r="K38" s="120" t="s">
        <v>440</v>
      </c>
      <c r="L38" s="121" t="s">
        <v>441</v>
      </c>
    </row>
    <row r="39" spans="1:12" x14ac:dyDescent="0.3">
      <c r="A39">
        <f>IF(AND($B$62&lt;=C39,$B$62&gt;=B39),100,0)</f>
        <v>0</v>
      </c>
      <c r="B39" s="150">
        <v>1</v>
      </c>
      <c r="C39" s="150">
        <v>3</v>
      </c>
      <c r="D39" s="151">
        <v>100</v>
      </c>
      <c r="E39" s="151">
        <v>2.5</v>
      </c>
      <c r="F39" s="152">
        <v>2</v>
      </c>
      <c r="G39">
        <f>IF(AND($H$62&lt;=I39,$H$62&gt;=H39),100,0)</f>
        <v>0</v>
      </c>
      <c r="H39" s="150">
        <v>2</v>
      </c>
      <c r="I39" s="150">
        <v>2</v>
      </c>
      <c r="J39" s="151">
        <v>100</v>
      </c>
      <c r="K39" s="151">
        <v>8</v>
      </c>
      <c r="L39" s="152">
        <v>8</v>
      </c>
    </row>
    <row r="40" spans="1:12" x14ac:dyDescent="0.3">
      <c r="A40">
        <f>IF(AND($B$62&lt;=C40,$B$62&gt;=B40),50,0)</f>
        <v>0</v>
      </c>
      <c r="B40" s="153">
        <v>1</v>
      </c>
      <c r="C40" s="153">
        <v>3</v>
      </c>
      <c r="D40" s="154">
        <v>50</v>
      </c>
      <c r="E40" s="154">
        <v>5</v>
      </c>
      <c r="F40" s="155">
        <v>4</v>
      </c>
      <c r="G40">
        <f>IF(AND($H$62&lt;=I40,$H$62&gt;=H40),50,0)</f>
        <v>0</v>
      </c>
      <c r="H40" s="153">
        <f>H39</f>
        <v>2</v>
      </c>
      <c r="I40" s="153">
        <f>I39</f>
        <v>2</v>
      </c>
      <c r="J40" s="154">
        <v>50</v>
      </c>
      <c r="K40" s="154">
        <v>16</v>
      </c>
      <c r="L40" s="155">
        <v>16</v>
      </c>
    </row>
    <row r="41" spans="1:12" ht="15" thickBot="1" x14ac:dyDescent="0.35">
      <c r="A41">
        <f>IF(AND($B$62&lt;=C41,$B$62&gt;=B41),10,0)</f>
        <v>0</v>
      </c>
      <c r="B41" s="156">
        <v>1</v>
      </c>
      <c r="C41" s="156">
        <v>3</v>
      </c>
      <c r="D41" s="157">
        <v>10</v>
      </c>
      <c r="E41" s="157">
        <v>25</v>
      </c>
      <c r="F41" s="158">
        <v>20</v>
      </c>
      <c r="G41">
        <f>IF(AND($H$62&lt;=I41,$H$62&gt;=H41),10,0)</f>
        <v>0</v>
      </c>
      <c r="H41" s="156">
        <f>H40</f>
        <v>2</v>
      </c>
      <c r="I41" s="156">
        <f>I40</f>
        <v>2</v>
      </c>
      <c r="J41" s="157">
        <v>10</v>
      </c>
      <c r="K41" s="157">
        <v>25</v>
      </c>
      <c r="L41" s="158">
        <v>20</v>
      </c>
    </row>
    <row r="42" spans="1:12" x14ac:dyDescent="0.3">
      <c r="A42">
        <f>IF(AND($B$62&lt;=C42,$B$62&gt;B42),100,0)</f>
        <v>0</v>
      </c>
      <c r="B42" s="150">
        <v>3</v>
      </c>
      <c r="C42" s="150">
        <v>5</v>
      </c>
      <c r="D42" s="151">
        <v>100</v>
      </c>
      <c r="E42" s="151">
        <v>2.5</v>
      </c>
      <c r="F42" s="152">
        <v>1.5</v>
      </c>
      <c r="G42">
        <f>IF(AND($H$62&lt;=I42,$H$62&gt;H42),100,0)</f>
        <v>0</v>
      </c>
      <c r="H42" s="150">
        <v>2</v>
      </c>
      <c r="I42" s="150">
        <v>5</v>
      </c>
      <c r="J42" s="151">
        <v>100</v>
      </c>
      <c r="K42" s="151">
        <v>5</v>
      </c>
      <c r="L42" s="152">
        <v>3</v>
      </c>
    </row>
    <row r="43" spans="1:12" x14ac:dyDescent="0.3">
      <c r="A43">
        <f>IF(AND($B$62&lt;=C43,$B$62&gt;B43),50,0)</f>
        <v>0</v>
      </c>
      <c r="B43" s="153">
        <f>B42</f>
        <v>3</v>
      </c>
      <c r="C43" s="153">
        <f>C42</f>
        <v>5</v>
      </c>
      <c r="D43" s="154">
        <v>50</v>
      </c>
      <c r="E43" s="154">
        <v>5</v>
      </c>
      <c r="F43" s="155">
        <v>3</v>
      </c>
      <c r="G43">
        <f>IF(AND($H$62&lt;=I43,$H$62&gt;H43),50,0)</f>
        <v>0</v>
      </c>
      <c r="H43" s="153">
        <f>H42</f>
        <v>2</v>
      </c>
      <c r="I43" s="153">
        <f>I42</f>
        <v>5</v>
      </c>
      <c r="J43" s="154">
        <v>50</v>
      </c>
      <c r="K43" s="154">
        <v>10</v>
      </c>
      <c r="L43" s="155">
        <v>6</v>
      </c>
    </row>
    <row r="44" spans="1:12" ht="15" thickBot="1" x14ac:dyDescent="0.35">
      <c r="A44">
        <f>IF(AND($B$62&lt;=C44,$B$62&gt;B44),10,0)</f>
        <v>0</v>
      </c>
      <c r="B44" s="156">
        <f>B43</f>
        <v>3</v>
      </c>
      <c r="C44" s="156">
        <f>C43</f>
        <v>5</v>
      </c>
      <c r="D44" s="157">
        <v>10</v>
      </c>
      <c r="E44" s="157">
        <v>25</v>
      </c>
      <c r="F44" s="158">
        <v>15</v>
      </c>
      <c r="G44">
        <f>IF(AND($H$62&lt;=I44,$H$62&gt;H44),10,0)</f>
        <v>0</v>
      </c>
      <c r="H44" s="156">
        <f>H43</f>
        <v>2</v>
      </c>
      <c r="I44" s="156">
        <f>I43</f>
        <v>5</v>
      </c>
      <c r="J44" s="157">
        <v>10</v>
      </c>
      <c r="K44" s="157">
        <v>25</v>
      </c>
      <c r="L44" s="158">
        <v>25</v>
      </c>
    </row>
    <row r="45" spans="1:12" x14ac:dyDescent="0.3">
      <c r="A45">
        <f>IF(AND($B$62&lt;=C45,$B$62&gt;B45),100,0)</f>
        <v>0</v>
      </c>
      <c r="B45" s="150">
        <v>5</v>
      </c>
      <c r="C45" s="150">
        <v>10</v>
      </c>
      <c r="D45" s="151">
        <v>100</v>
      </c>
      <c r="E45" s="151">
        <v>1.2</v>
      </c>
      <c r="F45" s="152">
        <v>0.8</v>
      </c>
      <c r="G45">
        <f t="shared" ref="G45" si="0">IF(AND($H$62&lt;=I45,$H$62&gt;H45),100,0)</f>
        <v>0</v>
      </c>
      <c r="H45" s="150">
        <v>5</v>
      </c>
      <c r="I45" s="150">
        <v>10</v>
      </c>
      <c r="J45" s="151">
        <v>100</v>
      </c>
      <c r="K45" s="151">
        <v>2.4</v>
      </c>
      <c r="L45" s="152">
        <v>1.6</v>
      </c>
    </row>
    <row r="46" spans="1:12" x14ac:dyDescent="0.3">
      <c r="A46">
        <f>IF(AND($B$62&lt;=C46,$B$62&gt;B46),50,0)</f>
        <v>0</v>
      </c>
      <c r="B46" s="153">
        <f>B45</f>
        <v>5</v>
      </c>
      <c r="C46" s="153">
        <f>C45</f>
        <v>10</v>
      </c>
      <c r="D46" s="154">
        <v>50</v>
      </c>
      <c r="E46" s="154">
        <v>2.4</v>
      </c>
      <c r="F46" s="155">
        <v>1.6</v>
      </c>
      <c r="G46">
        <f t="shared" ref="G46" si="1">IF(AND($H$62&lt;=I46,$H$62&gt;H46),50,0)</f>
        <v>0</v>
      </c>
      <c r="H46" s="153">
        <f>H45</f>
        <v>5</v>
      </c>
      <c r="I46" s="153">
        <f>I45</f>
        <v>10</v>
      </c>
      <c r="J46" s="154">
        <v>50</v>
      </c>
      <c r="K46" s="154">
        <v>4.8</v>
      </c>
      <c r="L46" s="155">
        <v>3.2</v>
      </c>
    </row>
    <row r="47" spans="1:12" ht="15" thickBot="1" x14ac:dyDescent="0.35">
      <c r="A47">
        <f>IF(AND($B$62&lt;=C47,$B$62&gt;B47),10,0)</f>
        <v>0</v>
      </c>
      <c r="B47" s="156">
        <f>B46</f>
        <v>5</v>
      </c>
      <c r="C47" s="156">
        <f>C46</f>
        <v>10</v>
      </c>
      <c r="D47" s="157">
        <v>10</v>
      </c>
      <c r="E47" s="157">
        <v>12</v>
      </c>
      <c r="F47" s="158">
        <v>8</v>
      </c>
      <c r="G47">
        <f t="shared" ref="G47" si="2">IF(AND($H$62&lt;=I47,$H$62&gt;H47),10,0)</f>
        <v>0</v>
      </c>
      <c r="H47" s="156">
        <f>H46</f>
        <v>5</v>
      </c>
      <c r="I47" s="156">
        <f>I46</f>
        <v>10</v>
      </c>
      <c r="J47" s="157">
        <v>10</v>
      </c>
      <c r="K47" s="157">
        <v>24</v>
      </c>
      <c r="L47" s="158">
        <v>16</v>
      </c>
    </row>
    <row r="48" spans="1:12" x14ac:dyDescent="0.3">
      <c r="A48">
        <f>IF(AND($B$62&lt;=C48,$B$62&gt;B48),100,0)</f>
        <v>0</v>
      </c>
      <c r="B48" s="150">
        <v>10</v>
      </c>
      <c r="C48" s="150">
        <v>50</v>
      </c>
      <c r="D48" s="151">
        <v>100</v>
      </c>
      <c r="E48" s="151">
        <v>1</v>
      </c>
      <c r="F48" s="152">
        <v>0.5</v>
      </c>
      <c r="G48">
        <f t="shared" ref="G48" si="3">IF(AND($H$62&lt;=I48,$H$62&gt;H48),100,0)</f>
        <v>0</v>
      </c>
      <c r="H48" s="150">
        <v>10</v>
      </c>
      <c r="I48" s="150">
        <v>20</v>
      </c>
      <c r="J48" s="151">
        <v>100</v>
      </c>
      <c r="K48" s="151">
        <v>2</v>
      </c>
      <c r="L48" s="152">
        <v>1</v>
      </c>
    </row>
    <row r="49" spans="1:12" x14ac:dyDescent="0.3">
      <c r="A49">
        <f>IF(AND($B$62&lt;=C49,$B$62&gt;B49),50,0)</f>
        <v>0</v>
      </c>
      <c r="B49" s="153">
        <f>B48</f>
        <v>10</v>
      </c>
      <c r="C49" s="153">
        <f>C48</f>
        <v>50</v>
      </c>
      <c r="D49" s="154">
        <v>50</v>
      </c>
      <c r="E49" s="154">
        <v>2</v>
      </c>
      <c r="F49" s="155">
        <v>1</v>
      </c>
      <c r="G49">
        <f t="shared" ref="G49" si="4">IF(AND($H$62&lt;=I49,$H$62&gt;H49),50,0)</f>
        <v>0</v>
      </c>
      <c r="H49" s="153">
        <f>H48</f>
        <v>10</v>
      </c>
      <c r="I49" s="153">
        <f>I48</f>
        <v>20</v>
      </c>
      <c r="J49" s="154">
        <v>50</v>
      </c>
      <c r="K49" s="154">
        <v>4</v>
      </c>
      <c r="L49" s="155">
        <v>2</v>
      </c>
    </row>
    <row r="50" spans="1:12" ht="15" thickBot="1" x14ac:dyDescent="0.35">
      <c r="A50">
        <f>IF(AND($B$62&lt;=C50,$B$62&gt;B50),10,0)</f>
        <v>0</v>
      </c>
      <c r="B50" s="156">
        <f>B49</f>
        <v>10</v>
      </c>
      <c r="C50" s="156">
        <f>C49</f>
        <v>50</v>
      </c>
      <c r="D50" s="157">
        <v>10</v>
      </c>
      <c r="E50" s="157">
        <v>10</v>
      </c>
      <c r="F50" s="158">
        <v>5</v>
      </c>
      <c r="G50">
        <f t="shared" ref="G50" si="5">IF(AND($H$62&lt;=I50,$H$62&gt;H50),10,0)</f>
        <v>0</v>
      </c>
      <c r="H50" s="156">
        <f>H49</f>
        <v>10</v>
      </c>
      <c r="I50" s="156">
        <f>I49</f>
        <v>20</v>
      </c>
      <c r="J50" s="157">
        <v>10</v>
      </c>
      <c r="K50" s="157">
        <v>20</v>
      </c>
      <c r="L50" s="158">
        <v>10</v>
      </c>
    </row>
    <row r="51" spans="1:12" x14ac:dyDescent="0.3">
      <c r="A51">
        <f>IF(AND($B$62&lt;=C51,$B$62&gt;B51),100,0)</f>
        <v>100</v>
      </c>
      <c r="B51" s="150">
        <v>50</v>
      </c>
      <c r="C51" s="150">
        <v>5000</v>
      </c>
      <c r="D51" s="151">
        <v>100</v>
      </c>
      <c r="E51" s="151">
        <v>0.8</v>
      </c>
      <c r="F51" s="152">
        <v>0.3</v>
      </c>
      <c r="G51">
        <f t="shared" ref="G51" si="6">IF(AND($H$62&lt;=I51,$H$62&gt;H51),100,0)</f>
        <v>0</v>
      </c>
      <c r="H51" s="150">
        <v>20</v>
      </c>
      <c r="I51" s="150">
        <v>50</v>
      </c>
      <c r="J51" s="151">
        <v>100</v>
      </c>
      <c r="K51" s="151">
        <v>2</v>
      </c>
      <c r="L51" s="152">
        <v>0.8</v>
      </c>
    </row>
    <row r="52" spans="1:12" x14ac:dyDescent="0.3">
      <c r="A52">
        <f>IF(AND($B$62&lt;=C52,$B$62&gt;B52),50,0)</f>
        <v>50</v>
      </c>
      <c r="B52" s="153">
        <f>B51</f>
        <v>50</v>
      </c>
      <c r="C52" s="153">
        <f>C51</f>
        <v>5000</v>
      </c>
      <c r="D52" s="154">
        <v>50</v>
      </c>
      <c r="E52" s="154">
        <v>1.6</v>
      </c>
      <c r="F52" s="155">
        <v>0.6</v>
      </c>
      <c r="G52">
        <f t="shared" ref="G52" si="7">IF(AND($H$62&lt;=I52,$H$62&gt;H52),50,0)</f>
        <v>0</v>
      </c>
      <c r="H52" s="153">
        <f>H51</f>
        <v>20</v>
      </c>
      <c r="I52" s="153">
        <f>I51</f>
        <v>50</v>
      </c>
      <c r="J52" s="154">
        <v>50</v>
      </c>
      <c r="K52" s="154">
        <v>4</v>
      </c>
      <c r="L52" s="155">
        <v>1.6</v>
      </c>
    </row>
    <row r="53" spans="1:12" ht="15" thickBot="1" x14ac:dyDescent="0.35">
      <c r="A53">
        <f>IF(AND($B$62&lt;=C53,$B$62&gt;B53),10,0)</f>
        <v>10</v>
      </c>
      <c r="B53" s="156">
        <f>B52</f>
        <v>50</v>
      </c>
      <c r="C53" s="156">
        <f>C52</f>
        <v>5000</v>
      </c>
      <c r="D53" s="157">
        <v>10</v>
      </c>
      <c r="E53" s="157">
        <v>8</v>
      </c>
      <c r="F53" s="158">
        <v>3</v>
      </c>
      <c r="G53">
        <f t="shared" ref="G53" si="8">IF(AND($H$62&lt;=I53,$H$62&gt;H53),10,0)</f>
        <v>0</v>
      </c>
      <c r="H53" s="156">
        <f>H52</f>
        <v>20</v>
      </c>
      <c r="I53" s="156">
        <f>I52</f>
        <v>50</v>
      </c>
      <c r="J53" s="157">
        <v>10</v>
      </c>
      <c r="K53" s="157">
        <v>20</v>
      </c>
      <c r="L53" s="158">
        <v>8</v>
      </c>
    </row>
    <row r="54" spans="1:12" x14ac:dyDescent="0.3">
      <c r="A54">
        <f>IF(AND($B$62&lt;=C54,$B$62&gt;B54),100,0)</f>
        <v>0</v>
      </c>
      <c r="B54" s="150">
        <v>5000</v>
      </c>
      <c r="C54" s="150">
        <v>20000</v>
      </c>
      <c r="D54" s="151">
        <v>100</v>
      </c>
      <c r="E54" s="151">
        <v>0.6</v>
      </c>
      <c r="F54" s="152">
        <v>0.3</v>
      </c>
      <c r="G54">
        <f t="shared" ref="G54" si="9">IF(AND($H$62&lt;=I54,$H$62&gt;H54),100,0)</f>
        <v>100</v>
      </c>
      <c r="H54" s="150">
        <v>50</v>
      </c>
      <c r="I54" s="150">
        <v>2000</v>
      </c>
      <c r="J54" s="151">
        <v>100</v>
      </c>
      <c r="K54" s="151">
        <v>1.6</v>
      </c>
      <c r="L54" s="152">
        <v>0.6</v>
      </c>
    </row>
    <row r="55" spans="1:12" x14ac:dyDescent="0.3">
      <c r="A55">
        <f>IF(AND($B$62&lt;=C55,$B$62&gt;B55),50,0)</f>
        <v>0</v>
      </c>
      <c r="B55" s="153">
        <f>B54</f>
        <v>5000</v>
      </c>
      <c r="C55" s="153">
        <f>C54</f>
        <v>20000</v>
      </c>
      <c r="D55" s="154">
        <v>50</v>
      </c>
      <c r="E55" s="154">
        <v>1.2</v>
      </c>
      <c r="F55" s="155">
        <v>0.6</v>
      </c>
      <c r="G55">
        <f t="shared" ref="G55" si="10">IF(AND($H$62&lt;=I55,$H$62&gt;H55),50,0)</f>
        <v>50</v>
      </c>
      <c r="H55" s="153">
        <f>H54</f>
        <v>50</v>
      </c>
      <c r="I55" s="153">
        <f>I54</f>
        <v>2000</v>
      </c>
      <c r="J55" s="154">
        <v>50</v>
      </c>
      <c r="K55" s="154">
        <v>3.2</v>
      </c>
      <c r="L55" s="155">
        <v>1.2</v>
      </c>
    </row>
    <row r="56" spans="1:12" ht="15" thickBot="1" x14ac:dyDescent="0.35">
      <c r="A56">
        <f>IF(AND($B$62&lt;=C56,$B$62&gt;B56),10,0)</f>
        <v>0</v>
      </c>
      <c r="B56" s="156">
        <f>B55</f>
        <v>5000</v>
      </c>
      <c r="C56" s="156">
        <f>C55</f>
        <v>20000</v>
      </c>
      <c r="D56" s="157">
        <v>10</v>
      </c>
      <c r="E56" s="157">
        <v>6</v>
      </c>
      <c r="F56" s="158">
        <v>3</v>
      </c>
      <c r="G56">
        <f t="shared" ref="G56" si="11">IF(AND($H$62&lt;=I56,$H$62&gt;H56),10,0)</f>
        <v>10</v>
      </c>
      <c r="H56" s="156">
        <f>H55</f>
        <v>50</v>
      </c>
      <c r="I56" s="156">
        <f>I55</f>
        <v>2000</v>
      </c>
      <c r="J56" s="157">
        <v>10</v>
      </c>
      <c r="K56" s="157">
        <v>16</v>
      </c>
      <c r="L56" s="158">
        <v>6</v>
      </c>
    </row>
    <row r="57" spans="1:12" ht="15" thickBot="1" x14ac:dyDescent="0.35">
      <c r="A57">
        <v>1</v>
      </c>
      <c r="B57" s="119">
        <v>2</v>
      </c>
      <c r="C57">
        <v>3</v>
      </c>
      <c r="D57" s="119">
        <v>4</v>
      </c>
      <c r="E57">
        <v>5</v>
      </c>
      <c r="F57" s="119">
        <v>6</v>
      </c>
      <c r="G57" s="119">
        <v>1</v>
      </c>
      <c r="H57">
        <v>2</v>
      </c>
      <c r="I57" s="119">
        <v>3</v>
      </c>
      <c r="J57">
        <v>4</v>
      </c>
      <c r="K57" s="119">
        <v>5</v>
      </c>
      <c r="L57">
        <v>6</v>
      </c>
    </row>
    <row r="58" spans="1:12" ht="30.75" customHeight="1" thickBot="1" x14ac:dyDescent="0.35">
      <c r="B58" s="492" t="s">
        <v>451</v>
      </c>
      <c r="C58" s="493"/>
      <c r="D58" s="493"/>
      <c r="E58" s="494"/>
      <c r="H58" s="492" t="s">
        <v>452</v>
      </c>
      <c r="I58" s="493"/>
      <c r="J58" s="493"/>
      <c r="K58" s="494"/>
      <c r="L58"/>
    </row>
    <row r="59" spans="1:12" x14ac:dyDescent="0.3">
      <c r="B59" s="132" t="s">
        <v>257</v>
      </c>
      <c r="C59"/>
      <c r="E59"/>
      <c r="H59" s="132" t="s">
        <v>257</v>
      </c>
      <c r="I59"/>
      <c r="K59"/>
      <c r="L59"/>
    </row>
    <row r="60" spans="1:12" ht="15" thickBot="1" x14ac:dyDescent="0.35">
      <c r="B60" s="159" t="s">
        <v>444</v>
      </c>
      <c r="C60"/>
      <c r="E60"/>
      <c r="H60" s="159" t="s">
        <v>444</v>
      </c>
      <c r="I60"/>
      <c r="K60"/>
      <c r="L60"/>
    </row>
    <row r="61" spans="1:12" ht="45" thickBot="1" x14ac:dyDescent="0.35">
      <c r="B61" s="143" t="s">
        <v>453</v>
      </c>
      <c r="C61" s="160" t="s">
        <v>454</v>
      </c>
      <c r="E61"/>
      <c r="H61" s="143" t="s">
        <v>453</v>
      </c>
      <c r="I61" s="160" t="s">
        <v>454</v>
      </c>
      <c r="K61"/>
    </row>
    <row r="62" spans="1:12" ht="15" thickBot="1" x14ac:dyDescent="0.35">
      <c r="B62" s="137">
        <f>$B$77</f>
        <v>1000</v>
      </c>
      <c r="C62" s="141">
        <v>1</v>
      </c>
      <c r="E62"/>
      <c r="H62" s="137">
        <f>B62</f>
        <v>1000</v>
      </c>
      <c r="I62" s="141">
        <v>300</v>
      </c>
      <c r="K62"/>
    </row>
    <row r="63" spans="1:12" ht="43.8" thickBot="1" x14ac:dyDescent="0.35">
      <c r="B63" s="143" t="s">
        <v>455</v>
      </c>
      <c r="C63" s="161" t="str">
        <f>IF(C62/B62&lt;0.1,"Valor Abaixo de 10% - Não Válido",B62/B62*100)</f>
        <v>Valor Abaixo de 10% - Não Válido</v>
      </c>
      <c r="E63"/>
      <c r="H63" s="143" t="s">
        <v>455</v>
      </c>
      <c r="I63" s="161">
        <f>IF(I62/H62&lt;0.1,"Valor Abaixo de 10% - Não Válido",H62/H62*100)</f>
        <v>100</v>
      </c>
      <c r="K63"/>
    </row>
    <row r="64" spans="1:12" ht="45" thickBot="1" x14ac:dyDescent="0.35">
      <c r="B64" s="144" t="s">
        <v>456</v>
      </c>
      <c r="C64" s="146" t="e">
        <f>VLOOKUP(C63,$A$39:$F$56,$E$57,FALSE)</f>
        <v>#N/A</v>
      </c>
      <c r="E64"/>
      <c r="H64" s="144" t="s">
        <v>456</v>
      </c>
      <c r="I64" s="146">
        <f>VLOOKUP(I63,$G$39:$L$56,$K$57,FALSE)</f>
        <v>1.6</v>
      </c>
      <c r="K64"/>
    </row>
    <row r="65" spans="1:34" ht="45" thickBot="1" x14ac:dyDescent="0.35">
      <c r="B65" s="144" t="s">
        <v>457</v>
      </c>
      <c r="C65" s="146" t="e">
        <f>B62/C62*C64</f>
        <v>#N/A</v>
      </c>
      <c r="E65"/>
      <c r="H65" s="144" t="s">
        <v>457</v>
      </c>
      <c r="I65" s="146">
        <f>H62/I62*I64</f>
        <v>5.3333333333333339</v>
      </c>
      <c r="K65"/>
    </row>
    <row r="66" spans="1:34" ht="75" thickBot="1" x14ac:dyDescent="0.35">
      <c r="B66" s="162" t="s">
        <v>458</v>
      </c>
      <c r="C66" s="149" t="e">
        <f>C62*C65%</f>
        <v>#N/A</v>
      </c>
      <c r="E66"/>
      <c r="H66" s="162" t="s">
        <v>458</v>
      </c>
      <c r="I66" s="149">
        <f>I62*I65%</f>
        <v>16</v>
      </c>
      <c r="K66"/>
    </row>
    <row r="67" spans="1:34" ht="30.6" thickBot="1" x14ac:dyDescent="0.35">
      <c r="B67" s="144" t="s">
        <v>459</v>
      </c>
      <c r="C67" s="146" t="e">
        <f>VLOOKUP(C63,$A$39:$F$56,$F$57,FALSE)</f>
        <v>#N/A</v>
      </c>
      <c r="E67"/>
      <c r="H67" s="144" t="s">
        <v>459</v>
      </c>
      <c r="I67" s="146">
        <f>VLOOKUP(I63,$G$39:$L$56,$L$57,FALSE)</f>
        <v>0.6</v>
      </c>
      <c r="K67"/>
    </row>
    <row r="68" spans="1:34" ht="30" x14ac:dyDescent="0.3">
      <c r="B68" s="144" t="s">
        <v>460</v>
      </c>
      <c r="C68" s="146" t="e">
        <f>B62/C62*C67</f>
        <v>#N/A</v>
      </c>
      <c r="E68"/>
      <c r="H68" s="144" t="s">
        <v>460</v>
      </c>
      <c r="I68" s="146">
        <f>H62/I62*I67</f>
        <v>2</v>
      </c>
      <c r="K68"/>
    </row>
    <row r="69" spans="1:34" ht="36.6" thickBot="1" x14ac:dyDescent="0.35">
      <c r="B69" s="147" t="s">
        <v>449</v>
      </c>
      <c r="C69" s="149" t="e">
        <f>C62*C68%</f>
        <v>#N/A</v>
      </c>
      <c r="E69"/>
      <c r="H69" s="163" t="s">
        <v>449</v>
      </c>
      <c r="I69" s="149">
        <f>I62*I68%</f>
        <v>6</v>
      </c>
      <c r="K69"/>
    </row>
    <row r="73" spans="1:34" x14ac:dyDescent="0.3">
      <c r="B73" s="119">
        <f>Dados!$U$12</f>
        <v>1000</v>
      </c>
      <c r="C73" s="119" t="str">
        <f>Dados!$W$12</f>
        <v>µL</v>
      </c>
      <c r="D73" s="119">
        <f>VLOOKUP($C$73,'Unidades de medida'!$A$2:$B$9,2,FALSE)/1000</f>
        <v>1</v>
      </c>
    </row>
    <row r="75" spans="1:34" ht="15.75" customHeight="1" thickBot="1" x14ac:dyDescent="0.35">
      <c r="B75" s="495" t="s">
        <v>473</v>
      </c>
      <c r="C75" s="496"/>
      <c r="D75" s="496"/>
      <c r="E75" s="496"/>
      <c r="F75" s="496"/>
      <c r="G75" s="496"/>
      <c r="H75" s="496"/>
      <c r="I75" s="496"/>
      <c r="J75" s="496"/>
      <c r="K75" s="496"/>
      <c r="L75" s="496"/>
      <c r="M75" s="496"/>
      <c r="O75" s="495" t="s">
        <v>472</v>
      </c>
      <c r="P75" s="496"/>
      <c r="Q75" s="496"/>
      <c r="R75" s="496"/>
      <c r="S75" s="496"/>
      <c r="T75" s="496"/>
      <c r="U75" s="496"/>
      <c r="V75" s="496"/>
      <c r="W75" s="496"/>
      <c r="X75" s="496"/>
      <c r="Y75" s="496"/>
    </row>
    <row r="76" spans="1:34" ht="75" thickBot="1" x14ac:dyDescent="0.35">
      <c r="B76" s="143" t="s">
        <v>453</v>
      </c>
      <c r="C76" s="160" t="s">
        <v>454</v>
      </c>
      <c r="D76" s="143" t="s">
        <v>455</v>
      </c>
      <c r="E76" s="144" t="s">
        <v>456</v>
      </c>
      <c r="F76" s="144" t="s">
        <v>457</v>
      </c>
      <c r="H76" s="162" t="s">
        <v>458</v>
      </c>
      <c r="I76" s="144" t="s">
        <v>459</v>
      </c>
      <c r="J76" s="144" t="s">
        <v>460</v>
      </c>
      <c r="K76" s="147" t="s">
        <v>449</v>
      </c>
      <c r="L76" s="162" t="str">
        <f>CONCATENATE("Tolerância Erro Sistemático Selecionado - evs (",$C$73,")")</f>
        <v>Tolerância Erro Sistemático Selecionado - evs (µL)</v>
      </c>
      <c r="M76" s="147" t="str">
        <f>CONCATENATE("Tolerância Erro Randômico (",$C$73,")")</f>
        <v>Tolerância Erro Randômico (µL)</v>
      </c>
      <c r="O76" s="143" t="s">
        <v>453</v>
      </c>
      <c r="P76" s="160" t="s">
        <v>454</v>
      </c>
      <c r="Q76" s="143" t="s">
        <v>455</v>
      </c>
      <c r="R76" s="144" t="s">
        <v>456</v>
      </c>
      <c r="S76" s="144" t="s">
        <v>457</v>
      </c>
      <c r="T76" s="162" t="s">
        <v>458</v>
      </c>
      <c r="U76" s="144" t="s">
        <v>459</v>
      </c>
      <c r="V76" s="144" t="s">
        <v>460</v>
      </c>
      <c r="W76" s="163" t="s">
        <v>449</v>
      </c>
      <c r="X76" s="162" t="str">
        <f>CONCATENATE("Tolerância Erro Sistemático Selecionado - evs (",$C$73,")")</f>
        <v>Tolerância Erro Sistemático Selecionado - evs (µL)</v>
      </c>
      <c r="Y76" s="147" t="str">
        <f>CONCATENATE("Tolerância Erro Randômico (",$C$73,")")</f>
        <v>Tolerância Erro Randômico (µL)</v>
      </c>
    </row>
    <row r="77" spans="1:34" ht="18.600000000000001" thickBot="1" x14ac:dyDescent="0.35">
      <c r="A77" t="str">
        <f t="shared" ref="A77:A83" si="12">CONCATENATE(AG77,".",AH77)</f>
        <v>1.1</v>
      </c>
      <c r="B77" s="137">
        <f>$B$73/$D$73</f>
        <v>1000</v>
      </c>
      <c r="C77" s="141">
        <f>VLOOKUP(CONCATENATE(AH77,".",3),'Resultados - 1'!$A$10:$G$156,5,FALSE)/$D$73</f>
        <v>100</v>
      </c>
      <c r="D77" s="161">
        <f>IF(C77/B77&lt;0.1,"Valor Abaixo de 10% - Não Válido",C77/B77*100)</f>
        <v>10</v>
      </c>
      <c r="E77" s="146">
        <f>IFERROR(VLOOKUP(D77,$A$39:$F$56,$E$57,FALSE),VLOOKUP(100,$A$39:$F$56,$E$57,FALSE))</f>
        <v>8</v>
      </c>
      <c r="F77" s="146">
        <f>B77/C77*E77</f>
        <v>80</v>
      </c>
      <c r="H77" s="149">
        <f>IF(OR(D77=10,D77=50,D77=100),C77*E77%,C77*F77%)</f>
        <v>8</v>
      </c>
      <c r="I77" s="146">
        <f>IFERROR(VLOOKUP(D77,$A$39:$F$56,$F$57,FALSE),VLOOKUP(100,$A$39:$F$56,$F$57,FALSE))</f>
        <v>3</v>
      </c>
      <c r="J77" s="146">
        <f>B77/C77*I77</f>
        <v>30</v>
      </c>
      <c r="K77" s="149">
        <f>IF(OR(D77=10,D77=50,D77=100),C77*I77%,C77*J77%)</f>
        <v>3</v>
      </c>
      <c r="L77" s="149">
        <f>H77*$D$73</f>
        <v>8</v>
      </c>
      <c r="M77" s="149">
        <f>K77*$D$73</f>
        <v>3</v>
      </c>
      <c r="O77" s="137">
        <f>B77</f>
        <v>1000</v>
      </c>
      <c r="P77" s="141">
        <f>C77</f>
        <v>100</v>
      </c>
      <c r="Q77" s="161">
        <f>IF(P77/O77&lt;0.1,"Valor Abaixo de 10% - Não Válido",O77/O77*100)</f>
        <v>100</v>
      </c>
      <c r="R77" s="146">
        <f>VLOOKUP(Q77,$G$39:$L$56,$K$57,FALSE)</f>
        <v>1.6</v>
      </c>
      <c r="S77" s="146">
        <f>O77/P77*R77</f>
        <v>16</v>
      </c>
      <c r="T77" s="149">
        <f>IF(OR(Q77=10,Q77=50,Q77=100),O77*R77%,O77*S77%)</f>
        <v>16</v>
      </c>
      <c r="U77" s="146">
        <f>VLOOKUP(Q77,$G$39:$L$56,$L$57,FALSE)</f>
        <v>0.6</v>
      </c>
      <c r="V77" s="146">
        <f>O77/P77*U77</f>
        <v>6</v>
      </c>
      <c r="W77" s="149">
        <f>IF(OR(Q77=10,Q77=50,Q77=100),O77*U77%,O77*V77%)</f>
        <v>6</v>
      </c>
      <c r="X77" s="149">
        <f>T77*$D$73</f>
        <v>16</v>
      </c>
      <c r="Y77" s="149">
        <f>W77*$D$73</f>
        <v>6</v>
      </c>
      <c r="AG77">
        <v>1</v>
      </c>
      <c r="AH77">
        <v>1</v>
      </c>
    </row>
    <row r="78" spans="1:34" ht="18.600000000000001" thickBot="1" x14ac:dyDescent="0.35">
      <c r="A78" t="str">
        <f t="shared" si="12"/>
        <v>1.2</v>
      </c>
      <c r="B78" s="137">
        <f t="shared" ref="B78:B91" si="13">$B$73/$D$73</f>
        <v>1000</v>
      </c>
      <c r="C78" s="141">
        <f>VLOOKUP(CONCATENATE(AH78,".",3),'Resultados - 1'!$A$10:$G$156,5,FALSE)/$D$73</f>
        <v>500</v>
      </c>
      <c r="D78" s="161">
        <f t="shared" ref="D78:D83" si="14">IF(C78/B78&lt;0.1,"Valor Abaixo de 10% - Não Válido",C78/B78*100)</f>
        <v>50</v>
      </c>
      <c r="E78" s="146">
        <f t="shared" ref="E78:E91" si="15">IFERROR(VLOOKUP(D78,$A$39:$F$56,$E$57,FALSE),VLOOKUP(100,$A$39:$F$56,$E$57,FALSE))</f>
        <v>1.6</v>
      </c>
      <c r="F78" s="146">
        <f t="shared" ref="F78:F83" si="16">B78/C78*E78</f>
        <v>3.2</v>
      </c>
      <c r="H78" s="149">
        <f t="shared" ref="H78:H83" si="17">IF(OR(D78=10,D78=50,D78=100),C78*E78%,C78*F78%)</f>
        <v>8</v>
      </c>
      <c r="I78" s="146">
        <f t="shared" ref="I78:I83" si="18">IFERROR(VLOOKUP(D78,$A$39:$F$56,$F$57,FALSE),VLOOKUP(100,$A$39:$F$56,$F$57,FALSE))</f>
        <v>0.6</v>
      </c>
      <c r="J78" s="146">
        <f t="shared" ref="J78:J83" si="19">B78/C78*I78</f>
        <v>1.2</v>
      </c>
      <c r="K78" s="149">
        <f t="shared" ref="K78:K83" si="20">IF(OR(D78=10,D78=50,D78=100),C78*I78%,C78*J78%)</f>
        <v>3</v>
      </c>
      <c r="L78" s="149">
        <f t="shared" ref="L78:L83" si="21">H78*$D$73</f>
        <v>8</v>
      </c>
      <c r="M78" s="149">
        <f t="shared" ref="M78:M83" si="22">K78*$D$73</f>
        <v>3</v>
      </c>
      <c r="O78" s="137">
        <f t="shared" ref="O78:O83" si="23">B78</f>
        <v>1000</v>
      </c>
      <c r="P78" s="141">
        <f t="shared" ref="P78:P83" si="24">C78</f>
        <v>500</v>
      </c>
      <c r="Q78" s="161">
        <f t="shared" ref="Q78:Q83" si="25">IF(P78/O78&lt;0.1,"Valor Abaixo de 10% - Não Válido",O78/O78*100)</f>
        <v>100</v>
      </c>
      <c r="R78" s="146">
        <f t="shared" ref="R78:R91" si="26">VLOOKUP(Q78,$G$39:$L$56,$K$57,FALSE)</f>
        <v>1.6</v>
      </c>
      <c r="S78" s="146">
        <f t="shared" ref="S78:S83" si="27">O78/P78*R78</f>
        <v>3.2</v>
      </c>
      <c r="T78" s="149">
        <f t="shared" ref="T78:T83" si="28">IF(OR(Q78=10,Q78=50,Q78=100),O78*R78%,O78*S78%)</f>
        <v>16</v>
      </c>
      <c r="U78" s="146">
        <f t="shared" ref="U78:U83" si="29">VLOOKUP(Q78,$G$39:$L$56,$L$57,FALSE)</f>
        <v>0.6</v>
      </c>
      <c r="V78" s="146">
        <f t="shared" ref="V78:V83" si="30">O78/P78*U78</f>
        <v>1.2</v>
      </c>
      <c r="W78" s="149">
        <f t="shared" ref="W78:W83" si="31">IF(OR(Q78=10,Q78=50,Q78=100),O78*U78%,O78*V78%)</f>
        <v>6</v>
      </c>
      <c r="X78" s="149">
        <f t="shared" ref="X78:X83" si="32">T78*$D$73</f>
        <v>16</v>
      </c>
      <c r="Y78" s="149">
        <f t="shared" ref="Y78:Y83" si="33">W78*$D$73</f>
        <v>6</v>
      </c>
      <c r="AG78">
        <f t="shared" ref="AG78:AG83" si="34">AG77</f>
        <v>1</v>
      </c>
      <c r="AH78">
        <v>2</v>
      </c>
    </row>
    <row r="79" spans="1:34" ht="18.600000000000001" thickBot="1" x14ac:dyDescent="0.35">
      <c r="A79" t="str">
        <f t="shared" si="12"/>
        <v>1.3</v>
      </c>
      <c r="B79" s="137">
        <f t="shared" si="13"/>
        <v>1000</v>
      </c>
      <c r="C79" s="141">
        <f>VLOOKUP(CONCATENATE(AH79,".",3),'Resultados - 1'!$A$10:$G$156,5,FALSE)/$D$73</f>
        <v>1000</v>
      </c>
      <c r="D79" s="161">
        <f t="shared" si="14"/>
        <v>100</v>
      </c>
      <c r="E79" s="146">
        <f t="shared" si="15"/>
        <v>0.8</v>
      </c>
      <c r="F79" s="146">
        <f t="shared" si="16"/>
        <v>0.8</v>
      </c>
      <c r="H79" s="149">
        <f t="shared" si="17"/>
        <v>8</v>
      </c>
      <c r="I79" s="146">
        <f t="shared" si="18"/>
        <v>0.3</v>
      </c>
      <c r="J79" s="146">
        <f t="shared" si="19"/>
        <v>0.3</v>
      </c>
      <c r="K79" s="149">
        <f t="shared" si="20"/>
        <v>3</v>
      </c>
      <c r="L79" s="149">
        <f t="shared" si="21"/>
        <v>8</v>
      </c>
      <c r="M79" s="149">
        <f t="shared" si="22"/>
        <v>3</v>
      </c>
      <c r="O79" s="137">
        <f t="shared" si="23"/>
        <v>1000</v>
      </c>
      <c r="P79" s="141">
        <f t="shared" si="24"/>
        <v>1000</v>
      </c>
      <c r="Q79" s="161">
        <f t="shared" si="25"/>
        <v>100</v>
      </c>
      <c r="R79" s="146">
        <f t="shared" si="26"/>
        <v>1.6</v>
      </c>
      <c r="S79" s="146">
        <f t="shared" si="27"/>
        <v>1.6</v>
      </c>
      <c r="T79" s="149">
        <f t="shared" si="28"/>
        <v>16</v>
      </c>
      <c r="U79" s="146">
        <f t="shared" si="29"/>
        <v>0.6</v>
      </c>
      <c r="V79" s="146">
        <f t="shared" si="30"/>
        <v>0.6</v>
      </c>
      <c r="W79" s="149">
        <f t="shared" si="31"/>
        <v>6</v>
      </c>
      <c r="X79" s="149">
        <f t="shared" si="32"/>
        <v>16</v>
      </c>
      <c r="Y79" s="149">
        <f t="shared" si="33"/>
        <v>6</v>
      </c>
      <c r="AG79">
        <f t="shared" si="34"/>
        <v>1</v>
      </c>
      <c r="AH79">
        <v>3</v>
      </c>
    </row>
    <row r="80" spans="1:34" ht="18.600000000000001" thickBot="1" x14ac:dyDescent="0.35">
      <c r="A80" t="str">
        <f t="shared" si="12"/>
        <v>1.4</v>
      </c>
      <c r="B80" s="137">
        <f t="shared" si="13"/>
        <v>1000</v>
      </c>
      <c r="C80" s="141" t="e">
        <f>VLOOKUP(CONCATENATE(AH80,".",3),'Resultados - 1'!$A$10:$G$156,5,FALSE)/$D$73</f>
        <v>#VALUE!</v>
      </c>
      <c r="D80" s="161" t="e">
        <f t="shared" si="14"/>
        <v>#VALUE!</v>
      </c>
      <c r="E80" s="146">
        <f t="shared" si="15"/>
        <v>0.8</v>
      </c>
      <c r="F80" s="146" t="e">
        <f t="shared" si="16"/>
        <v>#VALUE!</v>
      </c>
      <c r="H80" s="149" t="e">
        <f t="shared" si="17"/>
        <v>#VALUE!</v>
      </c>
      <c r="I80" s="146">
        <f t="shared" si="18"/>
        <v>0.3</v>
      </c>
      <c r="J80" s="146" t="e">
        <f t="shared" si="19"/>
        <v>#VALUE!</v>
      </c>
      <c r="K80" s="149" t="e">
        <f t="shared" si="20"/>
        <v>#VALUE!</v>
      </c>
      <c r="L80" s="149" t="e">
        <f t="shared" si="21"/>
        <v>#VALUE!</v>
      </c>
      <c r="M80" s="149" t="e">
        <f t="shared" si="22"/>
        <v>#VALUE!</v>
      </c>
      <c r="O80" s="137">
        <f t="shared" si="23"/>
        <v>1000</v>
      </c>
      <c r="P80" s="141" t="e">
        <f t="shared" si="24"/>
        <v>#VALUE!</v>
      </c>
      <c r="Q80" s="161" t="e">
        <f t="shared" si="25"/>
        <v>#VALUE!</v>
      </c>
      <c r="R80" s="146" t="e">
        <f t="shared" si="26"/>
        <v>#VALUE!</v>
      </c>
      <c r="S80" s="146" t="e">
        <f t="shared" si="27"/>
        <v>#VALUE!</v>
      </c>
      <c r="T80" s="149" t="e">
        <f t="shared" si="28"/>
        <v>#VALUE!</v>
      </c>
      <c r="U80" s="146" t="e">
        <f t="shared" si="29"/>
        <v>#VALUE!</v>
      </c>
      <c r="V80" s="146" t="e">
        <f t="shared" si="30"/>
        <v>#VALUE!</v>
      </c>
      <c r="W80" s="149" t="e">
        <f t="shared" si="31"/>
        <v>#VALUE!</v>
      </c>
      <c r="X80" s="149" t="e">
        <f t="shared" si="32"/>
        <v>#VALUE!</v>
      </c>
      <c r="Y80" s="149" t="e">
        <f t="shared" si="33"/>
        <v>#VALUE!</v>
      </c>
      <c r="AG80">
        <f t="shared" si="34"/>
        <v>1</v>
      </c>
      <c r="AH80">
        <v>4</v>
      </c>
    </row>
    <row r="81" spans="1:34" ht="18.600000000000001" thickBot="1" x14ac:dyDescent="0.35">
      <c r="A81" t="str">
        <f t="shared" si="12"/>
        <v>1.5</v>
      </c>
      <c r="B81" s="137">
        <f t="shared" si="13"/>
        <v>1000</v>
      </c>
      <c r="C81" s="141" t="e">
        <f>VLOOKUP(CONCATENATE(AH81,".",3),'Resultados - 1'!$A$10:$G$156,5,FALSE)/$D$73</f>
        <v>#VALUE!</v>
      </c>
      <c r="D81" s="161" t="e">
        <f t="shared" si="14"/>
        <v>#VALUE!</v>
      </c>
      <c r="E81" s="146">
        <f t="shared" si="15"/>
        <v>0.8</v>
      </c>
      <c r="F81" s="146" t="e">
        <f t="shared" si="16"/>
        <v>#VALUE!</v>
      </c>
      <c r="H81" s="149" t="e">
        <f t="shared" si="17"/>
        <v>#VALUE!</v>
      </c>
      <c r="I81" s="146">
        <f t="shared" si="18"/>
        <v>0.3</v>
      </c>
      <c r="J81" s="146" t="e">
        <f t="shared" si="19"/>
        <v>#VALUE!</v>
      </c>
      <c r="K81" s="149" t="e">
        <f t="shared" si="20"/>
        <v>#VALUE!</v>
      </c>
      <c r="L81" s="149" t="e">
        <f t="shared" si="21"/>
        <v>#VALUE!</v>
      </c>
      <c r="M81" s="149" t="e">
        <f t="shared" si="22"/>
        <v>#VALUE!</v>
      </c>
      <c r="O81" s="137">
        <f t="shared" si="23"/>
        <v>1000</v>
      </c>
      <c r="P81" s="141" t="e">
        <f t="shared" si="24"/>
        <v>#VALUE!</v>
      </c>
      <c r="Q81" s="161" t="e">
        <f t="shared" si="25"/>
        <v>#VALUE!</v>
      </c>
      <c r="R81" s="146" t="e">
        <f t="shared" si="26"/>
        <v>#VALUE!</v>
      </c>
      <c r="S81" s="146" t="e">
        <f t="shared" si="27"/>
        <v>#VALUE!</v>
      </c>
      <c r="T81" s="149" t="e">
        <f t="shared" si="28"/>
        <v>#VALUE!</v>
      </c>
      <c r="U81" s="146" t="e">
        <f t="shared" si="29"/>
        <v>#VALUE!</v>
      </c>
      <c r="V81" s="146" t="e">
        <f t="shared" si="30"/>
        <v>#VALUE!</v>
      </c>
      <c r="W81" s="149" t="e">
        <f t="shared" si="31"/>
        <v>#VALUE!</v>
      </c>
      <c r="X81" s="149" t="e">
        <f t="shared" si="32"/>
        <v>#VALUE!</v>
      </c>
      <c r="Y81" s="149" t="e">
        <f t="shared" si="33"/>
        <v>#VALUE!</v>
      </c>
      <c r="AG81">
        <f t="shared" si="34"/>
        <v>1</v>
      </c>
      <c r="AH81">
        <v>5</v>
      </c>
    </row>
    <row r="82" spans="1:34" ht="18.600000000000001" thickBot="1" x14ac:dyDescent="0.35">
      <c r="A82" t="str">
        <f t="shared" si="12"/>
        <v>1.6</v>
      </c>
      <c r="B82" s="137">
        <f t="shared" si="13"/>
        <v>1000</v>
      </c>
      <c r="C82" s="141" t="e">
        <f>VLOOKUP(CONCATENATE(AH82,".",3),'Resultados - 1'!$A$10:$G$156,5,FALSE)/$D$73</f>
        <v>#VALUE!</v>
      </c>
      <c r="D82" s="161" t="e">
        <f t="shared" si="14"/>
        <v>#VALUE!</v>
      </c>
      <c r="E82" s="146">
        <f t="shared" si="15"/>
        <v>0.8</v>
      </c>
      <c r="F82" s="146" t="e">
        <f t="shared" si="16"/>
        <v>#VALUE!</v>
      </c>
      <c r="H82" s="149" t="e">
        <f t="shared" si="17"/>
        <v>#VALUE!</v>
      </c>
      <c r="I82" s="146">
        <f t="shared" si="18"/>
        <v>0.3</v>
      </c>
      <c r="J82" s="146" t="e">
        <f t="shared" si="19"/>
        <v>#VALUE!</v>
      </c>
      <c r="K82" s="149" t="e">
        <f t="shared" si="20"/>
        <v>#VALUE!</v>
      </c>
      <c r="L82" s="149" t="e">
        <f t="shared" si="21"/>
        <v>#VALUE!</v>
      </c>
      <c r="M82" s="149" t="e">
        <f t="shared" si="22"/>
        <v>#VALUE!</v>
      </c>
      <c r="O82" s="137">
        <f t="shared" si="23"/>
        <v>1000</v>
      </c>
      <c r="P82" s="141" t="e">
        <f t="shared" si="24"/>
        <v>#VALUE!</v>
      </c>
      <c r="Q82" s="161" t="e">
        <f t="shared" si="25"/>
        <v>#VALUE!</v>
      </c>
      <c r="R82" s="146" t="e">
        <f t="shared" si="26"/>
        <v>#VALUE!</v>
      </c>
      <c r="S82" s="146" t="e">
        <f t="shared" si="27"/>
        <v>#VALUE!</v>
      </c>
      <c r="T82" s="149" t="e">
        <f t="shared" si="28"/>
        <v>#VALUE!</v>
      </c>
      <c r="U82" s="146" t="e">
        <f t="shared" si="29"/>
        <v>#VALUE!</v>
      </c>
      <c r="V82" s="146" t="e">
        <f t="shared" si="30"/>
        <v>#VALUE!</v>
      </c>
      <c r="W82" s="149" t="e">
        <f t="shared" si="31"/>
        <v>#VALUE!</v>
      </c>
      <c r="X82" s="149" t="e">
        <f t="shared" si="32"/>
        <v>#VALUE!</v>
      </c>
      <c r="Y82" s="149" t="e">
        <f t="shared" si="33"/>
        <v>#VALUE!</v>
      </c>
      <c r="AG82">
        <f t="shared" si="34"/>
        <v>1</v>
      </c>
      <c r="AH82">
        <v>6</v>
      </c>
    </row>
    <row r="83" spans="1:34" ht="18.600000000000001" thickBot="1" x14ac:dyDescent="0.35">
      <c r="A83" t="str">
        <f t="shared" si="12"/>
        <v>1.7</v>
      </c>
      <c r="B83" s="137">
        <f t="shared" si="13"/>
        <v>1000</v>
      </c>
      <c r="C83" s="141" t="e">
        <f>VLOOKUP(CONCATENATE(AH83,".",3),'Resultados - 1'!$A$10:$G$156,5,FALSE)/$D$73</f>
        <v>#VALUE!</v>
      </c>
      <c r="D83" s="161" t="e">
        <f t="shared" si="14"/>
        <v>#VALUE!</v>
      </c>
      <c r="E83" s="146">
        <f t="shared" si="15"/>
        <v>0.8</v>
      </c>
      <c r="F83" s="146" t="e">
        <f t="shared" si="16"/>
        <v>#VALUE!</v>
      </c>
      <c r="H83" s="149" t="e">
        <f t="shared" si="17"/>
        <v>#VALUE!</v>
      </c>
      <c r="I83" s="146">
        <f t="shared" si="18"/>
        <v>0.3</v>
      </c>
      <c r="J83" s="146" t="e">
        <f t="shared" si="19"/>
        <v>#VALUE!</v>
      </c>
      <c r="K83" s="149" t="e">
        <f t="shared" si="20"/>
        <v>#VALUE!</v>
      </c>
      <c r="L83" s="149" t="e">
        <f t="shared" si="21"/>
        <v>#VALUE!</v>
      </c>
      <c r="M83" s="149" t="e">
        <f t="shared" si="22"/>
        <v>#VALUE!</v>
      </c>
      <c r="O83" s="137">
        <f t="shared" si="23"/>
        <v>1000</v>
      </c>
      <c r="P83" s="141" t="e">
        <f t="shared" si="24"/>
        <v>#VALUE!</v>
      </c>
      <c r="Q83" s="161" t="e">
        <f t="shared" si="25"/>
        <v>#VALUE!</v>
      </c>
      <c r="R83" s="146" t="e">
        <f t="shared" si="26"/>
        <v>#VALUE!</v>
      </c>
      <c r="S83" s="146" t="e">
        <f t="shared" si="27"/>
        <v>#VALUE!</v>
      </c>
      <c r="T83" s="149" t="e">
        <f t="shared" si="28"/>
        <v>#VALUE!</v>
      </c>
      <c r="U83" s="146" t="e">
        <f t="shared" si="29"/>
        <v>#VALUE!</v>
      </c>
      <c r="V83" s="146" t="e">
        <f t="shared" si="30"/>
        <v>#VALUE!</v>
      </c>
      <c r="W83" s="149" t="e">
        <f t="shared" si="31"/>
        <v>#VALUE!</v>
      </c>
      <c r="X83" s="149" t="e">
        <f t="shared" si="32"/>
        <v>#VALUE!</v>
      </c>
      <c r="Y83" s="149" t="e">
        <f t="shared" si="33"/>
        <v>#VALUE!</v>
      </c>
      <c r="AG83">
        <f t="shared" si="34"/>
        <v>1</v>
      </c>
      <c r="AH83">
        <v>7</v>
      </c>
    </row>
    <row r="84" spans="1:34" ht="18.600000000000001" thickBot="1" x14ac:dyDescent="0.35">
      <c r="A84" s="182"/>
      <c r="B84" s="183"/>
      <c r="C84" s="184"/>
      <c r="D84" s="185"/>
      <c r="E84" s="186"/>
      <c r="F84" s="186"/>
      <c r="G84" s="187"/>
      <c r="H84" s="188"/>
      <c r="I84" s="186"/>
      <c r="J84" s="186"/>
      <c r="K84" s="188"/>
      <c r="L84" s="188"/>
      <c r="M84" s="188"/>
      <c r="N84" s="182"/>
      <c r="O84" s="183"/>
      <c r="P84" s="184"/>
      <c r="Q84" s="185"/>
      <c r="R84" s="186"/>
      <c r="S84" s="186"/>
      <c r="T84" s="188"/>
      <c r="U84" s="186"/>
      <c r="V84" s="186"/>
      <c r="W84" s="188"/>
      <c r="X84" s="188"/>
      <c r="Y84" s="188"/>
    </row>
    <row r="85" spans="1:34" ht="18.600000000000001" thickBot="1" x14ac:dyDescent="0.35">
      <c r="A85" t="str">
        <f t="shared" ref="A85:A91" si="35">CONCATENATE(AG85,".",AH85)</f>
        <v>2.1</v>
      </c>
      <c r="B85" s="137">
        <f>$B$73/$D$73</f>
        <v>1000</v>
      </c>
      <c r="C85" s="141">
        <f>VLOOKUP(CONCATENATE(AH85,".",3),'Resultados - 2'!$A$10:$G$156,5,FALSE)/$D$73</f>
        <v>100</v>
      </c>
      <c r="D85" s="161">
        <f>IF(C85/B85&lt;0.1,"Valor Abaixo de 10% - Não Válido",C85/B85*100)</f>
        <v>10</v>
      </c>
      <c r="E85" s="146">
        <f>IFERROR(VLOOKUP(D85,$A$39:$F$56,$E$57,FALSE),VLOOKUP(100,$A$39:$F$56,$E$57,FALSE))</f>
        <v>8</v>
      </c>
      <c r="F85" s="146">
        <f>B85/C85*E85</f>
        <v>80</v>
      </c>
      <c r="H85" s="149">
        <f>IF(OR(D85=10,D85=50,D85=100),C85*E85%,C85*F85%)</f>
        <v>8</v>
      </c>
      <c r="I85" s="146">
        <f>IFERROR(VLOOKUP(D85,$A$39:$F$56,$F$57,FALSE),VLOOKUP(100,$A$39:$F$56,$F$57,FALSE))</f>
        <v>3</v>
      </c>
      <c r="J85" s="146">
        <f>B85/C85*I85</f>
        <v>30</v>
      </c>
      <c r="K85" s="149">
        <f>IF(OR(D85=10,D85=50,D85=100),C85*I85%,C85*J85%)</f>
        <v>3</v>
      </c>
      <c r="L85" s="149">
        <f>H85*$D$73</f>
        <v>8</v>
      </c>
      <c r="M85" s="149">
        <f>K85*$D$73</f>
        <v>3</v>
      </c>
      <c r="O85" s="137">
        <f>B85</f>
        <v>1000</v>
      </c>
      <c r="P85" s="141">
        <f>C85</f>
        <v>100</v>
      </c>
      <c r="Q85" s="161">
        <f>IF(P85/O85&lt;0.1,"Valor Abaixo de 10% - Não Válido",O85/O85*100)</f>
        <v>100</v>
      </c>
      <c r="R85" s="146">
        <f>VLOOKUP(Q85,$G$39:$L$56,$K$57,FALSE)</f>
        <v>1.6</v>
      </c>
      <c r="S85" s="146">
        <f>O85/P85*R85</f>
        <v>16</v>
      </c>
      <c r="T85" s="149">
        <f>IF(OR(Q85=10,Q85=50,Q85=100),O85*R85%,O85*S85%)</f>
        <v>16</v>
      </c>
      <c r="U85" s="146">
        <f>VLOOKUP(Q85,$G$39:$L$56,$L$57,FALSE)</f>
        <v>0.6</v>
      </c>
      <c r="V85" s="146">
        <f>O85/P85*U85</f>
        <v>6</v>
      </c>
      <c r="W85" s="149">
        <f>IF(OR(Q85=10,Q85=50,Q85=100),O85*U85%,O85*V85%)</f>
        <v>6</v>
      </c>
      <c r="X85" s="149">
        <f>T85*$D$73</f>
        <v>16</v>
      </c>
      <c r="Y85" s="149">
        <f>W85*$D$73</f>
        <v>6</v>
      </c>
      <c r="AG85">
        <f>AG83+1</f>
        <v>2</v>
      </c>
      <c r="AH85">
        <v>1</v>
      </c>
    </row>
    <row r="86" spans="1:34" ht="18.600000000000001" thickBot="1" x14ac:dyDescent="0.35">
      <c r="A86" t="str">
        <f t="shared" si="35"/>
        <v>2.2</v>
      </c>
      <c r="B86" s="137">
        <f t="shared" si="13"/>
        <v>1000</v>
      </c>
      <c r="C86" s="141">
        <f>VLOOKUP(CONCATENATE(AH86,".",3),'Resultados - 2'!$A$10:$G$156,5,FALSE)/$D$73</f>
        <v>500</v>
      </c>
      <c r="D86" s="161">
        <f t="shared" ref="D86:D91" si="36">IF(C86/B86&lt;0.1,"Valor Abaixo de 10% - Não Válido",C86/B86*100)</f>
        <v>50</v>
      </c>
      <c r="E86" s="146">
        <f t="shared" si="15"/>
        <v>1.6</v>
      </c>
      <c r="F86" s="146">
        <f t="shared" ref="F86:F91" si="37">B86/C86*E86</f>
        <v>3.2</v>
      </c>
      <c r="H86" s="149">
        <f t="shared" ref="H86:H91" si="38">IF(OR(D86=10,D86=50,D86=100),C86*E86%,C86*F86%)</f>
        <v>8</v>
      </c>
      <c r="I86" s="146">
        <f t="shared" ref="I86:I91" si="39">IFERROR(VLOOKUP(D86,$A$39:$F$56,$F$57,FALSE),VLOOKUP(100,$A$39:$F$56,$F$57,FALSE))</f>
        <v>0.6</v>
      </c>
      <c r="J86" s="146">
        <f t="shared" ref="J86:J91" si="40">B86/C86*I86</f>
        <v>1.2</v>
      </c>
      <c r="K86" s="149">
        <f t="shared" ref="K86:K91" si="41">IF(OR(D86=10,D86=50,D86=100),C86*I86%,C86*J86%)</f>
        <v>3</v>
      </c>
      <c r="L86" s="149">
        <f t="shared" ref="L86:L91" si="42">H86*$D$73</f>
        <v>8</v>
      </c>
      <c r="M86" s="149">
        <f t="shared" ref="M86:M91" si="43">K86*$D$73</f>
        <v>3</v>
      </c>
      <c r="O86" s="137">
        <f t="shared" ref="O86:O91" si="44">B86</f>
        <v>1000</v>
      </c>
      <c r="P86" s="141">
        <f t="shared" ref="P86:P91" si="45">C86</f>
        <v>500</v>
      </c>
      <c r="Q86" s="161">
        <f t="shared" ref="Q86:Q91" si="46">IF(P86/O86&lt;0.1,"Valor Abaixo de 10% - Não Válido",O86/O86*100)</f>
        <v>100</v>
      </c>
      <c r="R86" s="146">
        <f t="shared" si="26"/>
        <v>1.6</v>
      </c>
      <c r="S86" s="146">
        <f t="shared" ref="S86:S91" si="47">O86/P86*R86</f>
        <v>3.2</v>
      </c>
      <c r="T86" s="149">
        <f t="shared" ref="T86:T91" si="48">IF(OR(Q86=10,Q86=50,Q86=100),O86*R86%,O86*S86%)</f>
        <v>16</v>
      </c>
      <c r="U86" s="146">
        <f t="shared" ref="U86:U91" si="49">VLOOKUP(Q86,$G$39:$L$56,$L$57,FALSE)</f>
        <v>0.6</v>
      </c>
      <c r="V86" s="146">
        <f t="shared" ref="V86:V91" si="50">O86/P86*U86</f>
        <v>1.2</v>
      </c>
      <c r="W86" s="149">
        <f t="shared" ref="W86:W91" si="51">IF(OR(Q86=10,Q86=50,Q86=100),O86*U86%,O86*V86%)</f>
        <v>6</v>
      </c>
      <c r="X86" s="149">
        <f t="shared" ref="X86:X91" si="52">T86*$D$73</f>
        <v>16</v>
      </c>
      <c r="Y86" s="149">
        <f t="shared" ref="Y86:Y91" si="53">W86*$D$73</f>
        <v>6</v>
      </c>
      <c r="AG86">
        <f t="shared" ref="AG86:AG91" si="54">AG85</f>
        <v>2</v>
      </c>
      <c r="AH86">
        <v>2</v>
      </c>
    </row>
    <row r="87" spans="1:34" ht="18.600000000000001" thickBot="1" x14ac:dyDescent="0.35">
      <c r="A87" t="str">
        <f t="shared" si="35"/>
        <v>2.3</v>
      </c>
      <c r="B87" s="137">
        <f t="shared" si="13"/>
        <v>1000</v>
      </c>
      <c r="C87" s="141">
        <f>VLOOKUP(CONCATENATE(AH87,".",3),'Resultados - 2'!$A$10:$G$156,5,FALSE)/$D$73</f>
        <v>1000</v>
      </c>
      <c r="D87" s="161">
        <f t="shared" si="36"/>
        <v>100</v>
      </c>
      <c r="E87" s="146">
        <f t="shared" si="15"/>
        <v>0.8</v>
      </c>
      <c r="F87" s="146">
        <f t="shared" si="37"/>
        <v>0.8</v>
      </c>
      <c r="H87" s="149">
        <f t="shared" si="38"/>
        <v>8</v>
      </c>
      <c r="I87" s="146">
        <f t="shared" si="39"/>
        <v>0.3</v>
      </c>
      <c r="J87" s="146">
        <f t="shared" si="40"/>
        <v>0.3</v>
      </c>
      <c r="K87" s="149">
        <f t="shared" si="41"/>
        <v>3</v>
      </c>
      <c r="L87" s="149">
        <f t="shared" si="42"/>
        <v>8</v>
      </c>
      <c r="M87" s="149">
        <f t="shared" si="43"/>
        <v>3</v>
      </c>
      <c r="O87" s="137">
        <f t="shared" si="44"/>
        <v>1000</v>
      </c>
      <c r="P87" s="141">
        <f t="shared" si="45"/>
        <v>1000</v>
      </c>
      <c r="Q87" s="161">
        <f t="shared" si="46"/>
        <v>100</v>
      </c>
      <c r="R87" s="146">
        <f t="shared" si="26"/>
        <v>1.6</v>
      </c>
      <c r="S87" s="146">
        <f t="shared" si="47"/>
        <v>1.6</v>
      </c>
      <c r="T87" s="149">
        <f t="shared" si="48"/>
        <v>16</v>
      </c>
      <c r="U87" s="146">
        <f t="shared" si="49"/>
        <v>0.6</v>
      </c>
      <c r="V87" s="146">
        <f t="shared" si="50"/>
        <v>0.6</v>
      </c>
      <c r="W87" s="149">
        <f t="shared" si="51"/>
        <v>6</v>
      </c>
      <c r="X87" s="149">
        <f t="shared" si="52"/>
        <v>16</v>
      </c>
      <c r="Y87" s="149">
        <f t="shared" si="53"/>
        <v>6</v>
      </c>
      <c r="AG87">
        <f t="shared" si="54"/>
        <v>2</v>
      </c>
      <c r="AH87">
        <v>3</v>
      </c>
    </row>
    <row r="88" spans="1:34" ht="18.600000000000001" thickBot="1" x14ac:dyDescent="0.35">
      <c r="A88" t="str">
        <f t="shared" si="35"/>
        <v>2.4</v>
      </c>
      <c r="B88" s="137">
        <f t="shared" si="13"/>
        <v>1000</v>
      </c>
      <c r="C88" s="141" t="e">
        <f>VLOOKUP(CONCATENATE(AH88,".",3),'Resultados - 2'!$A$10:$G$156,5,FALSE)/$D$73</f>
        <v>#VALUE!</v>
      </c>
      <c r="D88" s="161" t="e">
        <f t="shared" si="36"/>
        <v>#VALUE!</v>
      </c>
      <c r="E88" s="146">
        <f t="shared" si="15"/>
        <v>0.8</v>
      </c>
      <c r="F88" s="146" t="e">
        <f t="shared" si="37"/>
        <v>#VALUE!</v>
      </c>
      <c r="H88" s="149" t="e">
        <f t="shared" si="38"/>
        <v>#VALUE!</v>
      </c>
      <c r="I88" s="146">
        <f t="shared" si="39"/>
        <v>0.3</v>
      </c>
      <c r="J88" s="146" t="e">
        <f t="shared" si="40"/>
        <v>#VALUE!</v>
      </c>
      <c r="K88" s="149" t="e">
        <f t="shared" si="41"/>
        <v>#VALUE!</v>
      </c>
      <c r="L88" s="149" t="e">
        <f t="shared" si="42"/>
        <v>#VALUE!</v>
      </c>
      <c r="M88" s="149" t="e">
        <f t="shared" si="43"/>
        <v>#VALUE!</v>
      </c>
      <c r="O88" s="137">
        <f t="shared" si="44"/>
        <v>1000</v>
      </c>
      <c r="P88" s="141" t="e">
        <f t="shared" si="45"/>
        <v>#VALUE!</v>
      </c>
      <c r="Q88" s="161" t="e">
        <f t="shared" si="46"/>
        <v>#VALUE!</v>
      </c>
      <c r="R88" s="146" t="e">
        <f t="shared" si="26"/>
        <v>#VALUE!</v>
      </c>
      <c r="S88" s="146" t="e">
        <f t="shared" si="47"/>
        <v>#VALUE!</v>
      </c>
      <c r="T88" s="149" t="e">
        <f t="shared" si="48"/>
        <v>#VALUE!</v>
      </c>
      <c r="U88" s="146" t="e">
        <f t="shared" si="49"/>
        <v>#VALUE!</v>
      </c>
      <c r="V88" s="146" t="e">
        <f t="shared" si="50"/>
        <v>#VALUE!</v>
      </c>
      <c r="W88" s="149" t="e">
        <f t="shared" si="51"/>
        <v>#VALUE!</v>
      </c>
      <c r="X88" s="149" t="e">
        <f t="shared" si="52"/>
        <v>#VALUE!</v>
      </c>
      <c r="Y88" s="149" t="e">
        <f t="shared" si="53"/>
        <v>#VALUE!</v>
      </c>
      <c r="AG88">
        <f t="shared" si="54"/>
        <v>2</v>
      </c>
      <c r="AH88">
        <v>4</v>
      </c>
    </row>
    <row r="89" spans="1:34" ht="18.600000000000001" thickBot="1" x14ac:dyDescent="0.35">
      <c r="A89" t="str">
        <f t="shared" si="35"/>
        <v>2.5</v>
      </c>
      <c r="B89" s="137">
        <f t="shared" si="13"/>
        <v>1000</v>
      </c>
      <c r="C89" s="141" t="e">
        <f>VLOOKUP(CONCATENATE(AH89,".",3),'Resultados - 2'!$A$10:$G$156,5,FALSE)/$D$73</f>
        <v>#VALUE!</v>
      </c>
      <c r="D89" s="161" t="e">
        <f t="shared" si="36"/>
        <v>#VALUE!</v>
      </c>
      <c r="E89" s="146">
        <f t="shared" si="15"/>
        <v>0.8</v>
      </c>
      <c r="F89" s="146" t="e">
        <f t="shared" si="37"/>
        <v>#VALUE!</v>
      </c>
      <c r="H89" s="149" t="e">
        <f t="shared" si="38"/>
        <v>#VALUE!</v>
      </c>
      <c r="I89" s="146">
        <f t="shared" si="39"/>
        <v>0.3</v>
      </c>
      <c r="J89" s="146" t="e">
        <f t="shared" si="40"/>
        <v>#VALUE!</v>
      </c>
      <c r="K89" s="149" t="e">
        <f t="shared" si="41"/>
        <v>#VALUE!</v>
      </c>
      <c r="L89" s="149" t="e">
        <f t="shared" si="42"/>
        <v>#VALUE!</v>
      </c>
      <c r="M89" s="149" t="e">
        <f t="shared" si="43"/>
        <v>#VALUE!</v>
      </c>
      <c r="O89" s="137">
        <f t="shared" si="44"/>
        <v>1000</v>
      </c>
      <c r="P89" s="141" t="e">
        <f t="shared" si="45"/>
        <v>#VALUE!</v>
      </c>
      <c r="Q89" s="161" t="e">
        <f t="shared" si="46"/>
        <v>#VALUE!</v>
      </c>
      <c r="R89" s="146" t="e">
        <f t="shared" si="26"/>
        <v>#VALUE!</v>
      </c>
      <c r="S89" s="146" t="e">
        <f t="shared" si="47"/>
        <v>#VALUE!</v>
      </c>
      <c r="T89" s="149" t="e">
        <f t="shared" si="48"/>
        <v>#VALUE!</v>
      </c>
      <c r="U89" s="146" t="e">
        <f t="shared" si="49"/>
        <v>#VALUE!</v>
      </c>
      <c r="V89" s="146" t="e">
        <f t="shared" si="50"/>
        <v>#VALUE!</v>
      </c>
      <c r="W89" s="149" t="e">
        <f t="shared" si="51"/>
        <v>#VALUE!</v>
      </c>
      <c r="X89" s="149" t="e">
        <f t="shared" si="52"/>
        <v>#VALUE!</v>
      </c>
      <c r="Y89" s="149" t="e">
        <f t="shared" si="53"/>
        <v>#VALUE!</v>
      </c>
      <c r="AG89">
        <f t="shared" si="54"/>
        <v>2</v>
      </c>
      <c r="AH89">
        <v>5</v>
      </c>
    </row>
    <row r="90" spans="1:34" ht="18.600000000000001" thickBot="1" x14ac:dyDescent="0.35">
      <c r="A90" t="str">
        <f t="shared" si="35"/>
        <v>2.6</v>
      </c>
      <c r="B90" s="137">
        <f t="shared" si="13"/>
        <v>1000</v>
      </c>
      <c r="C90" s="141" t="e">
        <f>VLOOKUP(CONCATENATE(AH90,".",3),'Resultados - 2'!$A$10:$G$156,5,FALSE)/$D$73</f>
        <v>#VALUE!</v>
      </c>
      <c r="D90" s="161" t="e">
        <f t="shared" si="36"/>
        <v>#VALUE!</v>
      </c>
      <c r="E90" s="146">
        <f t="shared" si="15"/>
        <v>0.8</v>
      </c>
      <c r="F90" s="146" t="e">
        <f t="shared" si="37"/>
        <v>#VALUE!</v>
      </c>
      <c r="H90" s="149" t="e">
        <f t="shared" si="38"/>
        <v>#VALUE!</v>
      </c>
      <c r="I90" s="146">
        <f t="shared" si="39"/>
        <v>0.3</v>
      </c>
      <c r="J90" s="146" t="e">
        <f t="shared" si="40"/>
        <v>#VALUE!</v>
      </c>
      <c r="K90" s="149" t="e">
        <f t="shared" si="41"/>
        <v>#VALUE!</v>
      </c>
      <c r="L90" s="149" t="e">
        <f t="shared" si="42"/>
        <v>#VALUE!</v>
      </c>
      <c r="M90" s="149" t="e">
        <f t="shared" si="43"/>
        <v>#VALUE!</v>
      </c>
      <c r="O90" s="137">
        <f t="shared" si="44"/>
        <v>1000</v>
      </c>
      <c r="P90" s="141" t="e">
        <f t="shared" si="45"/>
        <v>#VALUE!</v>
      </c>
      <c r="Q90" s="161" t="e">
        <f t="shared" si="46"/>
        <v>#VALUE!</v>
      </c>
      <c r="R90" s="146" t="e">
        <f t="shared" si="26"/>
        <v>#VALUE!</v>
      </c>
      <c r="S90" s="146" t="e">
        <f t="shared" si="47"/>
        <v>#VALUE!</v>
      </c>
      <c r="T90" s="149" t="e">
        <f t="shared" si="48"/>
        <v>#VALUE!</v>
      </c>
      <c r="U90" s="146" t="e">
        <f t="shared" si="49"/>
        <v>#VALUE!</v>
      </c>
      <c r="V90" s="146" t="e">
        <f t="shared" si="50"/>
        <v>#VALUE!</v>
      </c>
      <c r="W90" s="149" t="e">
        <f t="shared" si="51"/>
        <v>#VALUE!</v>
      </c>
      <c r="X90" s="149" t="e">
        <f t="shared" si="52"/>
        <v>#VALUE!</v>
      </c>
      <c r="Y90" s="149" t="e">
        <f t="shared" si="53"/>
        <v>#VALUE!</v>
      </c>
      <c r="AG90">
        <f t="shared" si="54"/>
        <v>2</v>
      </c>
      <c r="AH90">
        <v>6</v>
      </c>
    </row>
    <row r="91" spans="1:34" ht="18.600000000000001" thickBot="1" x14ac:dyDescent="0.35">
      <c r="A91" t="str">
        <f t="shared" si="35"/>
        <v>2.7</v>
      </c>
      <c r="B91" s="137">
        <f t="shared" si="13"/>
        <v>1000</v>
      </c>
      <c r="C91" s="141" t="e">
        <f>VLOOKUP(CONCATENATE(AH91,".",3),'Resultados - 2'!$A$10:$G$156,5,FALSE)/$D$73</f>
        <v>#VALUE!</v>
      </c>
      <c r="D91" s="161" t="e">
        <f t="shared" si="36"/>
        <v>#VALUE!</v>
      </c>
      <c r="E91" s="146">
        <f t="shared" si="15"/>
        <v>0.8</v>
      </c>
      <c r="F91" s="146" t="e">
        <f t="shared" si="37"/>
        <v>#VALUE!</v>
      </c>
      <c r="H91" s="149" t="e">
        <f t="shared" si="38"/>
        <v>#VALUE!</v>
      </c>
      <c r="I91" s="146">
        <f t="shared" si="39"/>
        <v>0.3</v>
      </c>
      <c r="J91" s="146" t="e">
        <f t="shared" si="40"/>
        <v>#VALUE!</v>
      </c>
      <c r="K91" s="149" t="e">
        <f t="shared" si="41"/>
        <v>#VALUE!</v>
      </c>
      <c r="L91" s="149" t="e">
        <f t="shared" si="42"/>
        <v>#VALUE!</v>
      </c>
      <c r="M91" s="149" t="e">
        <f t="shared" si="43"/>
        <v>#VALUE!</v>
      </c>
      <c r="O91" s="137">
        <f t="shared" si="44"/>
        <v>1000</v>
      </c>
      <c r="P91" s="141" t="e">
        <f t="shared" si="45"/>
        <v>#VALUE!</v>
      </c>
      <c r="Q91" s="161" t="e">
        <f t="shared" si="46"/>
        <v>#VALUE!</v>
      </c>
      <c r="R91" s="146" t="e">
        <f t="shared" si="26"/>
        <v>#VALUE!</v>
      </c>
      <c r="S91" s="146" t="e">
        <f t="shared" si="47"/>
        <v>#VALUE!</v>
      </c>
      <c r="T91" s="149" t="e">
        <f t="shared" si="48"/>
        <v>#VALUE!</v>
      </c>
      <c r="U91" s="146" t="e">
        <f t="shared" si="49"/>
        <v>#VALUE!</v>
      </c>
      <c r="V91" s="146" t="e">
        <f t="shared" si="50"/>
        <v>#VALUE!</v>
      </c>
      <c r="W91" s="149" t="e">
        <f t="shared" si="51"/>
        <v>#VALUE!</v>
      </c>
      <c r="X91" s="149" t="e">
        <f t="shared" si="52"/>
        <v>#VALUE!</v>
      </c>
      <c r="Y91" s="149" t="e">
        <f t="shared" si="53"/>
        <v>#VALUE!</v>
      </c>
      <c r="AG91">
        <f t="shared" si="54"/>
        <v>2</v>
      </c>
      <c r="AH91">
        <v>7</v>
      </c>
    </row>
    <row r="92" spans="1:34" ht="18.600000000000001" thickBot="1" x14ac:dyDescent="0.35">
      <c r="A92" s="182"/>
      <c r="B92" s="183"/>
      <c r="C92" s="184"/>
      <c r="D92" s="185"/>
      <c r="E92" s="186"/>
      <c r="F92" s="186"/>
      <c r="G92" s="187"/>
      <c r="H92" s="188"/>
      <c r="I92" s="186"/>
      <c r="J92" s="186"/>
      <c r="K92" s="188"/>
      <c r="L92" s="188"/>
      <c r="M92" s="188"/>
      <c r="N92" s="182"/>
      <c r="O92" s="183"/>
      <c r="P92" s="184"/>
      <c r="Q92" s="185"/>
      <c r="R92" s="186"/>
      <c r="S92" s="186"/>
      <c r="T92" s="188"/>
      <c r="U92" s="186"/>
      <c r="V92" s="186"/>
      <c r="W92" s="188"/>
      <c r="X92" s="188"/>
      <c r="Y92" s="188"/>
    </row>
    <row r="93" spans="1:34" ht="18.600000000000001" thickBot="1" x14ac:dyDescent="0.35">
      <c r="A93" t="str">
        <f t="shared" ref="A93:A99" si="55">CONCATENATE(AG93,".",AH93)</f>
        <v>3.1</v>
      </c>
      <c r="B93" s="137">
        <f>$B$73/$D$73</f>
        <v>1000</v>
      </c>
      <c r="C93" s="141">
        <f>VLOOKUP(CONCATENATE(AH93,".",3),'Resultados - 3'!$A$10:$G$156,5,FALSE)/$D$73</f>
        <v>100</v>
      </c>
      <c r="D93" s="161">
        <f>IF(C93/B93&lt;0.1,"Valor Abaixo de 10% - Não Válido",C93/B93*100)</f>
        <v>10</v>
      </c>
      <c r="E93" s="146">
        <f>IFERROR(VLOOKUP(D93,$A$39:$F$56,$E$57,FALSE),VLOOKUP(100,$A$39:$F$56,$E$57,FALSE))</f>
        <v>8</v>
      </c>
      <c r="F93" s="146">
        <f>B93/C93*E93</f>
        <v>80</v>
      </c>
      <c r="H93" s="149">
        <f>IF(OR(D93=10,D93=50,D93=100),C93*E93%,C93*F93%)</f>
        <v>8</v>
      </c>
      <c r="I93" s="146">
        <f>IFERROR(VLOOKUP(D93,$A$39:$F$56,$F$57,FALSE),VLOOKUP(100,$A$39:$F$56,$F$57,FALSE))</f>
        <v>3</v>
      </c>
      <c r="J93" s="146">
        <f>B93/C93*I93</f>
        <v>30</v>
      </c>
      <c r="K93" s="149">
        <f>IF(OR(D93=10,D93=50,D93=100),C93*I93%,C93*J93%)</f>
        <v>3</v>
      </c>
      <c r="L93" s="149">
        <f>H93*$D$73</f>
        <v>8</v>
      </c>
      <c r="M93" s="149">
        <f>K93*$D$73</f>
        <v>3</v>
      </c>
      <c r="O93" s="137">
        <f>B93</f>
        <v>1000</v>
      </c>
      <c r="P93" s="141">
        <f>C93</f>
        <v>100</v>
      </c>
      <c r="Q93" s="161">
        <f>IF(P93/O93&lt;0.1,"Valor Abaixo de 10% - Não Válido",O93/O93*100)</f>
        <v>100</v>
      </c>
      <c r="R93" s="146">
        <f>VLOOKUP(Q93,$G$39:$L$56,$K$57,FALSE)</f>
        <v>1.6</v>
      </c>
      <c r="S93" s="146">
        <f>O93/P93*R93</f>
        <v>16</v>
      </c>
      <c r="T93" s="149">
        <f>IF(OR(Q93=10,Q93=50,Q93=100),O93*R93%,O93*S93%)</f>
        <v>16</v>
      </c>
      <c r="U93" s="146">
        <f>VLOOKUP(Q93,$G$39:$L$56,$L$57,FALSE)</f>
        <v>0.6</v>
      </c>
      <c r="V93" s="146">
        <f>O93/P93*U93</f>
        <v>6</v>
      </c>
      <c r="W93" s="149">
        <f>IF(OR(Q93=10,Q93=50,Q93=100),O93*U93%,O93*V93%)</f>
        <v>6</v>
      </c>
      <c r="X93" s="149">
        <f>T93*$D$73</f>
        <v>16</v>
      </c>
      <c r="Y93" s="149">
        <f>W93*$D$73</f>
        <v>6</v>
      </c>
      <c r="AG93">
        <f t="shared" ref="AG93" si="56">AG91+1</f>
        <v>3</v>
      </c>
      <c r="AH93">
        <v>1</v>
      </c>
    </row>
    <row r="94" spans="1:34" ht="18.600000000000001" thickBot="1" x14ac:dyDescent="0.35">
      <c r="A94" t="str">
        <f t="shared" si="55"/>
        <v>3.2</v>
      </c>
      <c r="B94" s="137">
        <f t="shared" ref="B94:B99" si="57">$B$73/$D$73</f>
        <v>1000</v>
      </c>
      <c r="C94" s="141">
        <f>VLOOKUP(CONCATENATE(AH94,".",3),'Resultados - 3'!$A$10:$G$156,5,FALSE)/$D$73</f>
        <v>500</v>
      </c>
      <c r="D94" s="161">
        <f t="shared" ref="D94:D99" si="58">IF(C94/B94&lt;0.1,"Valor Abaixo de 10% - Não Válido",C94/B94*100)</f>
        <v>50</v>
      </c>
      <c r="E94" s="146">
        <f t="shared" ref="E94:E99" si="59">IFERROR(VLOOKUP(D94,$A$39:$F$56,$E$57,FALSE),VLOOKUP(100,$A$39:$F$56,$E$57,FALSE))</f>
        <v>1.6</v>
      </c>
      <c r="F94" s="146">
        <f t="shared" ref="F94:F99" si="60">B94/C94*E94</f>
        <v>3.2</v>
      </c>
      <c r="H94" s="149">
        <f t="shared" ref="H94:H99" si="61">IF(OR(D94=10,D94=50,D94=100),C94*E94%,C94*F94%)</f>
        <v>8</v>
      </c>
      <c r="I94" s="146">
        <f t="shared" ref="I94:I99" si="62">IFERROR(VLOOKUP(D94,$A$39:$F$56,$F$57,FALSE),VLOOKUP(100,$A$39:$F$56,$F$57,FALSE))</f>
        <v>0.6</v>
      </c>
      <c r="J94" s="146">
        <f t="shared" ref="J94:J99" si="63">B94/C94*I94</f>
        <v>1.2</v>
      </c>
      <c r="K94" s="149">
        <f t="shared" ref="K94:K99" si="64">IF(OR(D94=10,D94=50,D94=100),C94*I94%,C94*J94%)</f>
        <v>3</v>
      </c>
      <c r="L94" s="149">
        <f t="shared" ref="L94:L99" si="65">H94*$D$73</f>
        <v>8</v>
      </c>
      <c r="M94" s="149">
        <f t="shared" ref="M94:M99" si="66">K94*$D$73</f>
        <v>3</v>
      </c>
      <c r="O94" s="137">
        <f t="shared" ref="O94:O99" si="67">B94</f>
        <v>1000</v>
      </c>
      <c r="P94" s="141">
        <f t="shared" ref="P94:P99" si="68">C94</f>
        <v>500</v>
      </c>
      <c r="Q94" s="161">
        <f t="shared" ref="Q94:Q99" si="69">IF(P94/O94&lt;0.1,"Valor Abaixo de 10% - Não Válido",O94/O94*100)</f>
        <v>100</v>
      </c>
      <c r="R94" s="146">
        <f t="shared" ref="R94:R99" si="70">VLOOKUP(Q94,$G$39:$L$56,$K$57,FALSE)</f>
        <v>1.6</v>
      </c>
      <c r="S94" s="146">
        <f t="shared" ref="S94:S99" si="71">O94/P94*R94</f>
        <v>3.2</v>
      </c>
      <c r="T94" s="149">
        <f t="shared" ref="T94:T99" si="72">IF(OR(Q94=10,Q94=50,Q94=100),O94*R94%,O94*S94%)</f>
        <v>16</v>
      </c>
      <c r="U94" s="146">
        <f t="shared" ref="U94:U99" si="73">VLOOKUP(Q94,$G$39:$L$56,$L$57,FALSE)</f>
        <v>0.6</v>
      </c>
      <c r="V94" s="146">
        <f t="shared" ref="V94:V99" si="74">O94/P94*U94</f>
        <v>1.2</v>
      </c>
      <c r="W94" s="149">
        <f t="shared" ref="W94:W99" si="75">IF(OR(Q94=10,Q94=50,Q94=100),O94*U94%,O94*V94%)</f>
        <v>6</v>
      </c>
      <c r="X94" s="149">
        <f t="shared" ref="X94:X99" si="76">T94*$D$73</f>
        <v>16</v>
      </c>
      <c r="Y94" s="149">
        <f t="shared" ref="Y94:Y99" si="77">W94*$D$73</f>
        <v>6</v>
      </c>
      <c r="AG94">
        <f t="shared" ref="AG94:AG99" si="78">AG93</f>
        <v>3</v>
      </c>
      <c r="AH94">
        <v>2</v>
      </c>
    </row>
    <row r="95" spans="1:34" ht="18.600000000000001" thickBot="1" x14ac:dyDescent="0.35">
      <c r="A95" t="str">
        <f t="shared" si="55"/>
        <v>3.3</v>
      </c>
      <c r="B95" s="137">
        <f t="shared" si="57"/>
        <v>1000</v>
      </c>
      <c r="C95" s="141">
        <f>VLOOKUP(CONCATENATE(AH95,".",3),'Resultados - 3'!$A$10:$G$156,5,FALSE)/$D$73</f>
        <v>1000</v>
      </c>
      <c r="D95" s="161">
        <f t="shared" si="58"/>
        <v>100</v>
      </c>
      <c r="E95" s="146">
        <f t="shared" si="59"/>
        <v>0.8</v>
      </c>
      <c r="F95" s="146">
        <f t="shared" si="60"/>
        <v>0.8</v>
      </c>
      <c r="H95" s="149">
        <f t="shared" si="61"/>
        <v>8</v>
      </c>
      <c r="I95" s="146">
        <f t="shared" si="62"/>
        <v>0.3</v>
      </c>
      <c r="J95" s="146">
        <f t="shared" si="63"/>
        <v>0.3</v>
      </c>
      <c r="K95" s="149">
        <f t="shared" si="64"/>
        <v>3</v>
      </c>
      <c r="L95" s="149">
        <f t="shared" si="65"/>
        <v>8</v>
      </c>
      <c r="M95" s="149">
        <f t="shared" si="66"/>
        <v>3</v>
      </c>
      <c r="O95" s="137">
        <f t="shared" si="67"/>
        <v>1000</v>
      </c>
      <c r="P95" s="141">
        <f t="shared" si="68"/>
        <v>1000</v>
      </c>
      <c r="Q95" s="161">
        <f t="shared" si="69"/>
        <v>100</v>
      </c>
      <c r="R95" s="146">
        <f t="shared" si="70"/>
        <v>1.6</v>
      </c>
      <c r="S95" s="146">
        <f t="shared" si="71"/>
        <v>1.6</v>
      </c>
      <c r="T95" s="149">
        <f t="shared" si="72"/>
        <v>16</v>
      </c>
      <c r="U95" s="146">
        <f t="shared" si="73"/>
        <v>0.6</v>
      </c>
      <c r="V95" s="146">
        <f t="shared" si="74"/>
        <v>0.6</v>
      </c>
      <c r="W95" s="149">
        <f t="shared" si="75"/>
        <v>6</v>
      </c>
      <c r="X95" s="149">
        <f t="shared" si="76"/>
        <v>16</v>
      </c>
      <c r="Y95" s="149">
        <f t="shared" si="77"/>
        <v>6</v>
      </c>
      <c r="AG95">
        <f t="shared" si="78"/>
        <v>3</v>
      </c>
      <c r="AH95">
        <v>3</v>
      </c>
    </row>
    <row r="96" spans="1:34" ht="18.600000000000001" thickBot="1" x14ac:dyDescent="0.35">
      <c r="A96" t="str">
        <f t="shared" si="55"/>
        <v>3.4</v>
      </c>
      <c r="B96" s="137">
        <f t="shared" si="57"/>
        <v>1000</v>
      </c>
      <c r="C96" s="141" t="e">
        <f>VLOOKUP(CONCATENATE(AH96,".",3),'Resultados - 3'!$A$10:$G$156,5,FALSE)/$D$73</f>
        <v>#VALUE!</v>
      </c>
      <c r="D96" s="161" t="e">
        <f t="shared" si="58"/>
        <v>#VALUE!</v>
      </c>
      <c r="E96" s="146">
        <f t="shared" si="59"/>
        <v>0.8</v>
      </c>
      <c r="F96" s="146" t="e">
        <f t="shared" si="60"/>
        <v>#VALUE!</v>
      </c>
      <c r="H96" s="149" t="e">
        <f t="shared" si="61"/>
        <v>#VALUE!</v>
      </c>
      <c r="I96" s="146">
        <f t="shared" si="62"/>
        <v>0.3</v>
      </c>
      <c r="J96" s="146" t="e">
        <f t="shared" si="63"/>
        <v>#VALUE!</v>
      </c>
      <c r="K96" s="149" t="e">
        <f t="shared" si="64"/>
        <v>#VALUE!</v>
      </c>
      <c r="L96" s="149" t="e">
        <f t="shared" si="65"/>
        <v>#VALUE!</v>
      </c>
      <c r="M96" s="149" t="e">
        <f t="shared" si="66"/>
        <v>#VALUE!</v>
      </c>
      <c r="O96" s="137">
        <f t="shared" si="67"/>
        <v>1000</v>
      </c>
      <c r="P96" s="141" t="e">
        <f t="shared" si="68"/>
        <v>#VALUE!</v>
      </c>
      <c r="Q96" s="161" t="e">
        <f t="shared" si="69"/>
        <v>#VALUE!</v>
      </c>
      <c r="R96" s="146" t="e">
        <f t="shared" si="70"/>
        <v>#VALUE!</v>
      </c>
      <c r="S96" s="146" t="e">
        <f t="shared" si="71"/>
        <v>#VALUE!</v>
      </c>
      <c r="T96" s="149" t="e">
        <f t="shared" si="72"/>
        <v>#VALUE!</v>
      </c>
      <c r="U96" s="146" t="e">
        <f t="shared" si="73"/>
        <v>#VALUE!</v>
      </c>
      <c r="V96" s="146" t="e">
        <f t="shared" si="74"/>
        <v>#VALUE!</v>
      </c>
      <c r="W96" s="149" t="e">
        <f t="shared" si="75"/>
        <v>#VALUE!</v>
      </c>
      <c r="X96" s="149" t="e">
        <f t="shared" si="76"/>
        <v>#VALUE!</v>
      </c>
      <c r="Y96" s="149" t="e">
        <f t="shared" si="77"/>
        <v>#VALUE!</v>
      </c>
      <c r="AG96">
        <f t="shared" si="78"/>
        <v>3</v>
      </c>
      <c r="AH96">
        <v>4</v>
      </c>
    </row>
    <row r="97" spans="1:34" ht="18.600000000000001" thickBot="1" x14ac:dyDescent="0.35">
      <c r="A97" t="str">
        <f t="shared" si="55"/>
        <v>3.5</v>
      </c>
      <c r="B97" s="137">
        <f t="shared" si="57"/>
        <v>1000</v>
      </c>
      <c r="C97" s="141" t="e">
        <f>VLOOKUP(CONCATENATE(AH97,".",3),'Resultados - 3'!$A$10:$G$156,5,FALSE)/$D$73</f>
        <v>#VALUE!</v>
      </c>
      <c r="D97" s="161" t="e">
        <f t="shared" si="58"/>
        <v>#VALUE!</v>
      </c>
      <c r="E97" s="146">
        <f t="shared" si="59"/>
        <v>0.8</v>
      </c>
      <c r="F97" s="146" t="e">
        <f t="shared" si="60"/>
        <v>#VALUE!</v>
      </c>
      <c r="H97" s="149" t="e">
        <f t="shared" si="61"/>
        <v>#VALUE!</v>
      </c>
      <c r="I97" s="146">
        <f t="shared" si="62"/>
        <v>0.3</v>
      </c>
      <c r="J97" s="146" t="e">
        <f t="shared" si="63"/>
        <v>#VALUE!</v>
      </c>
      <c r="K97" s="149" t="e">
        <f t="shared" si="64"/>
        <v>#VALUE!</v>
      </c>
      <c r="L97" s="149" t="e">
        <f t="shared" si="65"/>
        <v>#VALUE!</v>
      </c>
      <c r="M97" s="149" t="e">
        <f t="shared" si="66"/>
        <v>#VALUE!</v>
      </c>
      <c r="O97" s="137">
        <f t="shared" si="67"/>
        <v>1000</v>
      </c>
      <c r="P97" s="141" t="e">
        <f t="shared" si="68"/>
        <v>#VALUE!</v>
      </c>
      <c r="Q97" s="161" t="e">
        <f t="shared" si="69"/>
        <v>#VALUE!</v>
      </c>
      <c r="R97" s="146" t="e">
        <f t="shared" si="70"/>
        <v>#VALUE!</v>
      </c>
      <c r="S97" s="146" t="e">
        <f t="shared" si="71"/>
        <v>#VALUE!</v>
      </c>
      <c r="T97" s="149" t="e">
        <f t="shared" si="72"/>
        <v>#VALUE!</v>
      </c>
      <c r="U97" s="146" t="e">
        <f t="shared" si="73"/>
        <v>#VALUE!</v>
      </c>
      <c r="V97" s="146" t="e">
        <f t="shared" si="74"/>
        <v>#VALUE!</v>
      </c>
      <c r="W97" s="149" t="e">
        <f t="shared" si="75"/>
        <v>#VALUE!</v>
      </c>
      <c r="X97" s="149" t="e">
        <f t="shared" si="76"/>
        <v>#VALUE!</v>
      </c>
      <c r="Y97" s="149" t="e">
        <f t="shared" si="77"/>
        <v>#VALUE!</v>
      </c>
      <c r="AG97">
        <f t="shared" si="78"/>
        <v>3</v>
      </c>
      <c r="AH97">
        <v>5</v>
      </c>
    </row>
    <row r="98" spans="1:34" ht="18.600000000000001" thickBot="1" x14ac:dyDescent="0.35">
      <c r="A98" t="str">
        <f t="shared" si="55"/>
        <v>3.6</v>
      </c>
      <c r="B98" s="137">
        <f t="shared" si="57"/>
        <v>1000</v>
      </c>
      <c r="C98" s="141" t="e">
        <f>VLOOKUP(CONCATENATE(AH98,".",3),'Resultados - 3'!$A$10:$G$156,5,FALSE)/$D$73</f>
        <v>#VALUE!</v>
      </c>
      <c r="D98" s="161" t="e">
        <f t="shared" si="58"/>
        <v>#VALUE!</v>
      </c>
      <c r="E98" s="146">
        <f t="shared" si="59"/>
        <v>0.8</v>
      </c>
      <c r="F98" s="146" t="e">
        <f t="shared" si="60"/>
        <v>#VALUE!</v>
      </c>
      <c r="H98" s="149" t="e">
        <f t="shared" si="61"/>
        <v>#VALUE!</v>
      </c>
      <c r="I98" s="146">
        <f t="shared" si="62"/>
        <v>0.3</v>
      </c>
      <c r="J98" s="146" t="e">
        <f t="shared" si="63"/>
        <v>#VALUE!</v>
      </c>
      <c r="K98" s="149" t="e">
        <f t="shared" si="64"/>
        <v>#VALUE!</v>
      </c>
      <c r="L98" s="149" t="e">
        <f t="shared" si="65"/>
        <v>#VALUE!</v>
      </c>
      <c r="M98" s="149" t="e">
        <f t="shared" si="66"/>
        <v>#VALUE!</v>
      </c>
      <c r="O98" s="137">
        <f t="shared" si="67"/>
        <v>1000</v>
      </c>
      <c r="P98" s="141" t="e">
        <f t="shared" si="68"/>
        <v>#VALUE!</v>
      </c>
      <c r="Q98" s="161" t="e">
        <f t="shared" si="69"/>
        <v>#VALUE!</v>
      </c>
      <c r="R98" s="146" t="e">
        <f t="shared" si="70"/>
        <v>#VALUE!</v>
      </c>
      <c r="S98" s="146" t="e">
        <f t="shared" si="71"/>
        <v>#VALUE!</v>
      </c>
      <c r="T98" s="149" t="e">
        <f t="shared" si="72"/>
        <v>#VALUE!</v>
      </c>
      <c r="U98" s="146" t="e">
        <f t="shared" si="73"/>
        <v>#VALUE!</v>
      </c>
      <c r="V98" s="146" t="e">
        <f t="shared" si="74"/>
        <v>#VALUE!</v>
      </c>
      <c r="W98" s="149" t="e">
        <f t="shared" si="75"/>
        <v>#VALUE!</v>
      </c>
      <c r="X98" s="149" t="e">
        <f t="shared" si="76"/>
        <v>#VALUE!</v>
      </c>
      <c r="Y98" s="149" t="e">
        <f t="shared" si="77"/>
        <v>#VALUE!</v>
      </c>
      <c r="AG98">
        <f t="shared" si="78"/>
        <v>3</v>
      </c>
      <c r="AH98">
        <v>6</v>
      </c>
    </row>
    <row r="99" spans="1:34" ht="18.600000000000001" thickBot="1" x14ac:dyDescent="0.35">
      <c r="A99" t="str">
        <f t="shared" si="55"/>
        <v>3.7</v>
      </c>
      <c r="B99" s="137">
        <f t="shared" si="57"/>
        <v>1000</v>
      </c>
      <c r="C99" s="141" t="e">
        <f>VLOOKUP(CONCATENATE(AH99,".",3),'Resultados - 3'!$A$10:$G$156,5,FALSE)/$D$73</f>
        <v>#VALUE!</v>
      </c>
      <c r="D99" s="161" t="e">
        <f t="shared" si="58"/>
        <v>#VALUE!</v>
      </c>
      <c r="E99" s="146">
        <f t="shared" si="59"/>
        <v>0.8</v>
      </c>
      <c r="F99" s="146" t="e">
        <f t="shared" si="60"/>
        <v>#VALUE!</v>
      </c>
      <c r="H99" s="149" t="e">
        <f t="shared" si="61"/>
        <v>#VALUE!</v>
      </c>
      <c r="I99" s="146">
        <f t="shared" si="62"/>
        <v>0.3</v>
      </c>
      <c r="J99" s="146" t="e">
        <f t="shared" si="63"/>
        <v>#VALUE!</v>
      </c>
      <c r="K99" s="149" t="e">
        <f t="shared" si="64"/>
        <v>#VALUE!</v>
      </c>
      <c r="L99" s="149" t="e">
        <f t="shared" si="65"/>
        <v>#VALUE!</v>
      </c>
      <c r="M99" s="149" t="e">
        <f t="shared" si="66"/>
        <v>#VALUE!</v>
      </c>
      <c r="O99" s="137">
        <f t="shared" si="67"/>
        <v>1000</v>
      </c>
      <c r="P99" s="141" t="e">
        <f t="shared" si="68"/>
        <v>#VALUE!</v>
      </c>
      <c r="Q99" s="161" t="e">
        <f t="shared" si="69"/>
        <v>#VALUE!</v>
      </c>
      <c r="R99" s="146" t="e">
        <f t="shared" si="70"/>
        <v>#VALUE!</v>
      </c>
      <c r="S99" s="146" t="e">
        <f t="shared" si="71"/>
        <v>#VALUE!</v>
      </c>
      <c r="T99" s="149" t="e">
        <f t="shared" si="72"/>
        <v>#VALUE!</v>
      </c>
      <c r="U99" s="146" t="e">
        <f t="shared" si="73"/>
        <v>#VALUE!</v>
      </c>
      <c r="V99" s="146" t="e">
        <f t="shared" si="74"/>
        <v>#VALUE!</v>
      </c>
      <c r="W99" s="149" t="e">
        <f t="shared" si="75"/>
        <v>#VALUE!</v>
      </c>
      <c r="X99" s="149" t="e">
        <f t="shared" si="76"/>
        <v>#VALUE!</v>
      </c>
      <c r="Y99" s="149" t="e">
        <f t="shared" si="77"/>
        <v>#VALUE!</v>
      </c>
      <c r="AG99">
        <f t="shared" si="78"/>
        <v>3</v>
      </c>
      <c r="AH99">
        <v>7</v>
      </c>
    </row>
    <row r="100" spans="1:34" ht="18.600000000000001" thickBot="1" x14ac:dyDescent="0.35">
      <c r="A100" s="182"/>
      <c r="B100" s="183"/>
      <c r="C100" s="184"/>
      <c r="D100" s="185"/>
      <c r="E100" s="186"/>
      <c r="F100" s="186"/>
      <c r="G100" s="187"/>
      <c r="H100" s="188"/>
      <c r="I100" s="186"/>
      <c r="J100" s="186"/>
      <c r="K100" s="188"/>
      <c r="L100" s="188"/>
      <c r="M100" s="188"/>
      <c r="N100" s="182"/>
      <c r="O100" s="183"/>
      <c r="P100" s="184"/>
      <c r="Q100" s="185"/>
      <c r="R100" s="186"/>
      <c r="S100" s="186"/>
      <c r="T100" s="188"/>
      <c r="U100" s="186"/>
      <c r="V100" s="186"/>
      <c r="W100" s="188"/>
      <c r="X100" s="188"/>
      <c r="Y100" s="188"/>
    </row>
    <row r="101" spans="1:34" ht="18.600000000000001" thickBot="1" x14ac:dyDescent="0.35">
      <c r="A101" t="str">
        <f t="shared" ref="A101:A107" si="79">CONCATENATE(AG101,".",AH101)</f>
        <v>4.1</v>
      </c>
      <c r="B101" s="137">
        <f>$B$73/$D$73</f>
        <v>1000</v>
      </c>
      <c r="C101" s="141">
        <f>VLOOKUP(CONCATENATE(AH101,".",3),'Resultados - 4'!$A$10:$G$156,5,FALSE)/$D$73</f>
        <v>100</v>
      </c>
      <c r="D101" s="161">
        <f>IF(C101/B101&lt;0.1,"Valor Abaixo de 10% - Não Válido",C101/B101*100)</f>
        <v>10</v>
      </c>
      <c r="E101" s="146">
        <f>IFERROR(VLOOKUP(D101,$A$39:$F$56,$E$57,FALSE),VLOOKUP(100,$A$39:$F$56,$E$57,FALSE))</f>
        <v>8</v>
      </c>
      <c r="F101" s="146">
        <f>B101/C101*E101</f>
        <v>80</v>
      </c>
      <c r="H101" s="149">
        <f>IF(OR(D101=10,D101=50,D101=100),C101*E101%,C101*F101%)</f>
        <v>8</v>
      </c>
      <c r="I101" s="146">
        <f>IFERROR(VLOOKUP(D101,$A$39:$F$56,$F$57,FALSE),VLOOKUP(100,$A$39:$F$56,$F$57,FALSE))</f>
        <v>3</v>
      </c>
      <c r="J101" s="146">
        <f>B101/C101*I101</f>
        <v>30</v>
      </c>
      <c r="K101" s="149">
        <f>IF(OR(D101=10,D101=50,D101=100),C101*I101%,C101*J101%)</f>
        <v>3</v>
      </c>
      <c r="L101" s="149">
        <f>H101*$D$73</f>
        <v>8</v>
      </c>
      <c r="M101" s="149">
        <f>K101*$D$73</f>
        <v>3</v>
      </c>
      <c r="O101" s="137">
        <f>B101</f>
        <v>1000</v>
      </c>
      <c r="P101" s="141">
        <f>C101</f>
        <v>100</v>
      </c>
      <c r="Q101" s="161">
        <f>IF(P101/O101&lt;0.1,"Valor Abaixo de 10% - Não Válido",O101/O101*100)</f>
        <v>100</v>
      </c>
      <c r="R101" s="146">
        <f>VLOOKUP(Q101,$G$39:$L$56,$K$57,FALSE)</f>
        <v>1.6</v>
      </c>
      <c r="S101" s="146">
        <f>O101/P101*R101</f>
        <v>16</v>
      </c>
      <c r="T101" s="149">
        <f>IF(OR(Q101=10,Q101=50,Q101=100),O101*R101%,O101*S101%)</f>
        <v>16</v>
      </c>
      <c r="U101" s="146">
        <f>VLOOKUP(Q101,$G$39:$L$56,$L$57,FALSE)</f>
        <v>0.6</v>
      </c>
      <c r="V101" s="146">
        <f>O101/P101*U101</f>
        <v>6</v>
      </c>
      <c r="W101" s="149">
        <f>IF(OR(Q101=10,Q101=50,Q101=100),O101*U101%,O101*V101%)</f>
        <v>6</v>
      </c>
      <c r="X101" s="149">
        <f>T101*$D$73</f>
        <v>16</v>
      </c>
      <c r="Y101" s="149">
        <f>W101*$D$73</f>
        <v>6</v>
      </c>
      <c r="AG101">
        <f t="shared" ref="AG101" si="80">AG99+1</f>
        <v>4</v>
      </c>
      <c r="AH101">
        <v>1</v>
      </c>
    </row>
    <row r="102" spans="1:34" ht="18.600000000000001" thickBot="1" x14ac:dyDescent="0.35">
      <c r="A102" t="str">
        <f t="shared" si="79"/>
        <v>4.2</v>
      </c>
      <c r="B102" s="137">
        <f t="shared" ref="B102:B107" si="81">$B$73/$D$73</f>
        <v>1000</v>
      </c>
      <c r="C102" s="141">
        <f>VLOOKUP(CONCATENATE(AH102,".",3),'Resultados - 4'!$A$10:$G$156,5,FALSE)/$D$73</f>
        <v>500</v>
      </c>
      <c r="D102" s="161">
        <f t="shared" ref="D102:D107" si="82">IF(C102/B102&lt;0.1,"Valor Abaixo de 10% - Não Válido",C102/B102*100)</f>
        <v>50</v>
      </c>
      <c r="E102" s="146">
        <f t="shared" ref="E102:E107" si="83">IFERROR(VLOOKUP(D102,$A$39:$F$56,$E$57,FALSE),VLOOKUP(100,$A$39:$F$56,$E$57,FALSE))</f>
        <v>1.6</v>
      </c>
      <c r="F102" s="146">
        <f t="shared" ref="F102:F107" si="84">B102/C102*E102</f>
        <v>3.2</v>
      </c>
      <c r="H102" s="149">
        <f t="shared" ref="H102:H107" si="85">IF(OR(D102=10,D102=50,D102=100),C102*E102%,C102*F102%)</f>
        <v>8</v>
      </c>
      <c r="I102" s="146">
        <f t="shared" ref="I102:I107" si="86">IFERROR(VLOOKUP(D102,$A$39:$F$56,$F$57,FALSE),VLOOKUP(100,$A$39:$F$56,$F$57,FALSE))</f>
        <v>0.6</v>
      </c>
      <c r="J102" s="146">
        <f t="shared" ref="J102:J107" si="87">B102/C102*I102</f>
        <v>1.2</v>
      </c>
      <c r="K102" s="149">
        <f t="shared" ref="K102:K107" si="88">IF(OR(D102=10,D102=50,D102=100),C102*I102%,C102*J102%)</f>
        <v>3</v>
      </c>
      <c r="L102" s="149">
        <f t="shared" ref="L102:L107" si="89">H102*$D$73</f>
        <v>8</v>
      </c>
      <c r="M102" s="149">
        <f t="shared" ref="M102:M107" si="90">K102*$D$73</f>
        <v>3</v>
      </c>
      <c r="O102" s="137">
        <f t="shared" ref="O102:O107" si="91">B102</f>
        <v>1000</v>
      </c>
      <c r="P102" s="141">
        <f t="shared" ref="P102:P107" si="92">C102</f>
        <v>500</v>
      </c>
      <c r="Q102" s="161">
        <f t="shared" ref="Q102:Q107" si="93">IF(P102/O102&lt;0.1,"Valor Abaixo de 10% - Não Válido",O102/O102*100)</f>
        <v>100</v>
      </c>
      <c r="R102" s="146">
        <f t="shared" ref="R102:R107" si="94">VLOOKUP(Q102,$G$39:$L$56,$K$57,FALSE)</f>
        <v>1.6</v>
      </c>
      <c r="S102" s="146">
        <f t="shared" ref="S102:S107" si="95">O102/P102*R102</f>
        <v>3.2</v>
      </c>
      <c r="T102" s="149">
        <f t="shared" ref="T102:T107" si="96">IF(OR(Q102=10,Q102=50,Q102=100),O102*R102%,O102*S102%)</f>
        <v>16</v>
      </c>
      <c r="U102" s="146">
        <f t="shared" ref="U102:U107" si="97">VLOOKUP(Q102,$G$39:$L$56,$L$57,FALSE)</f>
        <v>0.6</v>
      </c>
      <c r="V102" s="146">
        <f t="shared" ref="V102:V107" si="98">O102/P102*U102</f>
        <v>1.2</v>
      </c>
      <c r="W102" s="149">
        <f t="shared" ref="W102:W107" si="99">IF(OR(Q102=10,Q102=50,Q102=100),O102*U102%,O102*V102%)</f>
        <v>6</v>
      </c>
      <c r="X102" s="149">
        <f t="shared" ref="X102:X107" si="100">T102*$D$73</f>
        <v>16</v>
      </c>
      <c r="Y102" s="149">
        <f t="shared" ref="Y102:Y107" si="101">W102*$D$73</f>
        <v>6</v>
      </c>
      <c r="AG102">
        <f t="shared" ref="AG102:AG107" si="102">AG101</f>
        <v>4</v>
      </c>
      <c r="AH102">
        <v>2</v>
      </c>
    </row>
    <row r="103" spans="1:34" ht="18.600000000000001" thickBot="1" x14ac:dyDescent="0.35">
      <c r="A103" t="str">
        <f t="shared" si="79"/>
        <v>4.3</v>
      </c>
      <c r="B103" s="137">
        <f t="shared" si="81"/>
        <v>1000</v>
      </c>
      <c r="C103" s="141">
        <f>VLOOKUP(CONCATENATE(AH103,".",3),'Resultados - 4'!$A$10:$G$156,5,FALSE)/$D$73</f>
        <v>1000</v>
      </c>
      <c r="D103" s="161">
        <f t="shared" si="82"/>
        <v>100</v>
      </c>
      <c r="E103" s="146">
        <f t="shared" si="83"/>
        <v>0.8</v>
      </c>
      <c r="F103" s="146">
        <f t="shared" si="84"/>
        <v>0.8</v>
      </c>
      <c r="H103" s="149">
        <f t="shared" si="85"/>
        <v>8</v>
      </c>
      <c r="I103" s="146">
        <f t="shared" si="86"/>
        <v>0.3</v>
      </c>
      <c r="J103" s="146">
        <f t="shared" si="87"/>
        <v>0.3</v>
      </c>
      <c r="K103" s="149">
        <f t="shared" si="88"/>
        <v>3</v>
      </c>
      <c r="L103" s="149">
        <f t="shared" si="89"/>
        <v>8</v>
      </c>
      <c r="M103" s="149">
        <f t="shared" si="90"/>
        <v>3</v>
      </c>
      <c r="O103" s="137">
        <f t="shared" si="91"/>
        <v>1000</v>
      </c>
      <c r="P103" s="141">
        <f t="shared" si="92"/>
        <v>1000</v>
      </c>
      <c r="Q103" s="161">
        <f t="shared" si="93"/>
        <v>100</v>
      </c>
      <c r="R103" s="146">
        <f t="shared" si="94"/>
        <v>1.6</v>
      </c>
      <c r="S103" s="146">
        <f t="shared" si="95"/>
        <v>1.6</v>
      </c>
      <c r="T103" s="149">
        <f t="shared" si="96"/>
        <v>16</v>
      </c>
      <c r="U103" s="146">
        <f t="shared" si="97"/>
        <v>0.6</v>
      </c>
      <c r="V103" s="146">
        <f t="shared" si="98"/>
        <v>0.6</v>
      </c>
      <c r="W103" s="149">
        <f t="shared" si="99"/>
        <v>6</v>
      </c>
      <c r="X103" s="149">
        <f t="shared" si="100"/>
        <v>16</v>
      </c>
      <c r="Y103" s="149">
        <f t="shared" si="101"/>
        <v>6</v>
      </c>
      <c r="AG103">
        <f t="shared" si="102"/>
        <v>4</v>
      </c>
      <c r="AH103">
        <v>3</v>
      </c>
    </row>
    <row r="104" spans="1:34" ht="18.600000000000001" thickBot="1" x14ac:dyDescent="0.35">
      <c r="A104" t="str">
        <f t="shared" si="79"/>
        <v>4.4</v>
      </c>
      <c r="B104" s="137">
        <f t="shared" si="81"/>
        <v>1000</v>
      </c>
      <c r="C104" s="141" t="e">
        <f>VLOOKUP(CONCATENATE(AH104,".",3),'Resultados - 4'!$A$10:$G$156,5,FALSE)/$D$73</f>
        <v>#VALUE!</v>
      </c>
      <c r="D104" s="161" t="e">
        <f t="shared" si="82"/>
        <v>#VALUE!</v>
      </c>
      <c r="E104" s="146">
        <f t="shared" si="83"/>
        <v>0.8</v>
      </c>
      <c r="F104" s="146" t="e">
        <f t="shared" si="84"/>
        <v>#VALUE!</v>
      </c>
      <c r="H104" s="149" t="e">
        <f t="shared" si="85"/>
        <v>#VALUE!</v>
      </c>
      <c r="I104" s="146">
        <f t="shared" si="86"/>
        <v>0.3</v>
      </c>
      <c r="J104" s="146" t="e">
        <f t="shared" si="87"/>
        <v>#VALUE!</v>
      </c>
      <c r="K104" s="149" t="e">
        <f t="shared" si="88"/>
        <v>#VALUE!</v>
      </c>
      <c r="L104" s="149" t="e">
        <f t="shared" si="89"/>
        <v>#VALUE!</v>
      </c>
      <c r="M104" s="149" t="e">
        <f t="shared" si="90"/>
        <v>#VALUE!</v>
      </c>
      <c r="O104" s="137">
        <f t="shared" si="91"/>
        <v>1000</v>
      </c>
      <c r="P104" s="141" t="e">
        <f t="shared" si="92"/>
        <v>#VALUE!</v>
      </c>
      <c r="Q104" s="161" t="e">
        <f t="shared" si="93"/>
        <v>#VALUE!</v>
      </c>
      <c r="R104" s="146" t="e">
        <f t="shared" si="94"/>
        <v>#VALUE!</v>
      </c>
      <c r="S104" s="146" t="e">
        <f t="shared" si="95"/>
        <v>#VALUE!</v>
      </c>
      <c r="T104" s="149" t="e">
        <f t="shared" si="96"/>
        <v>#VALUE!</v>
      </c>
      <c r="U104" s="146" t="e">
        <f t="shared" si="97"/>
        <v>#VALUE!</v>
      </c>
      <c r="V104" s="146" t="e">
        <f t="shared" si="98"/>
        <v>#VALUE!</v>
      </c>
      <c r="W104" s="149" t="e">
        <f t="shared" si="99"/>
        <v>#VALUE!</v>
      </c>
      <c r="X104" s="149" t="e">
        <f t="shared" si="100"/>
        <v>#VALUE!</v>
      </c>
      <c r="Y104" s="149" t="e">
        <f t="shared" si="101"/>
        <v>#VALUE!</v>
      </c>
      <c r="AG104">
        <f t="shared" si="102"/>
        <v>4</v>
      </c>
      <c r="AH104">
        <v>4</v>
      </c>
    </row>
    <row r="105" spans="1:34" ht="18.600000000000001" thickBot="1" x14ac:dyDescent="0.35">
      <c r="A105" t="str">
        <f t="shared" si="79"/>
        <v>4.5</v>
      </c>
      <c r="B105" s="137">
        <f t="shared" si="81"/>
        <v>1000</v>
      </c>
      <c r="C105" s="141" t="e">
        <f>VLOOKUP(CONCATENATE(AH105,".",3),'Resultados - 4'!$A$10:$G$156,5,FALSE)/$D$73</f>
        <v>#VALUE!</v>
      </c>
      <c r="D105" s="161" t="e">
        <f t="shared" si="82"/>
        <v>#VALUE!</v>
      </c>
      <c r="E105" s="146">
        <f t="shared" si="83"/>
        <v>0.8</v>
      </c>
      <c r="F105" s="146" t="e">
        <f t="shared" si="84"/>
        <v>#VALUE!</v>
      </c>
      <c r="H105" s="149" t="e">
        <f t="shared" si="85"/>
        <v>#VALUE!</v>
      </c>
      <c r="I105" s="146">
        <f t="shared" si="86"/>
        <v>0.3</v>
      </c>
      <c r="J105" s="146" t="e">
        <f t="shared" si="87"/>
        <v>#VALUE!</v>
      </c>
      <c r="K105" s="149" t="e">
        <f t="shared" si="88"/>
        <v>#VALUE!</v>
      </c>
      <c r="L105" s="149" t="e">
        <f t="shared" si="89"/>
        <v>#VALUE!</v>
      </c>
      <c r="M105" s="149" t="e">
        <f t="shared" si="90"/>
        <v>#VALUE!</v>
      </c>
      <c r="O105" s="137">
        <f t="shared" si="91"/>
        <v>1000</v>
      </c>
      <c r="P105" s="141" t="e">
        <f t="shared" si="92"/>
        <v>#VALUE!</v>
      </c>
      <c r="Q105" s="161" t="e">
        <f t="shared" si="93"/>
        <v>#VALUE!</v>
      </c>
      <c r="R105" s="146" t="e">
        <f t="shared" si="94"/>
        <v>#VALUE!</v>
      </c>
      <c r="S105" s="146" t="e">
        <f t="shared" si="95"/>
        <v>#VALUE!</v>
      </c>
      <c r="T105" s="149" t="e">
        <f t="shared" si="96"/>
        <v>#VALUE!</v>
      </c>
      <c r="U105" s="146" t="e">
        <f t="shared" si="97"/>
        <v>#VALUE!</v>
      </c>
      <c r="V105" s="146" t="e">
        <f t="shared" si="98"/>
        <v>#VALUE!</v>
      </c>
      <c r="W105" s="149" t="e">
        <f t="shared" si="99"/>
        <v>#VALUE!</v>
      </c>
      <c r="X105" s="149" t="e">
        <f t="shared" si="100"/>
        <v>#VALUE!</v>
      </c>
      <c r="Y105" s="149" t="e">
        <f t="shared" si="101"/>
        <v>#VALUE!</v>
      </c>
      <c r="AG105">
        <f t="shared" si="102"/>
        <v>4</v>
      </c>
      <c r="AH105">
        <v>5</v>
      </c>
    </row>
    <row r="106" spans="1:34" ht="18.600000000000001" thickBot="1" x14ac:dyDescent="0.35">
      <c r="A106" t="str">
        <f t="shared" si="79"/>
        <v>4.6</v>
      </c>
      <c r="B106" s="137">
        <f t="shared" si="81"/>
        <v>1000</v>
      </c>
      <c r="C106" s="141" t="e">
        <f>VLOOKUP(CONCATENATE(AH106,".",3),'Resultados - 4'!$A$10:$G$156,5,FALSE)/$D$73</f>
        <v>#VALUE!</v>
      </c>
      <c r="D106" s="161" t="e">
        <f t="shared" si="82"/>
        <v>#VALUE!</v>
      </c>
      <c r="E106" s="146">
        <f t="shared" si="83"/>
        <v>0.8</v>
      </c>
      <c r="F106" s="146" t="e">
        <f t="shared" si="84"/>
        <v>#VALUE!</v>
      </c>
      <c r="H106" s="149" t="e">
        <f t="shared" si="85"/>
        <v>#VALUE!</v>
      </c>
      <c r="I106" s="146">
        <f t="shared" si="86"/>
        <v>0.3</v>
      </c>
      <c r="J106" s="146" t="e">
        <f t="shared" si="87"/>
        <v>#VALUE!</v>
      </c>
      <c r="K106" s="149" t="e">
        <f t="shared" si="88"/>
        <v>#VALUE!</v>
      </c>
      <c r="L106" s="149" t="e">
        <f t="shared" si="89"/>
        <v>#VALUE!</v>
      </c>
      <c r="M106" s="149" t="e">
        <f t="shared" si="90"/>
        <v>#VALUE!</v>
      </c>
      <c r="O106" s="137">
        <f t="shared" si="91"/>
        <v>1000</v>
      </c>
      <c r="P106" s="141" t="e">
        <f t="shared" si="92"/>
        <v>#VALUE!</v>
      </c>
      <c r="Q106" s="161" t="e">
        <f t="shared" si="93"/>
        <v>#VALUE!</v>
      </c>
      <c r="R106" s="146" t="e">
        <f t="shared" si="94"/>
        <v>#VALUE!</v>
      </c>
      <c r="S106" s="146" t="e">
        <f t="shared" si="95"/>
        <v>#VALUE!</v>
      </c>
      <c r="T106" s="149" t="e">
        <f t="shared" si="96"/>
        <v>#VALUE!</v>
      </c>
      <c r="U106" s="146" t="e">
        <f t="shared" si="97"/>
        <v>#VALUE!</v>
      </c>
      <c r="V106" s="146" t="e">
        <f t="shared" si="98"/>
        <v>#VALUE!</v>
      </c>
      <c r="W106" s="149" t="e">
        <f t="shared" si="99"/>
        <v>#VALUE!</v>
      </c>
      <c r="X106" s="149" t="e">
        <f t="shared" si="100"/>
        <v>#VALUE!</v>
      </c>
      <c r="Y106" s="149" t="e">
        <f t="shared" si="101"/>
        <v>#VALUE!</v>
      </c>
      <c r="AG106">
        <f t="shared" si="102"/>
        <v>4</v>
      </c>
      <c r="AH106">
        <v>6</v>
      </c>
    </row>
    <row r="107" spans="1:34" ht="18.600000000000001" thickBot="1" x14ac:dyDescent="0.35">
      <c r="A107" t="str">
        <f t="shared" si="79"/>
        <v>4.7</v>
      </c>
      <c r="B107" s="137">
        <f t="shared" si="81"/>
        <v>1000</v>
      </c>
      <c r="C107" s="141" t="e">
        <f>VLOOKUP(CONCATENATE(AH107,".",3),'Resultados - 4'!$A$10:$G$156,5,FALSE)/$D$73</f>
        <v>#VALUE!</v>
      </c>
      <c r="D107" s="161" t="e">
        <f t="shared" si="82"/>
        <v>#VALUE!</v>
      </c>
      <c r="E107" s="146">
        <f t="shared" si="83"/>
        <v>0.8</v>
      </c>
      <c r="F107" s="146" t="e">
        <f t="shared" si="84"/>
        <v>#VALUE!</v>
      </c>
      <c r="H107" s="149" t="e">
        <f t="shared" si="85"/>
        <v>#VALUE!</v>
      </c>
      <c r="I107" s="146">
        <f t="shared" si="86"/>
        <v>0.3</v>
      </c>
      <c r="J107" s="146" t="e">
        <f t="shared" si="87"/>
        <v>#VALUE!</v>
      </c>
      <c r="K107" s="149" t="e">
        <f t="shared" si="88"/>
        <v>#VALUE!</v>
      </c>
      <c r="L107" s="149" t="e">
        <f t="shared" si="89"/>
        <v>#VALUE!</v>
      </c>
      <c r="M107" s="149" t="e">
        <f t="shared" si="90"/>
        <v>#VALUE!</v>
      </c>
      <c r="O107" s="137">
        <f t="shared" si="91"/>
        <v>1000</v>
      </c>
      <c r="P107" s="141" t="e">
        <f t="shared" si="92"/>
        <v>#VALUE!</v>
      </c>
      <c r="Q107" s="161" t="e">
        <f t="shared" si="93"/>
        <v>#VALUE!</v>
      </c>
      <c r="R107" s="146" t="e">
        <f t="shared" si="94"/>
        <v>#VALUE!</v>
      </c>
      <c r="S107" s="146" t="e">
        <f t="shared" si="95"/>
        <v>#VALUE!</v>
      </c>
      <c r="T107" s="149" t="e">
        <f t="shared" si="96"/>
        <v>#VALUE!</v>
      </c>
      <c r="U107" s="146" t="e">
        <f t="shared" si="97"/>
        <v>#VALUE!</v>
      </c>
      <c r="V107" s="146" t="e">
        <f t="shared" si="98"/>
        <v>#VALUE!</v>
      </c>
      <c r="W107" s="149" t="e">
        <f t="shared" si="99"/>
        <v>#VALUE!</v>
      </c>
      <c r="X107" s="149" t="e">
        <f t="shared" si="100"/>
        <v>#VALUE!</v>
      </c>
      <c r="Y107" s="149" t="e">
        <f t="shared" si="101"/>
        <v>#VALUE!</v>
      </c>
      <c r="AG107">
        <f t="shared" si="102"/>
        <v>4</v>
      </c>
      <c r="AH107">
        <v>7</v>
      </c>
    </row>
    <row r="108" spans="1:34" ht="18.600000000000001" thickBot="1" x14ac:dyDescent="0.35">
      <c r="A108" s="182"/>
      <c r="B108" s="183"/>
      <c r="C108" s="184"/>
      <c r="D108" s="185"/>
      <c r="E108" s="186"/>
      <c r="F108" s="186"/>
      <c r="G108" s="187"/>
      <c r="H108" s="188"/>
      <c r="I108" s="186"/>
      <c r="J108" s="186"/>
      <c r="K108" s="188"/>
      <c r="L108" s="188"/>
      <c r="M108" s="188"/>
      <c r="N108" s="182"/>
      <c r="O108" s="183"/>
      <c r="P108" s="184"/>
      <c r="Q108" s="185"/>
      <c r="R108" s="186"/>
      <c r="S108" s="186"/>
      <c r="T108" s="188"/>
      <c r="U108" s="186"/>
      <c r="V108" s="186"/>
      <c r="W108" s="188"/>
      <c r="X108" s="188"/>
      <c r="Y108" s="188"/>
    </row>
    <row r="109" spans="1:34" ht="18.600000000000001" thickBot="1" x14ac:dyDescent="0.35">
      <c r="A109" t="str">
        <f t="shared" ref="A109:A115" si="103">CONCATENATE(AG109,".",AH109)</f>
        <v>5.1</v>
      </c>
      <c r="B109" s="137">
        <f>$B$73/$D$73</f>
        <v>1000</v>
      </c>
      <c r="C109" s="141">
        <f>VLOOKUP(CONCATENATE(AH109,".",3),'Resultados - 5'!$A$10:$G$156,5,FALSE)/$D$73</f>
        <v>100</v>
      </c>
      <c r="D109" s="161">
        <f>IF(C109/B109&lt;0.1,"Valor Abaixo de 10% - Não Válido",C109/B109*100)</f>
        <v>10</v>
      </c>
      <c r="E109" s="146">
        <f>IFERROR(VLOOKUP(D109,$A$39:$F$56,$E$57,FALSE),VLOOKUP(100,$A$39:$F$56,$E$57,FALSE))</f>
        <v>8</v>
      </c>
      <c r="F109" s="146">
        <f>B109/C109*E109</f>
        <v>80</v>
      </c>
      <c r="H109" s="149">
        <f>IF(OR(D109=10,D109=50,D109=100),C109*E109%,C109*F109%)</f>
        <v>8</v>
      </c>
      <c r="I109" s="146">
        <f>IFERROR(VLOOKUP(D109,$A$39:$F$56,$F$57,FALSE),VLOOKUP(100,$A$39:$F$56,$F$57,FALSE))</f>
        <v>3</v>
      </c>
      <c r="J109" s="146">
        <f>B109/C109*I109</f>
        <v>30</v>
      </c>
      <c r="K109" s="149">
        <f>IF(OR(D109=10,D109=50,D109=100),C109*I109%,C109*J109%)</f>
        <v>3</v>
      </c>
      <c r="L109" s="149">
        <f>H109*$D$73</f>
        <v>8</v>
      </c>
      <c r="M109" s="149">
        <f>K109*$D$73</f>
        <v>3</v>
      </c>
      <c r="O109" s="137">
        <f>B109</f>
        <v>1000</v>
      </c>
      <c r="P109" s="141">
        <f>C109</f>
        <v>100</v>
      </c>
      <c r="Q109" s="161">
        <f>IF(P109/O109&lt;0.1,"Valor Abaixo de 10% - Não Válido",O109/O109*100)</f>
        <v>100</v>
      </c>
      <c r="R109" s="146">
        <f>VLOOKUP(Q109,$G$39:$L$56,$K$57,FALSE)</f>
        <v>1.6</v>
      </c>
      <c r="S109" s="146">
        <f>O109/P109*R109</f>
        <v>16</v>
      </c>
      <c r="T109" s="149">
        <f>IF(OR(Q109=10,Q109=50,Q109=100),O109*R109%,O109*S109%)</f>
        <v>16</v>
      </c>
      <c r="U109" s="146">
        <f>VLOOKUP(Q109,$G$39:$L$56,$L$57,FALSE)</f>
        <v>0.6</v>
      </c>
      <c r="V109" s="146">
        <f>O109/P109*U109</f>
        <v>6</v>
      </c>
      <c r="W109" s="149">
        <f>IF(OR(Q109=10,Q109=50,Q109=100),O109*U109%,O109*V109%)</f>
        <v>6</v>
      </c>
      <c r="X109" s="149">
        <f>T109*$D$73</f>
        <v>16</v>
      </c>
      <c r="Y109" s="149">
        <f>W109*$D$73</f>
        <v>6</v>
      </c>
      <c r="AG109">
        <f t="shared" ref="AG109" si="104">AG107+1</f>
        <v>5</v>
      </c>
      <c r="AH109">
        <v>1</v>
      </c>
    </row>
    <row r="110" spans="1:34" ht="18.600000000000001" thickBot="1" x14ac:dyDescent="0.35">
      <c r="A110" t="str">
        <f t="shared" si="103"/>
        <v>5.2</v>
      </c>
      <c r="B110" s="137">
        <f t="shared" ref="B110:B115" si="105">$B$73/$D$73</f>
        <v>1000</v>
      </c>
      <c r="C110" s="141">
        <f>VLOOKUP(CONCATENATE(AH110,".",3),'Resultados - 5'!$A$10:$G$156,5,FALSE)/$D$73</f>
        <v>500</v>
      </c>
      <c r="D110" s="161">
        <f t="shared" ref="D110:D115" si="106">IF(C110/B110&lt;0.1,"Valor Abaixo de 10% - Não Válido",C110/B110*100)</f>
        <v>50</v>
      </c>
      <c r="E110" s="146">
        <f t="shared" ref="E110:E115" si="107">IFERROR(VLOOKUP(D110,$A$39:$F$56,$E$57,FALSE),VLOOKUP(100,$A$39:$F$56,$E$57,FALSE))</f>
        <v>1.6</v>
      </c>
      <c r="F110" s="146">
        <f t="shared" ref="F110:F115" si="108">B110/C110*E110</f>
        <v>3.2</v>
      </c>
      <c r="H110" s="149">
        <f t="shared" ref="H110:H115" si="109">IF(OR(D110=10,D110=50,D110=100),C110*E110%,C110*F110%)</f>
        <v>8</v>
      </c>
      <c r="I110" s="146">
        <f t="shared" ref="I110:I115" si="110">IFERROR(VLOOKUP(D110,$A$39:$F$56,$F$57,FALSE),VLOOKUP(100,$A$39:$F$56,$F$57,FALSE))</f>
        <v>0.6</v>
      </c>
      <c r="J110" s="146">
        <f t="shared" ref="J110:J115" si="111">B110/C110*I110</f>
        <v>1.2</v>
      </c>
      <c r="K110" s="149">
        <f t="shared" ref="K110:K115" si="112">IF(OR(D110=10,D110=50,D110=100),C110*I110%,C110*J110%)</f>
        <v>3</v>
      </c>
      <c r="L110" s="149">
        <f t="shared" ref="L110:L115" si="113">H110*$D$73</f>
        <v>8</v>
      </c>
      <c r="M110" s="149">
        <f t="shared" ref="M110:M115" si="114">K110*$D$73</f>
        <v>3</v>
      </c>
      <c r="O110" s="137">
        <f t="shared" ref="O110:O115" si="115">B110</f>
        <v>1000</v>
      </c>
      <c r="P110" s="141">
        <f t="shared" ref="P110:P115" si="116">C110</f>
        <v>500</v>
      </c>
      <c r="Q110" s="161">
        <f t="shared" ref="Q110:Q115" si="117">IF(P110/O110&lt;0.1,"Valor Abaixo de 10% - Não Válido",O110/O110*100)</f>
        <v>100</v>
      </c>
      <c r="R110" s="146">
        <f t="shared" ref="R110:R115" si="118">VLOOKUP(Q110,$G$39:$L$56,$K$57,FALSE)</f>
        <v>1.6</v>
      </c>
      <c r="S110" s="146">
        <f t="shared" ref="S110:S115" si="119">O110/P110*R110</f>
        <v>3.2</v>
      </c>
      <c r="T110" s="149">
        <f t="shared" ref="T110:T115" si="120">IF(OR(Q110=10,Q110=50,Q110=100),O110*R110%,O110*S110%)</f>
        <v>16</v>
      </c>
      <c r="U110" s="146">
        <f t="shared" ref="U110:U115" si="121">VLOOKUP(Q110,$G$39:$L$56,$L$57,FALSE)</f>
        <v>0.6</v>
      </c>
      <c r="V110" s="146">
        <f t="shared" ref="V110:V115" si="122">O110/P110*U110</f>
        <v>1.2</v>
      </c>
      <c r="W110" s="149">
        <f t="shared" ref="W110:W115" si="123">IF(OR(Q110=10,Q110=50,Q110=100),O110*U110%,O110*V110%)</f>
        <v>6</v>
      </c>
      <c r="X110" s="149">
        <f t="shared" ref="X110:X115" si="124">T110*$D$73</f>
        <v>16</v>
      </c>
      <c r="Y110" s="149">
        <f t="shared" ref="Y110:Y115" si="125">W110*$D$73</f>
        <v>6</v>
      </c>
      <c r="AG110">
        <f t="shared" ref="AG110:AG115" si="126">AG109</f>
        <v>5</v>
      </c>
      <c r="AH110">
        <v>2</v>
      </c>
    </row>
    <row r="111" spans="1:34" ht="18.600000000000001" thickBot="1" x14ac:dyDescent="0.35">
      <c r="A111" t="str">
        <f t="shared" si="103"/>
        <v>5.3</v>
      </c>
      <c r="B111" s="137">
        <f t="shared" si="105"/>
        <v>1000</v>
      </c>
      <c r="C111" s="141">
        <f>VLOOKUP(CONCATENATE(AH111,".",3),'Resultados - 5'!$A$10:$G$156,5,FALSE)/$D$73</f>
        <v>1000</v>
      </c>
      <c r="D111" s="161">
        <f t="shared" si="106"/>
        <v>100</v>
      </c>
      <c r="E111" s="146">
        <f t="shared" si="107"/>
        <v>0.8</v>
      </c>
      <c r="F111" s="146">
        <f t="shared" si="108"/>
        <v>0.8</v>
      </c>
      <c r="H111" s="149">
        <f t="shared" si="109"/>
        <v>8</v>
      </c>
      <c r="I111" s="146">
        <f t="shared" si="110"/>
        <v>0.3</v>
      </c>
      <c r="J111" s="146">
        <f t="shared" si="111"/>
        <v>0.3</v>
      </c>
      <c r="K111" s="149">
        <f t="shared" si="112"/>
        <v>3</v>
      </c>
      <c r="L111" s="149">
        <f t="shared" si="113"/>
        <v>8</v>
      </c>
      <c r="M111" s="149">
        <f t="shared" si="114"/>
        <v>3</v>
      </c>
      <c r="O111" s="137">
        <f t="shared" si="115"/>
        <v>1000</v>
      </c>
      <c r="P111" s="141">
        <f t="shared" si="116"/>
        <v>1000</v>
      </c>
      <c r="Q111" s="161">
        <f t="shared" si="117"/>
        <v>100</v>
      </c>
      <c r="R111" s="146">
        <f t="shared" si="118"/>
        <v>1.6</v>
      </c>
      <c r="S111" s="146">
        <f t="shared" si="119"/>
        <v>1.6</v>
      </c>
      <c r="T111" s="149">
        <f t="shared" si="120"/>
        <v>16</v>
      </c>
      <c r="U111" s="146">
        <f t="shared" si="121"/>
        <v>0.6</v>
      </c>
      <c r="V111" s="146">
        <f t="shared" si="122"/>
        <v>0.6</v>
      </c>
      <c r="W111" s="149">
        <f t="shared" si="123"/>
        <v>6</v>
      </c>
      <c r="X111" s="149">
        <f t="shared" si="124"/>
        <v>16</v>
      </c>
      <c r="Y111" s="149">
        <f t="shared" si="125"/>
        <v>6</v>
      </c>
      <c r="AG111">
        <f t="shared" si="126"/>
        <v>5</v>
      </c>
      <c r="AH111">
        <v>3</v>
      </c>
    </row>
    <row r="112" spans="1:34" ht="18.600000000000001" thickBot="1" x14ac:dyDescent="0.35">
      <c r="A112" t="str">
        <f t="shared" si="103"/>
        <v>5.4</v>
      </c>
      <c r="B112" s="137">
        <f t="shared" si="105"/>
        <v>1000</v>
      </c>
      <c r="C112" s="141" t="e">
        <f>VLOOKUP(CONCATENATE(AH112,".",3),'Resultados - 5'!$A$10:$G$156,5,FALSE)/$D$73</f>
        <v>#VALUE!</v>
      </c>
      <c r="D112" s="161" t="e">
        <f t="shared" si="106"/>
        <v>#VALUE!</v>
      </c>
      <c r="E112" s="146">
        <f t="shared" si="107"/>
        <v>0.8</v>
      </c>
      <c r="F112" s="146" t="e">
        <f t="shared" si="108"/>
        <v>#VALUE!</v>
      </c>
      <c r="H112" s="149" t="e">
        <f t="shared" si="109"/>
        <v>#VALUE!</v>
      </c>
      <c r="I112" s="146">
        <f t="shared" si="110"/>
        <v>0.3</v>
      </c>
      <c r="J112" s="146" t="e">
        <f t="shared" si="111"/>
        <v>#VALUE!</v>
      </c>
      <c r="K112" s="149" t="e">
        <f t="shared" si="112"/>
        <v>#VALUE!</v>
      </c>
      <c r="L112" s="149" t="e">
        <f t="shared" si="113"/>
        <v>#VALUE!</v>
      </c>
      <c r="M112" s="149" t="e">
        <f t="shared" si="114"/>
        <v>#VALUE!</v>
      </c>
      <c r="O112" s="137">
        <f t="shared" si="115"/>
        <v>1000</v>
      </c>
      <c r="P112" s="141" t="e">
        <f t="shared" si="116"/>
        <v>#VALUE!</v>
      </c>
      <c r="Q112" s="161" t="e">
        <f t="shared" si="117"/>
        <v>#VALUE!</v>
      </c>
      <c r="R112" s="146" t="e">
        <f t="shared" si="118"/>
        <v>#VALUE!</v>
      </c>
      <c r="S112" s="146" t="e">
        <f t="shared" si="119"/>
        <v>#VALUE!</v>
      </c>
      <c r="T112" s="149" t="e">
        <f t="shared" si="120"/>
        <v>#VALUE!</v>
      </c>
      <c r="U112" s="146" t="e">
        <f t="shared" si="121"/>
        <v>#VALUE!</v>
      </c>
      <c r="V112" s="146" t="e">
        <f t="shared" si="122"/>
        <v>#VALUE!</v>
      </c>
      <c r="W112" s="149" t="e">
        <f t="shared" si="123"/>
        <v>#VALUE!</v>
      </c>
      <c r="X112" s="149" t="e">
        <f t="shared" si="124"/>
        <v>#VALUE!</v>
      </c>
      <c r="Y112" s="149" t="e">
        <f t="shared" si="125"/>
        <v>#VALUE!</v>
      </c>
      <c r="AG112">
        <f t="shared" si="126"/>
        <v>5</v>
      </c>
      <c r="AH112">
        <v>4</v>
      </c>
    </row>
    <row r="113" spans="1:34" ht="18.600000000000001" thickBot="1" x14ac:dyDescent="0.35">
      <c r="A113" t="str">
        <f t="shared" si="103"/>
        <v>5.5</v>
      </c>
      <c r="B113" s="137">
        <f t="shared" si="105"/>
        <v>1000</v>
      </c>
      <c r="C113" s="141" t="e">
        <f>VLOOKUP(CONCATENATE(AH113,".",3),'Resultados - 5'!$A$10:$G$156,5,FALSE)/$D$73</f>
        <v>#VALUE!</v>
      </c>
      <c r="D113" s="161" t="e">
        <f t="shared" si="106"/>
        <v>#VALUE!</v>
      </c>
      <c r="E113" s="146">
        <f t="shared" si="107"/>
        <v>0.8</v>
      </c>
      <c r="F113" s="146" t="e">
        <f t="shared" si="108"/>
        <v>#VALUE!</v>
      </c>
      <c r="H113" s="149" t="e">
        <f t="shared" si="109"/>
        <v>#VALUE!</v>
      </c>
      <c r="I113" s="146">
        <f t="shared" si="110"/>
        <v>0.3</v>
      </c>
      <c r="J113" s="146" t="e">
        <f t="shared" si="111"/>
        <v>#VALUE!</v>
      </c>
      <c r="K113" s="149" t="e">
        <f t="shared" si="112"/>
        <v>#VALUE!</v>
      </c>
      <c r="L113" s="149" t="e">
        <f t="shared" si="113"/>
        <v>#VALUE!</v>
      </c>
      <c r="M113" s="149" t="e">
        <f t="shared" si="114"/>
        <v>#VALUE!</v>
      </c>
      <c r="O113" s="137">
        <f t="shared" si="115"/>
        <v>1000</v>
      </c>
      <c r="P113" s="141" t="e">
        <f t="shared" si="116"/>
        <v>#VALUE!</v>
      </c>
      <c r="Q113" s="161" t="e">
        <f t="shared" si="117"/>
        <v>#VALUE!</v>
      </c>
      <c r="R113" s="146" t="e">
        <f t="shared" si="118"/>
        <v>#VALUE!</v>
      </c>
      <c r="S113" s="146" t="e">
        <f t="shared" si="119"/>
        <v>#VALUE!</v>
      </c>
      <c r="T113" s="149" t="e">
        <f t="shared" si="120"/>
        <v>#VALUE!</v>
      </c>
      <c r="U113" s="146" t="e">
        <f t="shared" si="121"/>
        <v>#VALUE!</v>
      </c>
      <c r="V113" s="146" t="e">
        <f t="shared" si="122"/>
        <v>#VALUE!</v>
      </c>
      <c r="W113" s="149" t="e">
        <f t="shared" si="123"/>
        <v>#VALUE!</v>
      </c>
      <c r="X113" s="149" t="e">
        <f t="shared" si="124"/>
        <v>#VALUE!</v>
      </c>
      <c r="Y113" s="149" t="e">
        <f t="shared" si="125"/>
        <v>#VALUE!</v>
      </c>
      <c r="AG113">
        <f t="shared" si="126"/>
        <v>5</v>
      </c>
      <c r="AH113">
        <v>5</v>
      </c>
    </row>
    <row r="114" spans="1:34" ht="18.600000000000001" thickBot="1" x14ac:dyDescent="0.35">
      <c r="A114" t="str">
        <f t="shared" si="103"/>
        <v>5.6</v>
      </c>
      <c r="B114" s="137">
        <f t="shared" si="105"/>
        <v>1000</v>
      </c>
      <c r="C114" s="141" t="e">
        <f>VLOOKUP(CONCATENATE(AH114,".",3),'Resultados - 5'!$A$10:$G$156,5,FALSE)/$D$73</f>
        <v>#VALUE!</v>
      </c>
      <c r="D114" s="161" t="e">
        <f t="shared" si="106"/>
        <v>#VALUE!</v>
      </c>
      <c r="E114" s="146">
        <f t="shared" si="107"/>
        <v>0.8</v>
      </c>
      <c r="F114" s="146" t="e">
        <f t="shared" si="108"/>
        <v>#VALUE!</v>
      </c>
      <c r="H114" s="149" t="e">
        <f t="shared" si="109"/>
        <v>#VALUE!</v>
      </c>
      <c r="I114" s="146">
        <f t="shared" si="110"/>
        <v>0.3</v>
      </c>
      <c r="J114" s="146" t="e">
        <f t="shared" si="111"/>
        <v>#VALUE!</v>
      </c>
      <c r="K114" s="149" t="e">
        <f t="shared" si="112"/>
        <v>#VALUE!</v>
      </c>
      <c r="L114" s="149" t="e">
        <f t="shared" si="113"/>
        <v>#VALUE!</v>
      </c>
      <c r="M114" s="149" t="e">
        <f t="shared" si="114"/>
        <v>#VALUE!</v>
      </c>
      <c r="O114" s="137">
        <f t="shared" si="115"/>
        <v>1000</v>
      </c>
      <c r="P114" s="141" t="e">
        <f t="shared" si="116"/>
        <v>#VALUE!</v>
      </c>
      <c r="Q114" s="161" t="e">
        <f t="shared" si="117"/>
        <v>#VALUE!</v>
      </c>
      <c r="R114" s="146" t="e">
        <f t="shared" si="118"/>
        <v>#VALUE!</v>
      </c>
      <c r="S114" s="146" t="e">
        <f t="shared" si="119"/>
        <v>#VALUE!</v>
      </c>
      <c r="T114" s="149" t="e">
        <f t="shared" si="120"/>
        <v>#VALUE!</v>
      </c>
      <c r="U114" s="146" t="e">
        <f t="shared" si="121"/>
        <v>#VALUE!</v>
      </c>
      <c r="V114" s="146" t="e">
        <f t="shared" si="122"/>
        <v>#VALUE!</v>
      </c>
      <c r="W114" s="149" t="e">
        <f t="shared" si="123"/>
        <v>#VALUE!</v>
      </c>
      <c r="X114" s="149" t="e">
        <f t="shared" si="124"/>
        <v>#VALUE!</v>
      </c>
      <c r="Y114" s="149" t="e">
        <f t="shared" si="125"/>
        <v>#VALUE!</v>
      </c>
      <c r="AG114">
        <f t="shared" si="126"/>
        <v>5</v>
      </c>
      <c r="AH114">
        <v>6</v>
      </c>
    </row>
    <row r="115" spans="1:34" ht="18.600000000000001" thickBot="1" x14ac:dyDescent="0.35">
      <c r="A115" t="str">
        <f t="shared" si="103"/>
        <v>5.7</v>
      </c>
      <c r="B115" s="137">
        <f t="shared" si="105"/>
        <v>1000</v>
      </c>
      <c r="C115" s="141" t="e">
        <f>VLOOKUP(CONCATENATE(AH115,".",3),'Resultados - 5'!$A$10:$G$156,5,FALSE)/$D$73</f>
        <v>#VALUE!</v>
      </c>
      <c r="D115" s="161" t="e">
        <f t="shared" si="106"/>
        <v>#VALUE!</v>
      </c>
      <c r="E115" s="146">
        <f t="shared" si="107"/>
        <v>0.8</v>
      </c>
      <c r="F115" s="146" t="e">
        <f t="shared" si="108"/>
        <v>#VALUE!</v>
      </c>
      <c r="H115" s="149" t="e">
        <f t="shared" si="109"/>
        <v>#VALUE!</v>
      </c>
      <c r="I115" s="146">
        <f t="shared" si="110"/>
        <v>0.3</v>
      </c>
      <c r="J115" s="146" t="e">
        <f t="shared" si="111"/>
        <v>#VALUE!</v>
      </c>
      <c r="K115" s="149" t="e">
        <f t="shared" si="112"/>
        <v>#VALUE!</v>
      </c>
      <c r="L115" s="149" t="e">
        <f t="shared" si="113"/>
        <v>#VALUE!</v>
      </c>
      <c r="M115" s="149" t="e">
        <f t="shared" si="114"/>
        <v>#VALUE!</v>
      </c>
      <c r="O115" s="137">
        <f t="shared" si="115"/>
        <v>1000</v>
      </c>
      <c r="P115" s="141" t="e">
        <f t="shared" si="116"/>
        <v>#VALUE!</v>
      </c>
      <c r="Q115" s="161" t="e">
        <f t="shared" si="117"/>
        <v>#VALUE!</v>
      </c>
      <c r="R115" s="146" t="e">
        <f t="shared" si="118"/>
        <v>#VALUE!</v>
      </c>
      <c r="S115" s="146" t="e">
        <f t="shared" si="119"/>
        <v>#VALUE!</v>
      </c>
      <c r="T115" s="149" t="e">
        <f t="shared" si="120"/>
        <v>#VALUE!</v>
      </c>
      <c r="U115" s="146" t="e">
        <f t="shared" si="121"/>
        <v>#VALUE!</v>
      </c>
      <c r="V115" s="146" t="e">
        <f t="shared" si="122"/>
        <v>#VALUE!</v>
      </c>
      <c r="W115" s="149" t="e">
        <f t="shared" si="123"/>
        <v>#VALUE!</v>
      </c>
      <c r="X115" s="149" t="e">
        <f t="shared" si="124"/>
        <v>#VALUE!</v>
      </c>
      <c r="Y115" s="149" t="e">
        <f t="shared" si="125"/>
        <v>#VALUE!</v>
      </c>
      <c r="AG115">
        <f t="shared" si="126"/>
        <v>5</v>
      </c>
      <c r="AH115">
        <v>7</v>
      </c>
    </row>
    <row r="116" spans="1:34" ht="18.600000000000001" thickBot="1" x14ac:dyDescent="0.35">
      <c r="A116" s="182"/>
      <c r="B116" s="183"/>
      <c r="C116" s="184"/>
      <c r="D116" s="185"/>
      <c r="E116" s="186"/>
      <c r="F116" s="186"/>
      <c r="G116" s="187"/>
      <c r="H116" s="188"/>
      <c r="I116" s="186"/>
      <c r="J116" s="186"/>
      <c r="K116" s="188"/>
      <c r="L116" s="188"/>
      <c r="M116" s="188"/>
      <c r="N116" s="182"/>
      <c r="O116" s="183"/>
      <c r="P116" s="184"/>
      <c r="Q116" s="185"/>
      <c r="R116" s="186"/>
      <c r="S116" s="186"/>
      <c r="T116" s="188"/>
      <c r="U116" s="186"/>
      <c r="V116" s="186"/>
      <c r="W116" s="188"/>
      <c r="X116" s="188"/>
      <c r="Y116" s="188"/>
    </row>
    <row r="117" spans="1:34" ht="18.600000000000001" thickBot="1" x14ac:dyDescent="0.35">
      <c r="A117" t="str">
        <f t="shared" ref="A117:A123" si="127">CONCATENATE(AG117,".",AH117)</f>
        <v>6.1</v>
      </c>
      <c r="B117" s="137">
        <f>$B$73/$D$73</f>
        <v>1000</v>
      </c>
      <c r="C117" s="141">
        <f>VLOOKUP(CONCATENATE(AH117,".",3),'Resultados - 6'!$A$10:$G$156,5,FALSE)/$D$73</f>
        <v>100</v>
      </c>
      <c r="D117" s="161">
        <f>IF(C117/B117&lt;0.1,"Valor Abaixo de 10% - Não Válido",C117/B117*100)</f>
        <v>10</v>
      </c>
      <c r="E117" s="146">
        <f>IFERROR(VLOOKUP(D117,$A$39:$F$56,$E$57,FALSE),VLOOKUP(100,$A$39:$F$56,$E$57,FALSE))</f>
        <v>8</v>
      </c>
      <c r="F117" s="146">
        <f>B117/C117*E117</f>
        <v>80</v>
      </c>
      <c r="H117" s="149">
        <f>IF(OR(D117=10,D117=50,D117=100),C117*E117%,C117*F117%)</f>
        <v>8</v>
      </c>
      <c r="I117" s="146">
        <f>IFERROR(VLOOKUP(D117,$A$39:$F$56,$F$57,FALSE),VLOOKUP(100,$A$39:$F$56,$F$57,FALSE))</f>
        <v>3</v>
      </c>
      <c r="J117" s="146">
        <f>B117/C117*I117</f>
        <v>30</v>
      </c>
      <c r="K117" s="149">
        <f>IF(OR(D117=10,D117=50,D117=100),C117*I117%,C117*J117%)</f>
        <v>3</v>
      </c>
      <c r="L117" s="149">
        <f>H117*$D$73</f>
        <v>8</v>
      </c>
      <c r="M117" s="149">
        <f>K117*$D$73</f>
        <v>3</v>
      </c>
      <c r="O117" s="137">
        <f>B117</f>
        <v>1000</v>
      </c>
      <c r="P117" s="141">
        <f>C117</f>
        <v>100</v>
      </c>
      <c r="Q117" s="161">
        <f>IF(P117/O117&lt;0.1,"Valor Abaixo de 10% - Não Válido",O117/O117*100)</f>
        <v>100</v>
      </c>
      <c r="R117" s="146">
        <f>VLOOKUP(Q117,$G$39:$L$56,$K$57,FALSE)</f>
        <v>1.6</v>
      </c>
      <c r="S117" s="146">
        <f>O117/P117*R117</f>
        <v>16</v>
      </c>
      <c r="T117" s="149">
        <f>IF(OR(Q117=10,Q117=50,Q117=100),O117*R117%,O117*S117%)</f>
        <v>16</v>
      </c>
      <c r="U117" s="146">
        <f>VLOOKUP(Q117,$G$39:$L$56,$L$57,FALSE)</f>
        <v>0.6</v>
      </c>
      <c r="V117" s="146">
        <f>O117/P117*U117</f>
        <v>6</v>
      </c>
      <c r="W117" s="149">
        <f>IF(OR(Q117=10,Q117=50,Q117=100),O117*U117%,O117*V117%)</f>
        <v>6</v>
      </c>
      <c r="X117" s="149">
        <f>T117*$D$73</f>
        <v>16</v>
      </c>
      <c r="Y117" s="149">
        <f>W117*$D$73</f>
        <v>6</v>
      </c>
      <c r="AG117">
        <f t="shared" ref="AG117" si="128">AG115+1</f>
        <v>6</v>
      </c>
      <c r="AH117">
        <v>1</v>
      </c>
    </row>
    <row r="118" spans="1:34" ht="18.600000000000001" thickBot="1" x14ac:dyDescent="0.35">
      <c r="A118" t="str">
        <f t="shared" si="127"/>
        <v>6.2</v>
      </c>
      <c r="B118" s="137">
        <f t="shared" ref="B118:B123" si="129">$B$73/$D$73</f>
        <v>1000</v>
      </c>
      <c r="C118" s="141">
        <f>VLOOKUP(CONCATENATE(AH118,".",3),'Resultados - 6'!$A$10:$G$156,5,FALSE)/$D$73</f>
        <v>500</v>
      </c>
      <c r="D118" s="161">
        <f t="shared" ref="D118:D123" si="130">IF(C118/B118&lt;0.1,"Valor Abaixo de 10% - Não Válido",C118/B118*100)</f>
        <v>50</v>
      </c>
      <c r="E118" s="146">
        <f t="shared" ref="E118:E123" si="131">IFERROR(VLOOKUP(D118,$A$39:$F$56,$E$57,FALSE),VLOOKUP(100,$A$39:$F$56,$E$57,FALSE))</f>
        <v>1.6</v>
      </c>
      <c r="F118" s="146">
        <f t="shared" ref="F118:F123" si="132">B118/C118*E118</f>
        <v>3.2</v>
      </c>
      <c r="H118" s="149">
        <f t="shared" ref="H118:H123" si="133">IF(OR(D118=10,D118=50,D118=100),C118*E118%,C118*F118%)</f>
        <v>8</v>
      </c>
      <c r="I118" s="146">
        <f t="shared" ref="I118:I123" si="134">IFERROR(VLOOKUP(D118,$A$39:$F$56,$F$57,FALSE),VLOOKUP(100,$A$39:$F$56,$F$57,FALSE))</f>
        <v>0.6</v>
      </c>
      <c r="J118" s="146">
        <f t="shared" ref="J118:J123" si="135">B118/C118*I118</f>
        <v>1.2</v>
      </c>
      <c r="K118" s="149">
        <f t="shared" ref="K118:K123" si="136">IF(OR(D118=10,D118=50,D118=100),C118*I118%,C118*J118%)</f>
        <v>3</v>
      </c>
      <c r="L118" s="149">
        <f t="shared" ref="L118:L123" si="137">H118*$D$73</f>
        <v>8</v>
      </c>
      <c r="M118" s="149">
        <f t="shared" ref="M118:M123" si="138">K118*$D$73</f>
        <v>3</v>
      </c>
      <c r="O118" s="137">
        <f t="shared" ref="O118:O123" si="139">B118</f>
        <v>1000</v>
      </c>
      <c r="P118" s="141">
        <f t="shared" ref="P118:P123" si="140">C118</f>
        <v>500</v>
      </c>
      <c r="Q118" s="161">
        <f t="shared" ref="Q118:Q123" si="141">IF(P118/O118&lt;0.1,"Valor Abaixo de 10% - Não Válido",O118/O118*100)</f>
        <v>100</v>
      </c>
      <c r="R118" s="146">
        <f t="shared" ref="R118:R123" si="142">VLOOKUP(Q118,$G$39:$L$56,$K$57,FALSE)</f>
        <v>1.6</v>
      </c>
      <c r="S118" s="146">
        <f t="shared" ref="S118:S123" si="143">O118/P118*R118</f>
        <v>3.2</v>
      </c>
      <c r="T118" s="149">
        <f t="shared" ref="T118:T123" si="144">IF(OR(Q118=10,Q118=50,Q118=100),O118*R118%,O118*S118%)</f>
        <v>16</v>
      </c>
      <c r="U118" s="146">
        <f t="shared" ref="U118:U123" si="145">VLOOKUP(Q118,$G$39:$L$56,$L$57,FALSE)</f>
        <v>0.6</v>
      </c>
      <c r="V118" s="146">
        <f t="shared" ref="V118:V123" si="146">O118/P118*U118</f>
        <v>1.2</v>
      </c>
      <c r="W118" s="149">
        <f t="shared" ref="W118:W123" si="147">IF(OR(Q118=10,Q118=50,Q118=100),O118*U118%,O118*V118%)</f>
        <v>6</v>
      </c>
      <c r="X118" s="149">
        <f t="shared" ref="X118:X123" si="148">T118*$D$73</f>
        <v>16</v>
      </c>
      <c r="Y118" s="149">
        <f t="shared" ref="Y118:Y123" si="149">W118*$D$73</f>
        <v>6</v>
      </c>
      <c r="AG118">
        <f t="shared" ref="AG118:AG123" si="150">AG117</f>
        <v>6</v>
      </c>
      <c r="AH118">
        <v>2</v>
      </c>
    </row>
    <row r="119" spans="1:34" ht="18.600000000000001" thickBot="1" x14ac:dyDescent="0.35">
      <c r="A119" t="str">
        <f t="shared" si="127"/>
        <v>6.3</v>
      </c>
      <c r="B119" s="137">
        <f t="shared" si="129"/>
        <v>1000</v>
      </c>
      <c r="C119" s="141">
        <f>VLOOKUP(CONCATENATE(AH119,".",3),'Resultados - 6'!$A$10:$G$156,5,FALSE)/$D$73</f>
        <v>1000</v>
      </c>
      <c r="D119" s="161">
        <f t="shared" si="130"/>
        <v>100</v>
      </c>
      <c r="E119" s="146">
        <f t="shared" si="131"/>
        <v>0.8</v>
      </c>
      <c r="F119" s="146">
        <f t="shared" si="132"/>
        <v>0.8</v>
      </c>
      <c r="H119" s="149">
        <f t="shared" si="133"/>
        <v>8</v>
      </c>
      <c r="I119" s="146">
        <f t="shared" si="134"/>
        <v>0.3</v>
      </c>
      <c r="J119" s="146">
        <f t="shared" si="135"/>
        <v>0.3</v>
      </c>
      <c r="K119" s="149">
        <f t="shared" si="136"/>
        <v>3</v>
      </c>
      <c r="L119" s="149">
        <f t="shared" si="137"/>
        <v>8</v>
      </c>
      <c r="M119" s="149">
        <f t="shared" si="138"/>
        <v>3</v>
      </c>
      <c r="O119" s="137">
        <f t="shared" si="139"/>
        <v>1000</v>
      </c>
      <c r="P119" s="141">
        <f t="shared" si="140"/>
        <v>1000</v>
      </c>
      <c r="Q119" s="161">
        <f t="shared" si="141"/>
        <v>100</v>
      </c>
      <c r="R119" s="146">
        <f t="shared" si="142"/>
        <v>1.6</v>
      </c>
      <c r="S119" s="146">
        <f t="shared" si="143"/>
        <v>1.6</v>
      </c>
      <c r="T119" s="149">
        <f t="shared" si="144"/>
        <v>16</v>
      </c>
      <c r="U119" s="146">
        <f t="shared" si="145"/>
        <v>0.6</v>
      </c>
      <c r="V119" s="146">
        <f t="shared" si="146"/>
        <v>0.6</v>
      </c>
      <c r="W119" s="149">
        <f t="shared" si="147"/>
        <v>6</v>
      </c>
      <c r="X119" s="149">
        <f t="shared" si="148"/>
        <v>16</v>
      </c>
      <c r="Y119" s="149">
        <f t="shared" si="149"/>
        <v>6</v>
      </c>
      <c r="AG119">
        <f t="shared" si="150"/>
        <v>6</v>
      </c>
      <c r="AH119">
        <v>3</v>
      </c>
    </row>
    <row r="120" spans="1:34" ht="18.600000000000001" thickBot="1" x14ac:dyDescent="0.35">
      <c r="A120" t="str">
        <f t="shared" si="127"/>
        <v>6.4</v>
      </c>
      <c r="B120" s="137">
        <f t="shared" si="129"/>
        <v>1000</v>
      </c>
      <c r="C120" s="141" t="e">
        <f>VLOOKUP(CONCATENATE(AH120,".",3),'Resultados - 6'!$A$10:$G$156,5,FALSE)/$D$73</f>
        <v>#VALUE!</v>
      </c>
      <c r="D120" s="161" t="e">
        <f t="shared" si="130"/>
        <v>#VALUE!</v>
      </c>
      <c r="E120" s="146">
        <f t="shared" si="131"/>
        <v>0.8</v>
      </c>
      <c r="F120" s="146" t="e">
        <f t="shared" si="132"/>
        <v>#VALUE!</v>
      </c>
      <c r="H120" s="149" t="e">
        <f t="shared" si="133"/>
        <v>#VALUE!</v>
      </c>
      <c r="I120" s="146">
        <f t="shared" si="134"/>
        <v>0.3</v>
      </c>
      <c r="J120" s="146" t="e">
        <f t="shared" si="135"/>
        <v>#VALUE!</v>
      </c>
      <c r="K120" s="149" t="e">
        <f t="shared" si="136"/>
        <v>#VALUE!</v>
      </c>
      <c r="L120" s="149" t="e">
        <f t="shared" si="137"/>
        <v>#VALUE!</v>
      </c>
      <c r="M120" s="149" t="e">
        <f t="shared" si="138"/>
        <v>#VALUE!</v>
      </c>
      <c r="O120" s="137">
        <f t="shared" si="139"/>
        <v>1000</v>
      </c>
      <c r="P120" s="141" t="e">
        <f t="shared" si="140"/>
        <v>#VALUE!</v>
      </c>
      <c r="Q120" s="161" t="e">
        <f t="shared" si="141"/>
        <v>#VALUE!</v>
      </c>
      <c r="R120" s="146" t="e">
        <f t="shared" si="142"/>
        <v>#VALUE!</v>
      </c>
      <c r="S120" s="146" t="e">
        <f t="shared" si="143"/>
        <v>#VALUE!</v>
      </c>
      <c r="T120" s="149" t="e">
        <f t="shared" si="144"/>
        <v>#VALUE!</v>
      </c>
      <c r="U120" s="146" t="e">
        <f t="shared" si="145"/>
        <v>#VALUE!</v>
      </c>
      <c r="V120" s="146" t="e">
        <f t="shared" si="146"/>
        <v>#VALUE!</v>
      </c>
      <c r="W120" s="149" t="e">
        <f t="shared" si="147"/>
        <v>#VALUE!</v>
      </c>
      <c r="X120" s="149" t="e">
        <f t="shared" si="148"/>
        <v>#VALUE!</v>
      </c>
      <c r="Y120" s="149" t="e">
        <f t="shared" si="149"/>
        <v>#VALUE!</v>
      </c>
      <c r="AG120">
        <f t="shared" si="150"/>
        <v>6</v>
      </c>
      <c r="AH120">
        <v>4</v>
      </c>
    </row>
    <row r="121" spans="1:34" ht="18.600000000000001" thickBot="1" x14ac:dyDescent="0.35">
      <c r="A121" t="str">
        <f t="shared" si="127"/>
        <v>6.5</v>
      </c>
      <c r="B121" s="137">
        <f t="shared" si="129"/>
        <v>1000</v>
      </c>
      <c r="C121" s="141" t="e">
        <f>VLOOKUP(CONCATENATE(AH121,".",3),'Resultados - 6'!$A$10:$G$156,5,FALSE)/$D$73</f>
        <v>#VALUE!</v>
      </c>
      <c r="D121" s="161" t="e">
        <f t="shared" si="130"/>
        <v>#VALUE!</v>
      </c>
      <c r="E121" s="146">
        <f t="shared" si="131"/>
        <v>0.8</v>
      </c>
      <c r="F121" s="146" t="e">
        <f t="shared" si="132"/>
        <v>#VALUE!</v>
      </c>
      <c r="H121" s="149" t="e">
        <f t="shared" si="133"/>
        <v>#VALUE!</v>
      </c>
      <c r="I121" s="146">
        <f t="shared" si="134"/>
        <v>0.3</v>
      </c>
      <c r="J121" s="146" t="e">
        <f t="shared" si="135"/>
        <v>#VALUE!</v>
      </c>
      <c r="K121" s="149" t="e">
        <f t="shared" si="136"/>
        <v>#VALUE!</v>
      </c>
      <c r="L121" s="149" t="e">
        <f t="shared" si="137"/>
        <v>#VALUE!</v>
      </c>
      <c r="M121" s="149" t="e">
        <f t="shared" si="138"/>
        <v>#VALUE!</v>
      </c>
      <c r="O121" s="137">
        <f t="shared" si="139"/>
        <v>1000</v>
      </c>
      <c r="P121" s="141" t="e">
        <f t="shared" si="140"/>
        <v>#VALUE!</v>
      </c>
      <c r="Q121" s="161" t="e">
        <f t="shared" si="141"/>
        <v>#VALUE!</v>
      </c>
      <c r="R121" s="146" t="e">
        <f t="shared" si="142"/>
        <v>#VALUE!</v>
      </c>
      <c r="S121" s="146" t="e">
        <f t="shared" si="143"/>
        <v>#VALUE!</v>
      </c>
      <c r="T121" s="149" t="e">
        <f t="shared" si="144"/>
        <v>#VALUE!</v>
      </c>
      <c r="U121" s="146" t="e">
        <f t="shared" si="145"/>
        <v>#VALUE!</v>
      </c>
      <c r="V121" s="146" t="e">
        <f t="shared" si="146"/>
        <v>#VALUE!</v>
      </c>
      <c r="W121" s="149" t="e">
        <f t="shared" si="147"/>
        <v>#VALUE!</v>
      </c>
      <c r="X121" s="149" t="e">
        <f t="shared" si="148"/>
        <v>#VALUE!</v>
      </c>
      <c r="Y121" s="149" t="e">
        <f t="shared" si="149"/>
        <v>#VALUE!</v>
      </c>
      <c r="AG121">
        <f t="shared" si="150"/>
        <v>6</v>
      </c>
      <c r="AH121">
        <v>5</v>
      </c>
    </row>
    <row r="122" spans="1:34" ht="18.600000000000001" thickBot="1" x14ac:dyDescent="0.35">
      <c r="A122" t="str">
        <f t="shared" si="127"/>
        <v>6.6</v>
      </c>
      <c r="B122" s="137">
        <f t="shared" si="129"/>
        <v>1000</v>
      </c>
      <c r="C122" s="141" t="e">
        <f>VLOOKUP(CONCATENATE(AH122,".",3),'Resultados - 6'!$A$10:$G$156,5,FALSE)/$D$73</f>
        <v>#VALUE!</v>
      </c>
      <c r="D122" s="161" t="e">
        <f t="shared" si="130"/>
        <v>#VALUE!</v>
      </c>
      <c r="E122" s="146">
        <f t="shared" si="131"/>
        <v>0.8</v>
      </c>
      <c r="F122" s="146" t="e">
        <f t="shared" si="132"/>
        <v>#VALUE!</v>
      </c>
      <c r="H122" s="149" t="e">
        <f t="shared" si="133"/>
        <v>#VALUE!</v>
      </c>
      <c r="I122" s="146">
        <f t="shared" si="134"/>
        <v>0.3</v>
      </c>
      <c r="J122" s="146" t="e">
        <f t="shared" si="135"/>
        <v>#VALUE!</v>
      </c>
      <c r="K122" s="149" t="e">
        <f t="shared" si="136"/>
        <v>#VALUE!</v>
      </c>
      <c r="L122" s="149" t="e">
        <f t="shared" si="137"/>
        <v>#VALUE!</v>
      </c>
      <c r="M122" s="149" t="e">
        <f t="shared" si="138"/>
        <v>#VALUE!</v>
      </c>
      <c r="O122" s="137">
        <f t="shared" si="139"/>
        <v>1000</v>
      </c>
      <c r="P122" s="141" t="e">
        <f t="shared" si="140"/>
        <v>#VALUE!</v>
      </c>
      <c r="Q122" s="161" t="e">
        <f t="shared" si="141"/>
        <v>#VALUE!</v>
      </c>
      <c r="R122" s="146" t="e">
        <f t="shared" si="142"/>
        <v>#VALUE!</v>
      </c>
      <c r="S122" s="146" t="e">
        <f t="shared" si="143"/>
        <v>#VALUE!</v>
      </c>
      <c r="T122" s="149" t="e">
        <f t="shared" si="144"/>
        <v>#VALUE!</v>
      </c>
      <c r="U122" s="146" t="e">
        <f t="shared" si="145"/>
        <v>#VALUE!</v>
      </c>
      <c r="V122" s="146" t="e">
        <f t="shared" si="146"/>
        <v>#VALUE!</v>
      </c>
      <c r="W122" s="149" t="e">
        <f t="shared" si="147"/>
        <v>#VALUE!</v>
      </c>
      <c r="X122" s="149" t="e">
        <f t="shared" si="148"/>
        <v>#VALUE!</v>
      </c>
      <c r="Y122" s="149" t="e">
        <f t="shared" si="149"/>
        <v>#VALUE!</v>
      </c>
      <c r="AG122">
        <f t="shared" si="150"/>
        <v>6</v>
      </c>
      <c r="AH122">
        <v>6</v>
      </c>
    </row>
    <row r="123" spans="1:34" ht="18.600000000000001" thickBot="1" x14ac:dyDescent="0.35">
      <c r="A123" t="str">
        <f t="shared" si="127"/>
        <v>6.7</v>
      </c>
      <c r="B123" s="137">
        <f t="shared" si="129"/>
        <v>1000</v>
      </c>
      <c r="C123" s="141" t="e">
        <f>VLOOKUP(CONCATENATE(AH123,".",3),'Resultados - 6'!$A$10:$G$156,5,FALSE)/$D$73</f>
        <v>#VALUE!</v>
      </c>
      <c r="D123" s="161" t="e">
        <f t="shared" si="130"/>
        <v>#VALUE!</v>
      </c>
      <c r="E123" s="146">
        <f t="shared" si="131"/>
        <v>0.8</v>
      </c>
      <c r="F123" s="146" t="e">
        <f t="shared" si="132"/>
        <v>#VALUE!</v>
      </c>
      <c r="H123" s="149" t="e">
        <f t="shared" si="133"/>
        <v>#VALUE!</v>
      </c>
      <c r="I123" s="146">
        <f t="shared" si="134"/>
        <v>0.3</v>
      </c>
      <c r="J123" s="146" t="e">
        <f t="shared" si="135"/>
        <v>#VALUE!</v>
      </c>
      <c r="K123" s="149" t="e">
        <f t="shared" si="136"/>
        <v>#VALUE!</v>
      </c>
      <c r="L123" s="149" t="e">
        <f t="shared" si="137"/>
        <v>#VALUE!</v>
      </c>
      <c r="M123" s="149" t="e">
        <f t="shared" si="138"/>
        <v>#VALUE!</v>
      </c>
      <c r="O123" s="137">
        <f t="shared" si="139"/>
        <v>1000</v>
      </c>
      <c r="P123" s="141" t="e">
        <f t="shared" si="140"/>
        <v>#VALUE!</v>
      </c>
      <c r="Q123" s="161" t="e">
        <f t="shared" si="141"/>
        <v>#VALUE!</v>
      </c>
      <c r="R123" s="146" t="e">
        <f t="shared" si="142"/>
        <v>#VALUE!</v>
      </c>
      <c r="S123" s="146" t="e">
        <f t="shared" si="143"/>
        <v>#VALUE!</v>
      </c>
      <c r="T123" s="149" t="e">
        <f t="shared" si="144"/>
        <v>#VALUE!</v>
      </c>
      <c r="U123" s="146" t="e">
        <f t="shared" si="145"/>
        <v>#VALUE!</v>
      </c>
      <c r="V123" s="146" t="e">
        <f t="shared" si="146"/>
        <v>#VALUE!</v>
      </c>
      <c r="W123" s="149" t="e">
        <f t="shared" si="147"/>
        <v>#VALUE!</v>
      </c>
      <c r="X123" s="149" t="e">
        <f t="shared" si="148"/>
        <v>#VALUE!</v>
      </c>
      <c r="Y123" s="149" t="e">
        <f t="shared" si="149"/>
        <v>#VALUE!</v>
      </c>
      <c r="AG123">
        <f t="shared" si="150"/>
        <v>6</v>
      </c>
      <c r="AH123">
        <v>7</v>
      </c>
    </row>
    <row r="124" spans="1:34" ht="18.600000000000001" thickBot="1" x14ac:dyDescent="0.35">
      <c r="A124" s="182"/>
      <c r="B124" s="183"/>
      <c r="C124" s="184"/>
      <c r="D124" s="185"/>
      <c r="E124" s="186"/>
      <c r="F124" s="186"/>
      <c r="G124" s="187"/>
      <c r="H124" s="188"/>
      <c r="I124" s="186"/>
      <c r="J124" s="186"/>
      <c r="K124" s="188"/>
      <c r="L124" s="188"/>
      <c r="M124" s="188"/>
      <c r="N124" s="182"/>
      <c r="O124" s="183"/>
      <c r="P124" s="184"/>
      <c r="Q124" s="185"/>
      <c r="R124" s="186"/>
      <c r="S124" s="186"/>
      <c r="T124" s="188"/>
      <c r="U124" s="186"/>
      <c r="V124" s="186"/>
      <c r="W124" s="188"/>
      <c r="X124" s="188"/>
      <c r="Y124" s="188"/>
    </row>
    <row r="125" spans="1:34" ht="18.600000000000001" thickBot="1" x14ac:dyDescent="0.35">
      <c r="A125" t="str">
        <f t="shared" ref="A125:A131" si="151">CONCATENATE(AG125,".",AH125)</f>
        <v>7.1</v>
      </c>
      <c r="B125" s="137">
        <f>$B$73/$D$73</f>
        <v>1000</v>
      </c>
      <c r="C125" s="141">
        <f>VLOOKUP(CONCATENATE(AH125,".",3),'Resultados - 7'!$A$10:$G$156,5,FALSE)/$D$73</f>
        <v>100</v>
      </c>
      <c r="D125" s="161">
        <f>IF(C125/B125&lt;0.1,"Valor Abaixo de 10% - Não Válido",C125/B125*100)</f>
        <v>10</v>
      </c>
      <c r="E125" s="146">
        <f>IFERROR(VLOOKUP(D125,$A$39:$F$56,$E$57,FALSE),VLOOKUP(100,$A$39:$F$56,$E$57,FALSE))</f>
        <v>8</v>
      </c>
      <c r="F125" s="146">
        <f>B125/C125*E125</f>
        <v>80</v>
      </c>
      <c r="H125" s="149">
        <f>IF(OR(D125=10,D125=50,D125=100),C125*E125%,C125*F125%)</f>
        <v>8</v>
      </c>
      <c r="I125" s="146">
        <f>IFERROR(VLOOKUP(D125,$A$39:$F$56,$F$57,FALSE),VLOOKUP(100,$A$39:$F$56,$F$57,FALSE))</f>
        <v>3</v>
      </c>
      <c r="J125" s="146">
        <f>B125/C125*I125</f>
        <v>30</v>
      </c>
      <c r="K125" s="149">
        <f>IF(OR(D125=10,D125=50,D125=100),C125*I125%,C125*J125%)</f>
        <v>3</v>
      </c>
      <c r="L125" s="149">
        <f>H125*$D$73</f>
        <v>8</v>
      </c>
      <c r="M125" s="149">
        <f>K125*$D$73</f>
        <v>3</v>
      </c>
      <c r="O125" s="137">
        <f>B125</f>
        <v>1000</v>
      </c>
      <c r="P125" s="141">
        <f>C125</f>
        <v>100</v>
      </c>
      <c r="Q125" s="161">
        <f>IF(P125/O125&lt;0.1,"Valor Abaixo de 10% - Não Válido",O125/O125*100)</f>
        <v>100</v>
      </c>
      <c r="R125" s="146">
        <f>VLOOKUP(Q125,$G$39:$L$56,$K$57,FALSE)</f>
        <v>1.6</v>
      </c>
      <c r="S125" s="146">
        <f>O125/P125*R125</f>
        <v>16</v>
      </c>
      <c r="T125" s="149">
        <f>IF(OR(Q125=10,Q125=50,Q125=100),O125*R125%,O125*S125%)</f>
        <v>16</v>
      </c>
      <c r="U125" s="146">
        <f>VLOOKUP(Q125,$G$39:$L$56,$L$57,FALSE)</f>
        <v>0.6</v>
      </c>
      <c r="V125" s="146">
        <f>O125/P125*U125</f>
        <v>6</v>
      </c>
      <c r="W125" s="149">
        <f>IF(OR(Q125=10,Q125=50,Q125=100),O125*U125%,O125*V125%)</f>
        <v>6</v>
      </c>
      <c r="X125" s="149">
        <f>T125*$D$73</f>
        <v>16</v>
      </c>
      <c r="Y125" s="149">
        <f>W125*$D$73</f>
        <v>6</v>
      </c>
      <c r="AG125">
        <f t="shared" ref="AG125" si="152">AG123+1</f>
        <v>7</v>
      </c>
      <c r="AH125">
        <v>1</v>
      </c>
    </row>
    <row r="126" spans="1:34" ht="18.600000000000001" thickBot="1" x14ac:dyDescent="0.35">
      <c r="A126" t="str">
        <f t="shared" si="151"/>
        <v>7.2</v>
      </c>
      <c r="B126" s="137">
        <f t="shared" ref="B126:B131" si="153">$B$73/$D$73</f>
        <v>1000</v>
      </c>
      <c r="C126" s="141">
        <f>VLOOKUP(CONCATENATE(AH126,".",3),'Resultados - 7'!$A$10:$G$156,5,FALSE)/$D$73</f>
        <v>500</v>
      </c>
      <c r="D126" s="161">
        <f t="shared" ref="D126:D131" si="154">IF(C126/B126&lt;0.1,"Valor Abaixo de 10% - Não Válido",C126/B126*100)</f>
        <v>50</v>
      </c>
      <c r="E126" s="146">
        <f t="shared" ref="E126:E131" si="155">IFERROR(VLOOKUP(D126,$A$39:$F$56,$E$57,FALSE),VLOOKUP(100,$A$39:$F$56,$E$57,FALSE))</f>
        <v>1.6</v>
      </c>
      <c r="F126" s="146">
        <f t="shared" ref="F126:F131" si="156">B126/C126*E126</f>
        <v>3.2</v>
      </c>
      <c r="H126" s="149">
        <f t="shared" ref="H126:H131" si="157">IF(OR(D126=10,D126=50,D126=100),C126*E126%,C126*F126%)</f>
        <v>8</v>
      </c>
      <c r="I126" s="146">
        <f t="shared" ref="I126:I131" si="158">IFERROR(VLOOKUP(D126,$A$39:$F$56,$F$57,FALSE),VLOOKUP(100,$A$39:$F$56,$F$57,FALSE))</f>
        <v>0.6</v>
      </c>
      <c r="J126" s="146">
        <f t="shared" ref="J126:J131" si="159">B126/C126*I126</f>
        <v>1.2</v>
      </c>
      <c r="K126" s="149">
        <f t="shared" ref="K126:K131" si="160">IF(OR(D126=10,D126=50,D126=100),C126*I126%,C126*J126%)</f>
        <v>3</v>
      </c>
      <c r="L126" s="149">
        <f t="shared" ref="L126:L131" si="161">H126*$D$73</f>
        <v>8</v>
      </c>
      <c r="M126" s="149">
        <f t="shared" ref="M126:M131" si="162">K126*$D$73</f>
        <v>3</v>
      </c>
      <c r="O126" s="137">
        <f t="shared" ref="O126:O131" si="163">B126</f>
        <v>1000</v>
      </c>
      <c r="P126" s="141">
        <f t="shared" ref="P126:P131" si="164">C126</f>
        <v>500</v>
      </c>
      <c r="Q126" s="161">
        <f t="shared" ref="Q126:Q131" si="165">IF(P126/O126&lt;0.1,"Valor Abaixo de 10% - Não Válido",O126/O126*100)</f>
        <v>100</v>
      </c>
      <c r="R126" s="146">
        <f t="shared" ref="R126:R131" si="166">VLOOKUP(Q126,$G$39:$L$56,$K$57,FALSE)</f>
        <v>1.6</v>
      </c>
      <c r="S126" s="146">
        <f t="shared" ref="S126:S131" si="167">O126/P126*R126</f>
        <v>3.2</v>
      </c>
      <c r="T126" s="149">
        <f t="shared" ref="T126:T131" si="168">IF(OR(Q126=10,Q126=50,Q126=100),O126*R126%,O126*S126%)</f>
        <v>16</v>
      </c>
      <c r="U126" s="146">
        <f t="shared" ref="U126:U131" si="169">VLOOKUP(Q126,$G$39:$L$56,$L$57,FALSE)</f>
        <v>0.6</v>
      </c>
      <c r="V126" s="146">
        <f t="shared" ref="V126:V131" si="170">O126/P126*U126</f>
        <v>1.2</v>
      </c>
      <c r="W126" s="149">
        <f t="shared" ref="W126:W131" si="171">IF(OR(Q126=10,Q126=50,Q126=100),O126*U126%,O126*V126%)</f>
        <v>6</v>
      </c>
      <c r="X126" s="149">
        <f t="shared" ref="X126:X131" si="172">T126*$D$73</f>
        <v>16</v>
      </c>
      <c r="Y126" s="149">
        <f t="shared" ref="Y126:Y131" si="173">W126*$D$73</f>
        <v>6</v>
      </c>
      <c r="AG126">
        <f t="shared" ref="AG126:AG131" si="174">AG125</f>
        <v>7</v>
      </c>
      <c r="AH126">
        <v>2</v>
      </c>
    </row>
    <row r="127" spans="1:34" ht="18.600000000000001" thickBot="1" x14ac:dyDescent="0.35">
      <c r="A127" t="str">
        <f t="shared" si="151"/>
        <v>7.3</v>
      </c>
      <c r="B127" s="137">
        <f t="shared" si="153"/>
        <v>1000</v>
      </c>
      <c r="C127" s="141">
        <f>VLOOKUP(CONCATENATE(AH127,".",3),'Resultados - 7'!$A$10:$G$156,5,FALSE)/$D$73</f>
        <v>1000</v>
      </c>
      <c r="D127" s="161">
        <f t="shared" si="154"/>
        <v>100</v>
      </c>
      <c r="E127" s="146">
        <f t="shared" si="155"/>
        <v>0.8</v>
      </c>
      <c r="F127" s="146">
        <f t="shared" si="156"/>
        <v>0.8</v>
      </c>
      <c r="H127" s="149">
        <f t="shared" si="157"/>
        <v>8</v>
      </c>
      <c r="I127" s="146">
        <f t="shared" si="158"/>
        <v>0.3</v>
      </c>
      <c r="J127" s="146">
        <f t="shared" si="159"/>
        <v>0.3</v>
      </c>
      <c r="K127" s="149">
        <f t="shared" si="160"/>
        <v>3</v>
      </c>
      <c r="L127" s="149">
        <f t="shared" si="161"/>
        <v>8</v>
      </c>
      <c r="M127" s="149">
        <f t="shared" si="162"/>
        <v>3</v>
      </c>
      <c r="O127" s="137">
        <f t="shared" si="163"/>
        <v>1000</v>
      </c>
      <c r="P127" s="141">
        <f t="shared" si="164"/>
        <v>1000</v>
      </c>
      <c r="Q127" s="161">
        <f t="shared" si="165"/>
        <v>100</v>
      </c>
      <c r="R127" s="146">
        <f t="shared" si="166"/>
        <v>1.6</v>
      </c>
      <c r="S127" s="146">
        <f t="shared" si="167"/>
        <v>1.6</v>
      </c>
      <c r="T127" s="149">
        <f t="shared" si="168"/>
        <v>16</v>
      </c>
      <c r="U127" s="146">
        <f t="shared" si="169"/>
        <v>0.6</v>
      </c>
      <c r="V127" s="146">
        <f t="shared" si="170"/>
        <v>0.6</v>
      </c>
      <c r="W127" s="149">
        <f t="shared" si="171"/>
        <v>6</v>
      </c>
      <c r="X127" s="149">
        <f t="shared" si="172"/>
        <v>16</v>
      </c>
      <c r="Y127" s="149">
        <f t="shared" si="173"/>
        <v>6</v>
      </c>
      <c r="AG127">
        <f t="shared" si="174"/>
        <v>7</v>
      </c>
      <c r="AH127">
        <v>3</v>
      </c>
    </row>
    <row r="128" spans="1:34" ht="18.600000000000001" thickBot="1" x14ac:dyDescent="0.35">
      <c r="A128" t="str">
        <f t="shared" si="151"/>
        <v>7.4</v>
      </c>
      <c r="B128" s="137">
        <f t="shared" si="153"/>
        <v>1000</v>
      </c>
      <c r="C128" s="141" t="e">
        <f>VLOOKUP(CONCATENATE(AH128,".",3),'Resultados - 7'!$A$10:$G$156,5,FALSE)/$D$73</f>
        <v>#VALUE!</v>
      </c>
      <c r="D128" s="161" t="e">
        <f t="shared" si="154"/>
        <v>#VALUE!</v>
      </c>
      <c r="E128" s="146">
        <f t="shared" si="155"/>
        <v>0.8</v>
      </c>
      <c r="F128" s="146" t="e">
        <f t="shared" si="156"/>
        <v>#VALUE!</v>
      </c>
      <c r="H128" s="149" t="e">
        <f t="shared" si="157"/>
        <v>#VALUE!</v>
      </c>
      <c r="I128" s="146">
        <f t="shared" si="158"/>
        <v>0.3</v>
      </c>
      <c r="J128" s="146" t="e">
        <f t="shared" si="159"/>
        <v>#VALUE!</v>
      </c>
      <c r="K128" s="149" t="e">
        <f t="shared" si="160"/>
        <v>#VALUE!</v>
      </c>
      <c r="L128" s="149" t="e">
        <f t="shared" si="161"/>
        <v>#VALUE!</v>
      </c>
      <c r="M128" s="149" t="e">
        <f t="shared" si="162"/>
        <v>#VALUE!</v>
      </c>
      <c r="O128" s="137">
        <f t="shared" si="163"/>
        <v>1000</v>
      </c>
      <c r="P128" s="141" t="e">
        <f t="shared" si="164"/>
        <v>#VALUE!</v>
      </c>
      <c r="Q128" s="161" t="e">
        <f t="shared" si="165"/>
        <v>#VALUE!</v>
      </c>
      <c r="R128" s="146" t="e">
        <f t="shared" si="166"/>
        <v>#VALUE!</v>
      </c>
      <c r="S128" s="146" t="e">
        <f t="shared" si="167"/>
        <v>#VALUE!</v>
      </c>
      <c r="T128" s="149" t="e">
        <f t="shared" si="168"/>
        <v>#VALUE!</v>
      </c>
      <c r="U128" s="146" t="e">
        <f t="shared" si="169"/>
        <v>#VALUE!</v>
      </c>
      <c r="V128" s="146" t="e">
        <f t="shared" si="170"/>
        <v>#VALUE!</v>
      </c>
      <c r="W128" s="149" t="e">
        <f t="shared" si="171"/>
        <v>#VALUE!</v>
      </c>
      <c r="X128" s="149" t="e">
        <f t="shared" si="172"/>
        <v>#VALUE!</v>
      </c>
      <c r="Y128" s="149" t="e">
        <f t="shared" si="173"/>
        <v>#VALUE!</v>
      </c>
      <c r="AG128">
        <f t="shared" si="174"/>
        <v>7</v>
      </c>
      <c r="AH128">
        <v>4</v>
      </c>
    </row>
    <row r="129" spans="1:34" ht="18.600000000000001" thickBot="1" x14ac:dyDescent="0.35">
      <c r="A129" t="str">
        <f t="shared" si="151"/>
        <v>7.5</v>
      </c>
      <c r="B129" s="137">
        <f t="shared" si="153"/>
        <v>1000</v>
      </c>
      <c r="C129" s="141" t="e">
        <f>VLOOKUP(CONCATENATE(AH129,".",3),'Resultados - 7'!$A$10:$G$156,5,FALSE)/$D$73</f>
        <v>#VALUE!</v>
      </c>
      <c r="D129" s="161" t="e">
        <f t="shared" si="154"/>
        <v>#VALUE!</v>
      </c>
      <c r="E129" s="146">
        <f t="shared" si="155"/>
        <v>0.8</v>
      </c>
      <c r="F129" s="146" t="e">
        <f t="shared" si="156"/>
        <v>#VALUE!</v>
      </c>
      <c r="H129" s="149" t="e">
        <f t="shared" si="157"/>
        <v>#VALUE!</v>
      </c>
      <c r="I129" s="146">
        <f t="shared" si="158"/>
        <v>0.3</v>
      </c>
      <c r="J129" s="146" t="e">
        <f t="shared" si="159"/>
        <v>#VALUE!</v>
      </c>
      <c r="K129" s="149" t="e">
        <f t="shared" si="160"/>
        <v>#VALUE!</v>
      </c>
      <c r="L129" s="149" t="e">
        <f t="shared" si="161"/>
        <v>#VALUE!</v>
      </c>
      <c r="M129" s="149" t="e">
        <f t="shared" si="162"/>
        <v>#VALUE!</v>
      </c>
      <c r="O129" s="137">
        <f t="shared" si="163"/>
        <v>1000</v>
      </c>
      <c r="P129" s="141" t="e">
        <f t="shared" si="164"/>
        <v>#VALUE!</v>
      </c>
      <c r="Q129" s="161" t="e">
        <f t="shared" si="165"/>
        <v>#VALUE!</v>
      </c>
      <c r="R129" s="146" t="e">
        <f t="shared" si="166"/>
        <v>#VALUE!</v>
      </c>
      <c r="S129" s="146" t="e">
        <f t="shared" si="167"/>
        <v>#VALUE!</v>
      </c>
      <c r="T129" s="149" t="e">
        <f t="shared" si="168"/>
        <v>#VALUE!</v>
      </c>
      <c r="U129" s="146" t="e">
        <f t="shared" si="169"/>
        <v>#VALUE!</v>
      </c>
      <c r="V129" s="146" t="e">
        <f t="shared" si="170"/>
        <v>#VALUE!</v>
      </c>
      <c r="W129" s="149" t="e">
        <f t="shared" si="171"/>
        <v>#VALUE!</v>
      </c>
      <c r="X129" s="149" t="e">
        <f t="shared" si="172"/>
        <v>#VALUE!</v>
      </c>
      <c r="Y129" s="149" t="e">
        <f t="shared" si="173"/>
        <v>#VALUE!</v>
      </c>
      <c r="AG129">
        <f t="shared" si="174"/>
        <v>7</v>
      </c>
      <c r="AH129">
        <v>5</v>
      </c>
    </row>
    <row r="130" spans="1:34" ht="18.600000000000001" thickBot="1" x14ac:dyDescent="0.35">
      <c r="A130" t="str">
        <f t="shared" si="151"/>
        <v>7.6</v>
      </c>
      <c r="B130" s="137">
        <f t="shared" si="153"/>
        <v>1000</v>
      </c>
      <c r="C130" s="141" t="e">
        <f>VLOOKUP(CONCATENATE(AH130,".",3),'Resultados - 7'!$A$10:$G$156,5,FALSE)/$D$73</f>
        <v>#VALUE!</v>
      </c>
      <c r="D130" s="161" t="e">
        <f t="shared" si="154"/>
        <v>#VALUE!</v>
      </c>
      <c r="E130" s="146">
        <f t="shared" si="155"/>
        <v>0.8</v>
      </c>
      <c r="F130" s="146" t="e">
        <f t="shared" si="156"/>
        <v>#VALUE!</v>
      </c>
      <c r="H130" s="149" t="e">
        <f t="shared" si="157"/>
        <v>#VALUE!</v>
      </c>
      <c r="I130" s="146">
        <f t="shared" si="158"/>
        <v>0.3</v>
      </c>
      <c r="J130" s="146" t="e">
        <f t="shared" si="159"/>
        <v>#VALUE!</v>
      </c>
      <c r="K130" s="149" t="e">
        <f t="shared" si="160"/>
        <v>#VALUE!</v>
      </c>
      <c r="L130" s="149" t="e">
        <f t="shared" si="161"/>
        <v>#VALUE!</v>
      </c>
      <c r="M130" s="149" t="e">
        <f t="shared" si="162"/>
        <v>#VALUE!</v>
      </c>
      <c r="O130" s="137">
        <f t="shared" si="163"/>
        <v>1000</v>
      </c>
      <c r="P130" s="141" t="e">
        <f t="shared" si="164"/>
        <v>#VALUE!</v>
      </c>
      <c r="Q130" s="161" t="e">
        <f t="shared" si="165"/>
        <v>#VALUE!</v>
      </c>
      <c r="R130" s="146" t="e">
        <f t="shared" si="166"/>
        <v>#VALUE!</v>
      </c>
      <c r="S130" s="146" t="e">
        <f t="shared" si="167"/>
        <v>#VALUE!</v>
      </c>
      <c r="T130" s="149" t="e">
        <f t="shared" si="168"/>
        <v>#VALUE!</v>
      </c>
      <c r="U130" s="146" t="e">
        <f t="shared" si="169"/>
        <v>#VALUE!</v>
      </c>
      <c r="V130" s="146" t="e">
        <f t="shared" si="170"/>
        <v>#VALUE!</v>
      </c>
      <c r="W130" s="149" t="e">
        <f t="shared" si="171"/>
        <v>#VALUE!</v>
      </c>
      <c r="X130" s="149" t="e">
        <f t="shared" si="172"/>
        <v>#VALUE!</v>
      </c>
      <c r="Y130" s="149" t="e">
        <f t="shared" si="173"/>
        <v>#VALUE!</v>
      </c>
      <c r="AG130">
        <f t="shared" si="174"/>
        <v>7</v>
      </c>
      <c r="AH130">
        <v>6</v>
      </c>
    </row>
    <row r="131" spans="1:34" ht="18.600000000000001" thickBot="1" x14ac:dyDescent="0.35">
      <c r="A131" t="str">
        <f t="shared" si="151"/>
        <v>7.7</v>
      </c>
      <c r="B131" s="137">
        <f t="shared" si="153"/>
        <v>1000</v>
      </c>
      <c r="C131" s="141" t="e">
        <f>VLOOKUP(CONCATENATE(AH131,".",3),'Resultados - 7'!$A$10:$G$156,5,FALSE)/$D$73</f>
        <v>#VALUE!</v>
      </c>
      <c r="D131" s="161" t="e">
        <f t="shared" si="154"/>
        <v>#VALUE!</v>
      </c>
      <c r="E131" s="146">
        <f t="shared" si="155"/>
        <v>0.8</v>
      </c>
      <c r="F131" s="146" t="e">
        <f t="shared" si="156"/>
        <v>#VALUE!</v>
      </c>
      <c r="H131" s="149" t="e">
        <f t="shared" si="157"/>
        <v>#VALUE!</v>
      </c>
      <c r="I131" s="146">
        <f t="shared" si="158"/>
        <v>0.3</v>
      </c>
      <c r="J131" s="146" t="e">
        <f t="shared" si="159"/>
        <v>#VALUE!</v>
      </c>
      <c r="K131" s="149" t="e">
        <f t="shared" si="160"/>
        <v>#VALUE!</v>
      </c>
      <c r="L131" s="149" t="e">
        <f t="shared" si="161"/>
        <v>#VALUE!</v>
      </c>
      <c r="M131" s="149" t="e">
        <f t="shared" si="162"/>
        <v>#VALUE!</v>
      </c>
      <c r="O131" s="137">
        <f t="shared" si="163"/>
        <v>1000</v>
      </c>
      <c r="P131" s="141" t="e">
        <f t="shared" si="164"/>
        <v>#VALUE!</v>
      </c>
      <c r="Q131" s="161" t="e">
        <f t="shared" si="165"/>
        <v>#VALUE!</v>
      </c>
      <c r="R131" s="146" t="e">
        <f t="shared" si="166"/>
        <v>#VALUE!</v>
      </c>
      <c r="S131" s="146" t="e">
        <f t="shared" si="167"/>
        <v>#VALUE!</v>
      </c>
      <c r="T131" s="149" t="e">
        <f t="shared" si="168"/>
        <v>#VALUE!</v>
      </c>
      <c r="U131" s="146" t="e">
        <f t="shared" si="169"/>
        <v>#VALUE!</v>
      </c>
      <c r="V131" s="146" t="e">
        <f t="shared" si="170"/>
        <v>#VALUE!</v>
      </c>
      <c r="W131" s="149" t="e">
        <f t="shared" si="171"/>
        <v>#VALUE!</v>
      </c>
      <c r="X131" s="149" t="e">
        <f t="shared" si="172"/>
        <v>#VALUE!</v>
      </c>
      <c r="Y131" s="149" t="e">
        <f t="shared" si="173"/>
        <v>#VALUE!</v>
      </c>
      <c r="AG131">
        <f t="shared" si="174"/>
        <v>7</v>
      </c>
      <c r="AH131">
        <v>7</v>
      </c>
    </row>
    <row r="132" spans="1:34" ht="18.600000000000001" thickBot="1" x14ac:dyDescent="0.35">
      <c r="A132" s="182"/>
      <c r="B132" s="183"/>
      <c r="C132" s="184"/>
      <c r="D132" s="185"/>
      <c r="E132" s="186"/>
      <c r="F132" s="186"/>
      <c r="G132" s="187"/>
      <c r="H132" s="188"/>
      <c r="I132" s="186"/>
      <c r="J132" s="186"/>
      <c r="K132" s="188"/>
      <c r="L132" s="188"/>
      <c r="M132" s="188"/>
      <c r="N132" s="182"/>
      <c r="O132" s="183"/>
      <c r="P132" s="184"/>
      <c r="Q132" s="185"/>
      <c r="R132" s="186"/>
      <c r="S132" s="186"/>
      <c r="T132" s="188"/>
      <c r="U132" s="186"/>
      <c r="V132" s="186"/>
      <c r="W132" s="188"/>
      <c r="X132" s="188"/>
      <c r="Y132" s="188"/>
    </row>
    <row r="133" spans="1:34" ht="18.600000000000001" thickBot="1" x14ac:dyDescent="0.35">
      <c r="A133" t="str">
        <f t="shared" ref="A133:A139" si="175">CONCATENATE(AG133,".",AH133)</f>
        <v>8.1</v>
      </c>
      <c r="B133" s="137">
        <f>$B$73/$D$73</f>
        <v>1000</v>
      </c>
      <c r="C133" s="141">
        <f>VLOOKUP(CONCATENATE(AH133,".",3),'Resultados - 8'!$A$10:$G$156,5,FALSE)/$D$73</f>
        <v>100</v>
      </c>
      <c r="D133" s="161">
        <f>IF(C133/B133&lt;0.1,"Valor Abaixo de 10% - Não Válido",C133/B133*100)</f>
        <v>10</v>
      </c>
      <c r="E133" s="146">
        <f>IFERROR(VLOOKUP(D133,$A$39:$F$56,$E$57,FALSE),VLOOKUP(100,$A$39:$F$56,$E$57,FALSE))</f>
        <v>8</v>
      </c>
      <c r="F133" s="146">
        <f>B133/C133*E133</f>
        <v>80</v>
      </c>
      <c r="H133" s="149">
        <f>IF(OR(D133=10,D133=50,D133=100),C133*E133%,C133*F133%)</f>
        <v>8</v>
      </c>
      <c r="I133" s="146">
        <f>IFERROR(VLOOKUP(D133,$A$39:$F$56,$F$57,FALSE),VLOOKUP(100,$A$39:$F$56,$F$57,FALSE))</f>
        <v>3</v>
      </c>
      <c r="J133" s="146">
        <f>B133/C133*I133</f>
        <v>30</v>
      </c>
      <c r="K133" s="149">
        <f>IF(OR(D133=10,D133=50,D133=100),C133*I133%,C133*J133%)</f>
        <v>3</v>
      </c>
      <c r="L133" s="149">
        <f>H133*$D$73</f>
        <v>8</v>
      </c>
      <c r="M133" s="149">
        <f>K133*$D$73</f>
        <v>3</v>
      </c>
      <c r="O133" s="137">
        <f>B133</f>
        <v>1000</v>
      </c>
      <c r="P133" s="141">
        <f>C133</f>
        <v>100</v>
      </c>
      <c r="Q133" s="161">
        <f>IF(P133/O133&lt;0.1,"Valor Abaixo de 10% - Não Válido",O133/O133*100)</f>
        <v>100</v>
      </c>
      <c r="R133" s="146">
        <f>VLOOKUP(Q133,$G$39:$L$56,$K$57,FALSE)</f>
        <v>1.6</v>
      </c>
      <c r="S133" s="146">
        <f>O133/P133*R133</f>
        <v>16</v>
      </c>
      <c r="T133" s="149">
        <f>IF(OR(Q133=10,Q133=50,Q133=100),O133*R133%,O133*S133%)</f>
        <v>16</v>
      </c>
      <c r="U133" s="146">
        <f>VLOOKUP(Q133,$G$39:$L$56,$L$57,FALSE)</f>
        <v>0.6</v>
      </c>
      <c r="V133" s="146">
        <f>O133/P133*U133</f>
        <v>6</v>
      </c>
      <c r="W133" s="149">
        <f>IF(OR(Q133=10,Q133=50,Q133=100),O133*U133%,O133*V133%)</f>
        <v>6</v>
      </c>
      <c r="X133" s="149">
        <f>T133*$D$73</f>
        <v>16</v>
      </c>
      <c r="Y133" s="149">
        <f>W133*$D$73</f>
        <v>6</v>
      </c>
      <c r="AG133">
        <f t="shared" ref="AG133" si="176">AG131+1</f>
        <v>8</v>
      </c>
      <c r="AH133">
        <v>1</v>
      </c>
    </row>
    <row r="134" spans="1:34" ht="18.600000000000001" thickBot="1" x14ac:dyDescent="0.35">
      <c r="A134" t="str">
        <f t="shared" si="175"/>
        <v>8.2</v>
      </c>
      <c r="B134" s="137">
        <f t="shared" ref="B134:B139" si="177">$B$73/$D$73</f>
        <v>1000</v>
      </c>
      <c r="C134" s="141">
        <f>VLOOKUP(CONCATENATE(AH134,".",3),'Resultados - 8'!$A$10:$G$156,5,FALSE)/$D$73</f>
        <v>500</v>
      </c>
      <c r="D134" s="161">
        <f t="shared" ref="D134:D139" si="178">IF(C134/B134&lt;0.1,"Valor Abaixo de 10% - Não Válido",C134/B134*100)</f>
        <v>50</v>
      </c>
      <c r="E134" s="146">
        <f t="shared" ref="E134:E139" si="179">IFERROR(VLOOKUP(D134,$A$39:$F$56,$E$57,FALSE),VLOOKUP(100,$A$39:$F$56,$E$57,FALSE))</f>
        <v>1.6</v>
      </c>
      <c r="F134" s="146">
        <f t="shared" ref="F134:F139" si="180">B134/C134*E134</f>
        <v>3.2</v>
      </c>
      <c r="H134" s="149">
        <f t="shared" ref="H134:H139" si="181">IF(OR(D134=10,D134=50,D134=100),C134*E134%,C134*F134%)</f>
        <v>8</v>
      </c>
      <c r="I134" s="146">
        <f t="shared" ref="I134:I139" si="182">IFERROR(VLOOKUP(D134,$A$39:$F$56,$F$57,FALSE),VLOOKUP(100,$A$39:$F$56,$F$57,FALSE))</f>
        <v>0.6</v>
      </c>
      <c r="J134" s="146">
        <f t="shared" ref="J134:J139" si="183">B134/C134*I134</f>
        <v>1.2</v>
      </c>
      <c r="K134" s="149">
        <f t="shared" ref="K134:K139" si="184">IF(OR(D134=10,D134=50,D134=100),C134*I134%,C134*J134%)</f>
        <v>3</v>
      </c>
      <c r="L134" s="149">
        <f t="shared" ref="L134:L139" si="185">H134*$D$73</f>
        <v>8</v>
      </c>
      <c r="M134" s="149">
        <f t="shared" ref="M134:M139" si="186">K134*$D$73</f>
        <v>3</v>
      </c>
      <c r="O134" s="137">
        <f t="shared" ref="O134:O139" si="187">B134</f>
        <v>1000</v>
      </c>
      <c r="P134" s="141">
        <f t="shared" ref="P134:P139" si="188">C134</f>
        <v>500</v>
      </c>
      <c r="Q134" s="161">
        <f t="shared" ref="Q134:Q139" si="189">IF(P134/O134&lt;0.1,"Valor Abaixo de 10% - Não Válido",O134/O134*100)</f>
        <v>100</v>
      </c>
      <c r="R134" s="146">
        <f t="shared" ref="R134:R139" si="190">VLOOKUP(Q134,$G$39:$L$56,$K$57,FALSE)</f>
        <v>1.6</v>
      </c>
      <c r="S134" s="146">
        <f t="shared" ref="S134:S139" si="191">O134/P134*R134</f>
        <v>3.2</v>
      </c>
      <c r="T134" s="149">
        <f t="shared" ref="T134:T139" si="192">IF(OR(Q134=10,Q134=50,Q134=100),O134*R134%,O134*S134%)</f>
        <v>16</v>
      </c>
      <c r="U134" s="146">
        <f t="shared" ref="U134:U139" si="193">VLOOKUP(Q134,$G$39:$L$56,$L$57,FALSE)</f>
        <v>0.6</v>
      </c>
      <c r="V134" s="146">
        <f t="shared" ref="V134:V139" si="194">O134/P134*U134</f>
        <v>1.2</v>
      </c>
      <c r="W134" s="149">
        <f t="shared" ref="W134:W139" si="195">IF(OR(Q134=10,Q134=50,Q134=100),O134*U134%,O134*V134%)</f>
        <v>6</v>
      </c>
      <c r="X134" s="149">
        <f t="shared" ref="X134:X139" si="196">T134*$D$73</f>
        <v>16</v>
      </c>
      <c r="Y134" s="149">
        <f t="shared" ref="Y134:Y139" si="197">W134*$D$73</f>
        <v>6</v>
      </c>
      <c r="AG134">
        <f t="shared" ref="AG134:AG139" si="198">AG133</f>
        <v>8</v>
      </c>
      <c r="AH134">
        <v>2</v>
      </c>
    </row>
    <row r="135" spans="1:34" ht="18.600000000000001" thickBot="1" x14ac:dyDescent="0.35">
      <c r="A135" t="str">
        <f t="shared" si="175"/>
        <v>8.3</v>
      </c>
      <c r="B135" s="137">
        <f t="shared" si="177"/>
        <v>1000</v>
      </c>
      <c r="C135" s="141">
        <f>VLOOKUP(CONCATENATE(AH135,".",3),'Resultados - 8'!$A$10:$G$156,5,FALSE)/$D$73</f>
        <v>1000</v>
      </c>
      <c r="D135" s="161">
        <f t="shared" si="178"/>
        <v>100</v>
      </c>
      <c r="E135" s="146">
        <f t="shared" si="179"/>
        <v>0.8</v>
      </c>
      <c r="F135" s="146">
        <f t="shared" si="180"/>
        <v>0.8</v>
      </c>
      <c r="H135" s="149">
        <f t="shared" si="181"/>
        <v>8</v>
      </c>
      <c r="I135" s="146">
        <f t="shared" si="182"/>
        <v>0.3</v>
      </c>
      <c r="J135" s="146">
        <f t="shared" si="183"/>
        <v>0.3</v>
      </c>
      <c r="K135" s="149">
        <f t="shared" si="184"/>
        <v>3</v>
      </c>
      <c r="L135" s="149">
        <f t="shared" si="185"/>
        <v>8</v>
      </c>
      <c r="M135" s="149">
        <f t="shared" si="186"/>
        <v>3</v>
      </c>
      <c r="O135" s="137">
        <f t="shared" si="187"/>
        <v>1000</v>
      </c>
      <c r="P135" s="141">
        <f t="shared" si="188"/>
        <v>1000</v>
      </c>
      <c r="Q135" s="161">
        <f t="shared" si="189"/>
        <v>100</v>
      </c>
      <c r="R135" s="146">
        <f t="shared" si="190"/>
        <v>1.6</v>
      </c>
      <c r="S135" s="146">
        <f t="shared" si="191"/>
        <v>1.6</v>
      </c>
      <c r="T135" s="149">
        <f t="shared" si="192"/>
        <v>16</v>
      </c>
      <c r="U135" s="146">
        <f t="shared" si="193"/>
        <v>0.6</v>
      </c>
      <c r="V135" s="146">
        <f t="shared" si="194"/>
        <v>0.6</v>
      </c>
      <c r="W135" s="149">
        <f t="shared" si="195"/>
        <v>6</v>
      </c>
      <c r="X135" s="149">
        <f t="shared" si="196"/>
        <v>16</v>
      </c>
      <c r="Y135" s="149">
        <f t="shared" si="197"/>
        <v>6</v>
      </c>
      <c r="AG135">
        <f t="shared" si="198"/>
        <v>8</v>
      </c>
      <c r="AH135">
        <v>3</v>
      </c>
    </row>
    <row r="136" spans="1:34" ht="18.600000000000001" thickBot="1" x14ac:dyDescent="0.35">
      <c r="A136" t="str">
        <f t="shared" si="175"/>
        <v>8.4</v>
      </c>
      <c r="B136" s="137">
        <f t="shared" si="177"/>
        <v>1000</v>
      </c>
      <c r="C136" s="141" t="e">
        <f>VLOOKUP(CONCATENATE(AH136,".",3),'Resultados - 8'!$A$10:$G$156,5,FALSE)/$D$73</f>
        <v>#VALUE!</v>
      </c>
      <c r="D136" s="161" t="e">
        <f t="shared" si="178"/>
        <v>#VALUE!</v>
      </c>
      <c r="E136" s="146">
        <f t="shared" si="179"/>
        <v>0.8</v>
      </c>
      <c r="F136" s="146" t="e">
        <f t="shared" si="180"/>
        <v>#VALUE!</v>
      </c>
      <c r="H136" s="149" t="e">
        <f t="shared" si="181"/>
        <v>#VALUE!</v>
      </c>
      <c r="I136" s="146">
        <f t="shared" si="182"/>
        <v>0.3</v>
      </c>
      <c r="J136" s="146" t="e">
        <f t="shared" si="183"/>
        <v>#VALUE!</v>
      </c>
      <c r="K136" s="149" t="e">
        <f t="shared" si="184"/>
        <v>#VALUE!</v>
      </c>
      <c r="L136" s="149" t="e">
        <f t="shared" si="185"/>
        <v>#VALUE!</v>
      </c>
      <c r="M136" s="149" t="e">
        <f t="shared" si="186"/>
        <v>#VALUE!</v>
      </c>
      <c r="O136" s="137">
        <f t="shared" si="187"/>
        <v>1000</v>
      </c>
      <c r="P136" s="141" t="e">
        <f t="shared" si="188"/>
        <v>#VALUE!</v>
      </c>
      <c r="Q136" s="161" t="e">
        <f t="shared" si="189"/>
        <v>#VALUE!</v>
      </c>
      <c r="R136" s="146" t="e">
        <f t="shared" si="190"/>
        <v>#VALUE!</v>
      </c>
      <c r="S136" s="146" t="e">
        <f t="shared" si="191"/>
        <v>#VALUE!</v>
      </c>
      <c r="T136" s="149" t="e">
        <f t="shared" si="192"/>
        <v>#VALUE!</v>
      </c>
      <c r="U136" s="146" t="e">
        <f t="shared" si="193"/>
        <v>#VALUE!</v>
      </c>
      <c r="V136" s="146" t="e">
        <f t="shared" si="194"/>
        <v>#VALUE!</v>
      </c>
      <c r="W136" s="149" t="e">
        <f t="shared" si="195"/>
        <v>#VALUE!</v>
      </c>
      <c r="X136" s="149" t="e">
        <f t="shared" si="196"/>
        <v>#VALUE!</v>
      </c>
      <c r="Y136" s="149" t="e">
        <f t="shared" si="197"/>
        <v>#VALUE!</v>
      </c>
      <c r="AG136">
        <f t="shared" si="198"/>
        <v>8</v>
      </c>
      <c r="AH136">
        <v>4</v>
      </c>
    </row>
    <row r="137" spans="1:34" ht="18.600000000000001" thickBot="1" x14ac:dyDescent="0.35">
      <c r="A137" t="str">
        <f t="shared" si="175"/>
        <v>8.5</v>
      </c>
      <c r="B137" s="137">
        <f t="shared" si="177"/>
        <v>1000</v>
      </c>
      <c r="C137" s="141" t="e">
        <f>VLOOKUP(CONCATENATE(AH137,".",3),'Resultados - 8'!$A$10:$G$156,5,FALSE)/$D$73</f>
        <v>#VALUE!</v>
      </c>
      <c r="D137" s="161" t="e">
        <f t="shared" si="178"/>
        <v>#VALUE!</v>
      </c>
      <c r="E137" s="146">
        <f t="shared" si="179"/>
        <v>0.8</v>
      </c>
      <c r="F137" s="146" t="e">
        <f t="shared" si="180"/>
        <v>#VALUE!</v>
      </c>
      <c r="H137" s="149" t="e">
        <f t="shared" si="181"/>
        <v>#VALUE!</v>
      </c>
      <c r="I137" s="146">
        <f t="shared" si="182"/>
        <v>0.3</v>
      </c>
      <c r="J137" s="146" t="e">
        <f t="shared" si="183"/>
        <v>#VALUE!</v>
      </c>
      <c r="K137" s="149" t="e">
        <f t="shared" si="184"/>
        <v>#VALUE!</v>
      </c>
      <c r="L137" s="149" t="e">
        <f t="shared" si="185"/>
        <v>#VALUE!</v>
      </c>
      <c r="M137" s="149" t="e">
        <f t="shared" si="186"/>
        <v>#VALUE!</v>
      </c>
      <c r="O137" s="137">
        <f t="shared" si="187"/>
        <v>1000</v>
      </c>
      <c r="P137" s="141" t="e">
        <f t="shared" si="188"/>
        <v>#VALUE!</v>
      </c>
      <c r="Q137" s="161" t="e">
        <f t="shared" si="189"/>
        <v>#VALUE!</v>
      </c>
      <c r="R137" s="146" t="e">
        <f t="shared" si="190"/>
        <v>#VALUE!</v>
      </c>
      <c r="S137" s="146" t="e">
        <f t="shared" si="191"/>
        <v>#VALUE!</v>
      </c>
      <c r="T137" s="149" t="e">
        <f t="shared" si="192"/>
        <v>#VALUE!</v>
      </c>
      <c r="U137" s="146" t="e">
        <f t="shared" si="193"/>
        <v>#VALUE!</v>
      </c>
      <c r="V137" s="146" t="e">
        <f t="shared" si="194"/>
        <v>#VALUE!</v>
      </c>
      <c r="W137" s="149" t="e">
        <f t="shared" si="195"/>
        <v>#VALUE!</v>
      </c>
      <c r="X137" s="149" t="e">
        <f t="shared" si="196"/>
        <v>#VALUE!</v>
      </c>
      <c r="Y137" s="149" t="e">
        <f t="shared" si="197"/>
        <v>#VALUE!</v>
      </c>
      <c r="AG137">
        <f t="shared" si="198"/>
        <v>8</v>
      </c>
      <c r="AH137">
        <v>5</v>
      </c>
    </row>
    <row r="138" spans="1:34" ht="18.600000000000001" thickBot="1" x14ac:dyDescent="0.35">
      <c r="A138" t="str">
        <f t="shared" si="175"/>
        <v>8.6</v>
      </c>
      <c r="B138" s="137">
        <f t="shared" si="177"/>
        <v>1000</v>
      </c>
      <c r="C138" s="141" t="e">
        <f>VLOOKUP(CONCATENATE(AH138,".",3),'Resultados - 8'!$A$10:$G$156,5,FALSE)/$D$73</f>
        <v>#VALUE!</v>
      </c>
      <c r="D138" s="161" t="e">
        <f t="shared" si="178"/>
        <v>#VALUE!</v>
      </c>
      <c r="E138" s="146">
        <f t="shared" si="179"/>
        <v>0.8</v>
      </c>
      <c r="F138" s="146" t="e">
        <f t="shared" si="180"/>
        <v>#VALUE!</v>
      </c>
      <c r="H138" s="149" t="e">
        <f t="shared" si="181"/>
        <v>#VALUE!</v>
      </c>
      <c r="I138" s="146">
        <f t="shared" si="182"/>
        <v>0.3</v>
      </c>
      <c r="J138" s="146" t="e">
        <f t="shared" si="183"/>
        <v>#VALUE!</v>
      </c>
      <c r="K138" s="149" t="e">
        <f t="shared" si="184"/>
        <v>#VALUE!</v>
      </c>
      <c r="L138" s="149" t="e">
        <f t="shared" si="185"/>
        <v>#VALUE!</v>
      </c>
      <c r="M138" s="149" t="e">
        <f t="shared" si="186"/>
        <v>#VALUE!</v>
      </c>
      <c r="O138" s="137">
        <f t="shared" si="187"/>
        <v>1000</v>
      </c>
      <c r="P138" s="141" t="e">
        <f t="shared" si="188"/>
        <v>#VALUE!</v>
      </c>
      <c r="Q138" s="161" t="e">
        <f t="shared" si="189"/>
        <v>#VALUE!</v>
      </c>
      <c r="R138" s="146" t="e">
        <f t="shared" si="190"/>
        <v>#VALUE!</v>
      </c>
      <c r="S138" s="146" t="e">
        <f t="shared" si="191"/>
        <v>#VALUE!</v>
      </c>
      <c r="T138" s="149" t="e">
        <f t="shared" si="192"/>
        <v>#VALUE!</v>
      </c>
      <c r="U138" s="146" t="e">
        <f t="shared" si="193"/>
        <v>#VALUE!</v>
      </c>
      <c r="V138" s="146" t="e">
        <f t="shared" si="194"/>
        <v>#VALUE!</v>
      </c>
      <c r="W138" s="149" t="e">
        <f t="shared" si="195"/>
        <v>#VALUE!</v>
      </c>
      <c r="X138" s="149" t="e">
        <f t="shared" si="196"/>
        <v>#VALUE!</v>
      </c>
      <c r="Y138" s="149" t="e">
        <f t="shared" si="197"/>
        <v>#VALUE!</v>
      </c>
      <c r="AG138">
        <f t="shared" si="198"/>
        <v>8</v>
      </c>
      <c r="AH138">
        <v>6</v>
      </c>
    </row>
    <row r="139" spans="1:34" ht="18.600000000000001" thickBot="1" x14ac:dyDescent="0.35">
      <c r="A139" t="str">
        <f t="shared" si="175"/>
        <v>8.7</v>
      </c>
      <c r="B139" s="137">
        <f t="shared" si="177"/>
        <v>1000</v>
      </c>
      <c r="C139" s="141" t="e">
        <f>VLOOKUP(CONCATENATE(AH139,".",3),'Resultados - 8'!$A$10:$G$156,5,FALSE)/$D$73</f>
        <v>#VALUE!</v>
      </c>
      <c r="D139" s="161" t="e">
        <f t="shared" si="178"/>
        <v>#VALUE!</v>
      </c>
      <c r="E139" s="146">
        <f t="shared" si="179"/>
        <v>0.8</v>
      </c>
      <c r="F139" s="146" t="e">
        <f t="shared" si="180"/>
        <v>#VALUE!</v>
      </c>
      <c r="H139" s="149" t="e">
        <f t="shared" si="181"/>
        <v>#VALUE!</v>
      </c>
      <c r="I139" s="146">
        <f t="shared" si="182"/>
        <v>0.3</v>
      </c>
      <c r="J139" s="146" t="e">
        <f t="shared" si="183"/>
        <v>#VALUE!</v>
      </c>
      <c r="K139" s="149" t="e">
        <f t="shared" si="184"/>
        <v>#VALUE!</v>
      </c>
      <c r="L139" s="149" t="e">
        <f t="shared" si="185"/>
        <v>#VALUE!</v>
      </c>
      <c r="M139" s="149" t="e">
        <f t="shared" si="186"/>
        <v>#VALUE!</v>
      </c>
      <c r="O139" s="137">
        <f t="shared" si="187"/>
        <v>1000</v>
      </c>
      <c r="P139" s="141" t="e">
        <f t="shared" si="188"/>
        <v>#VALUE!</v>
      </c>
      <c r="Q139" s="161" t="e">
        <f t="shared" si="189"/>
        <v>#VALUE!</v>
      </c>
      <c r="R139" s="146" t="e">
        <f t="shared" si="190"/>
        <v>#VALUE!</v>
      </c>
      <c r="S139" s="146" t="e">
        <f t="shared" si="191"/>
        <v>#VALUE!</v>
      </c>
      <c r="T139" s="149" t="e">
        <f t="shared" si="192"/>
        <v>#VALUE!</v>
      </c>
      <c r="U139" s="146" t="e">
        <f t="shared" si="193"/>
        <v>#VALUE!</v>
      </c>
      <c r="V139" s="146" t="e">
        <f t="shared" si="194"/>
        <v>#VALUE!</v>
      </c>
      <c r="W139" s="149" t="e">
        <f t="shared" si="195"/>
        <v>#VALUE!</v>
      </c>
      <c r="X139" s="149" t="e">
        <f t="shared" si="196"/>
        <v>#VALUE!</v>
      </c>
      <c r="Y139" s="149" t="e">
        <f t="shared" si="197"/>
        <v>#VALUE!</v>
      </c>
      <c r="AG139">
        <f t="shared" si="198"/>
        <v>8</v>
      </c>
      <c r="AH139">
        <v>7</v>
      </c>
    </row>
    <row r="140" spans="1:34" ht="18.600000000000001" thickBot="1" x14ac:dyDescent="0.35">
      <c r="A140" s="182"/>
      <c r="B140" s="183"/>
      <c r="C140" s="184"/>
      <c r="D140" s="185"/>
      <c r="E140" s="186"/>
      <c r="F140" s="186"/>
      <c r="G140" s="187"/>
      <c r="H140" s="188"/>
      <c r="I140" s="186"/>
      <c r="J140" s="186"/>
      <c r="K140" s="188"/>
      <c r="L140" s="188"/>
      <c r="M140" s="188"/>
      <c r="N140" s="182"/>
      <c r="O140" s="183"/>
      <c r="P140" s="184"/>
      <c r="Q140" s="185"/>
      <c r="R140" s="186"/>
      <c r="S140" s="186"/>
      <c r="T140" s="188"/>
      <c r="U140" s="186"/>
      <c r="V140" s="186"/>
      <c r="W140" s="188"/>
      <c r="X140" s="188"/>
      <c r="Y140" s="188"/>
    </row>
    <row r="141" spans="1:34" ht="18.600000000000001" thickBot="1" x14ac:dyDescent="0.35">
      <c r="A141" t="str">
        <f t="shared" ref="A141:A147" si="199">CONCATENATE(AG141,".",AH141)</f>
        <v>9.1</v>
      </c>
      <c r="B141" s="137">
        <f>$B$73/$D$73</f>
        <v>1000</v>
      </c>
      <c r="C141" s="141">
        <f>VLOOKUP(CONCATENATE(AH141,".",3),'Resultados - 9'!$A$10:$G$156,5,FALSE)/$D$73</f>
        <v>100</v>
      </c>
      <c r="D141" s="161">
        <f>IF(C141/B141&lt;0.1,"Valor Abaixo de 10% - Não Válido",C141/B141*100)</f>
        <v>10</v>
      </c>
      <c r="E141" s="146">
        <f>IFERROR(VLOOKUP(D141,$A$39:$F$56,$E$57,FALSE),VLOOKUP(100,$A$39:$F$56,$E$57,FALSE))</f>
        <v>8</v>
      </c>
      <c r="F141" s="146">
        <f>B141/C141*E141</f>
        <v>80</v>
      </c>
      <c r="H141" s="149">
        <f>IF(OR(D141=10,D141=50,D141=100),C141*E141%,C141*F141%)</f>
        <v>8</v>
      </c>
      <c r="I141" s="146">
        <f>IFERROR(VLOOKUP(D141,$A$39:$F$56,$F$57,FALSE),VLOOKUP(100,$A$39:$F$56,$F$57,FALSE))</f>
        <v>3</v>
      </c>
      <c r="J141" s="146">
        <f>B141/C141*I141</f>
        <v>30</v>
      </c>
      <c r="K141" s="149">
        <f>IF(OR(D141=10,D141=50,D141=100),C141*I141%,C141*J141%)</f>
        <v>3</v>
      </c>
      <c r="L141" s="149">
        <f>H141*$D$73</f>
        <v>8</v>
      </c>
      <c r="M141" s="149">
        <f>K141*$D$73</f>
        <v>3</v>
      </c>
      <c r="O141" s="137">
        <f>B141</f>
        <v>1000</v>
      </c>
      <c r="P141" s="141">
        <f>C141</f>
        <v>100</v>
      </c>
      <c r="Q141" s="161">
        <f>IF(P141/O141&lt;0.1,"Valor Abaixo de 10% - Não Válido",O141/O141*100)</f>
        <v>100</v>
      </c>
      <c r="R141" s="146">
        <f>VLOOKUP(Q141,$G$39:$L$56,$K$57,FALSE)</f>
        <v>1.6</v>
      </c>
      <c r="S141" s="146">
        <f>O141/P141*R141</f>
        <v>16</v>
      </c>
      <c r="T141" s="149">
        <f>IF(OR(Q141=10,Q141=50,Q141=100),O141*R141%,O141*S141%)</f>
        <v>16</v>
      </c>
      <c r="U141" s="146">
        <f>VLOOKUP(Q141,$G$39:$L$56,$L$57,FALSE)</f>
        <v>0.6</v>
      </c>
      <c r="V141" s="146">
        <f>O141/P141*U141</f>
        <v>6</v>
      </c>
      <c r="W141" s="149">
        <f>IF(OR(Q141=10,Q141=50,Q141=100),O141*U141%,O141*V141%)</f>
        <v>6</v>
      </c>
      <c r="X141" s="149">
        <f>T141*$D$73</f>
        <v>16</v>
      </c>
      <c r="Y141" s="149">
        <f>W141*$D$73</f>
        <v>6</v>
      </c>
      <c r="AG141">
        <f t="shared" ref="AG141" si="200">AG139+1</f>
        <v>9</v>
      </c>
      <c r="AH141">
        <v>1</v>
      </c>
    </row>
    <row r="142" spans="1:34" ht="18.600000000000001" thickBot="1" x14ac:dyDescent="0.35">
      <c r="A142" t="str">
        <f t="shared" si="199"/>
        <v>9.2</v>
      </c>
      <c r="B142" s="137">
        <f t="shared" ref="B142:B147" si="201">$B$73/$D$73</f>
        <v>1000</v>
      </c>
      <c r="C142" s="141">
        <f>VLOOKUP(CONCATENATE(AH142,".",3),'Resultados - 9'!$A$10:$G$156,5,FALSE)/$D$73</f>
        <v>500</v>
      </c>
      <c r="D142" s="161">
        <f t="shared" ref="D142:D147" si="202">IF(C142/B142&lt;0.1,"Valor Abaixo de 10% - Não Válido",C142/B142*100)</f>
        <v>50</v>
      </c>
      <c r="E142" s="146">
        <f t="shared" ref="E142:E147" si="203">IFERROR(VLOOKUP(D142,$A$39:$F$56,$E$57,FALSE),VLOOKUP(100,$A$39:$F$56,$E$57,FALSE))</f>
        <v>1.6</v>
      </c>
      <c r="F142" s="146">
        <f t="shared" ref="F142:F147" si="204">B142/C142*E142</f>
        <v>3.2</v>
      </c>
      <c r="H142" s="149">
        <f t="shared" ref="H142:H147" si="205">IF(OR(D142=10,D142=50,D142=100),C142*E142%,C142*F142%)</f>
        <v>8</v>
      </c>
      <c r="I142" s="146">
        <f t="shared" ref="I142:I147" si="206">IFERROR(VLOOKUP(D142,$A$39:$F$56,$F$57,FALSE),VLOOKUP(100,$A$39:$F$56,$F$57,FALSE))</f>
        <v>0.6</v>
      </c>
      <c r="J142" s="146">
        <f t="shared" ref="J142:J147" si="207">B142/C142*I142</f>
        <v>1.2</v>
      </c>
      <c r="K142" s="149">
        <f t="shared" ref="K142:K147" si="208">IF(OR(D142=10,D142=50,D142=100),C142*I142%,C142*J142%)</f>
        <v>3</v>
      </c>
      <c r="L142" s="149">
        <f t="shared" ref="L142:L147" si="209">H142*$D$73</f>
        <v>8</v>
      </c>
      <c r="M142" s="149">
        <f t="shared" ref="M142:M147" si="210">K142*$D$73</f>
        <v>3</v>
      </c>
      <c r="O142" s="137">
        <f t="shared" ref="O142:O147" si="211">B142</f>
        <v>1000</v>
      </c>
      <c r="P142" s="141">
        <f t="shared" ref="P142:P147" si="212">C142</f>
        <v>500</v>
      </c>
      <c r="Q142" s="161">
        <f t="shared" ref="Q142:Q147" si="213">IF(P142/O142&lt;0.1,"Valor Abaixo de 10% - Não Válido",O142/O142*100)</f>
        <v>100</v>
      </c>
      <c r="R142" s="146">
        <f t="shared" ref="R142:R147" si="214">VLOOKUP(Q142,$G$39:$L$56,$K$57,FALSE)</f>
        <v>1.6</v>
      </c>
      <c r="S142" s="146">
        <f t="shared" ref="S142:S147" si="215">O142/P142*R142</f>
        <v>3.2</v>
      </c>
      <c r="T142" s="149">
        <f t="shared" ref="T142:T147" si="216">IF(OR(Q142=10,Q142=50,Q142=100),O142*R142%,O142*S142%)</f>
        <v>16</v>
      </c>
      <c r="U142" s="146">
        <f t="shared" ref="U142:U147" si="217">VLOOKUP(Q142,$G$39:$L$56,$L$57,FALSE)</f>
        <v>0.6</v>
      </c>
      <c r="V142" s="146">
        <f t="shared" ref="V142:V147" si="218">O142/P142*U142</f>
        <v>1.2</v>
      </c>
      <c r="W142" s="149">
        <f t="shared" ref="W142:W147" si="219">IF(OR(Q142=10,Q142=50,Q142=100),O142*U142%,O142*V142%)</f>
        <v>6</v>
      </c>
      <c r="X142" s="149">
        <f t="shared" ref="X142:X147" si="220">T142*$D$73</f>
        <v>16</v>
      </c>
      <c r="Y142" s="149">
        <f t="shared" ref="Y142:Y147" si="221">W142*$D$73</f>
        <v>6</v>
      </c>
      <c r="AG142">
        <f t="shared" ref="AG142:AG147" si="222">AG141</f>
        <v>9</v>
      </c>
      <c r="AH142">
        <v>2</v>
      </c>
    </row>
    <row r="143" spans="1:34" ht="18.600000000000001" thickBot="1" x14ac:dyDescent="0.35">
      <c r="A143" t="str">
        <f t="shared" si="199"/>
        <v>9.3</v>
      </c>
      <c r="B143" s="137">
        <f t="shared" si="201"/>
        <v>1000</v>
      </c>
      <c r="C143" s="141">
        <f>VLOOKUP(CONCATENATE(AH143,".",3),'Resultados - 9'!$A$10:$G$156,5,FALSE)/$D$73</f>
        <v>1000</v>
      </c>
      <c r="D143" s="161">
        <f t="shared" si="202"/>
        <v>100</v>
      </c>
      <c r="E143" s="146">
        <f t="shared" si="203"/>
        <v>0.8</v>
      </c>
      <c r="F143" s="146">
        <f t="shared" si="204"/>
        <v>0.8</v>
      </c>
      <c r="H143" s="149">
        <f t="shared" si="205"/>
        <v>8</v>
      </c>
      <c r="I143" s="146">
        <f t="shared" si="206"/>
        <v>0.3</v>
      </c>
      <c r="J143" s="146">
        <f t="shared" si="207"/>
        <v>0.3</v>
      </c>
      <c r="K143" s="149">
        <f t="shared" si="208"/>
        <v>3</v>
      </c>
      <c r="L143" s="149">
        <f t="shared" si="209"/>
        <v>8</v>
      </c>
      <c r="M143" s="149">
        <f t="shared" si="210"/>
        <v>3</v>
      </c>
      <c r="O143" s="137">
        <f t="shared" si="211"/>
        <v>1000</v>
      </c>
      <c r="P143" s="141">
        <f t="shared" si="212"/>
        <v>1000</v>
      </c>
      <c r="Q143" s="161">
        <f t="shared" si="213"/>
        <v>100</v>
      </c>
      <c r="R143" s="146">
        <f t="shared" si="214"/>
        <v>1.6</v>
      </c>
      <c r="S143" s="146">
        <f t="shared" si="215"/>
        <v>1.6</v>
      </c>
      <c r="T143" s="149">
        <f t="shared" si="216"/>
        <v>16</v>
      </c>
      <c r="U143" s="146">
        <f t="shared" si="217"/>
        <v>0.6</v>
      </c>
      <c r="V143" s="146">
        <f t="shared" si="218"/>
        <v>0.6</v>
      </c>
      <c r="W143" s="149">
        <f t="shared" si="219"/>
        <v>6</v>
      </c>
      <c r="X143" s="149">
        <f t="shared" si="220"/>
        <v>16</v>
      </c>
      <c r="Y143" s="149">
        <f t="shared" si="221"/>
        <v>6</v>
      </c>
      <c r="AG143">
        <f t="shared" si="222"/>
        <v>9</v>
      </c>
      <c r="AH143">
        <v>3</v>
      </c>
    </row>
    <row r="144" spans="1:34" ht="18.600000000000001" thickBot="1" x14ac:dyDescent="0.35">
      <c r="A144" t="str">
        <f t="shared" si="199"/>
        <v>9.4</v>
      </c>
      <c r="B144" s="137">
        <f t="shared" si="201"/>
        <v>1000</v>
      </c>
      <c r="C144" s="141" t="e">
        <f>VLOOKUP(CONCATENATE(AH144,".",3),'Resultados - 9'!$A$10:$G$156,5,FALSE)/$D$73</f>
        <v>#VALUE!</v>
      </c>
      <c r="D144" s="161" t="e">
        <f t="shared" si="202"/>
        <v>#VALUE!</v>
      </c>
      <c r="E144" s="146">
        <f t="shared" si="203"/>
        <v>0.8</v>
      </c>
      <c r="F144" s="146" t="e">
        <f t="shared" si="204"/>
        <v>#VALUE!</v>
      </c>
      <c r="H144" s="149" t="e">
        <f t="shared" si="205"/>
        <v>#VALUE!</v>
      </c>
      <c r="I144" s="146">
        <f t="shared" si="206"/>
        <v>0.3</v>
      </c>
      <c r="J144" s="146" t="e">
        <f t="shared" si="207"/>
        <v>#VALUE!</v>
      </c>
      <c r="K144" s="149" t="e">
        <f t="shared" si="208"/>
        <v>#VALUE!</v>
      </c>
      <c r="L144" s="149" t="e">
        <f t="shared" si="209"/>
        <v>#VALUE!</v>
      </c>
      <c r="M144" s="149" t="e">
        <f t="shared" si="210"/>
        <v>#VALUE!</v>
      </c>
      <c r="O144" s="137">
        <f t="shared" si="211"/>
        <v>1000</v>
      </c>
      <c r="P144" s="141" t="e">
        <f t="shared" si="212"/>
        <v>#VALUE!</v>
      </c>
      <c r="Q144" s="161" t="e">
        <f t="shared" si="213"/>
        <v>#VALUE!</v>
      </c>
      <c r="R144" s="146" t="e">
        <f t="shared" si="214"/>
        <v>#VALUE!</v>
      </c>
      <c r="S144" s="146" t="e">
        <f t="shared" si="215"/>
        <v>#VALUE!</v>
      </c>
      <c r="T144" s="149" t="e">
        <f t="shared" si="216"/>
        <v>#VALUE!</v>
      </c>
      <c r="U144" s="146" t="e">
        <f t="shared" si="217"/>
        <v>#VALUE!</v>
      </c>
      <c r="V144" s="146" t="e">
        <f t="shared" si="218"/>
        <v>#VALUE!</v>
      </c>
      <c r="W144" s="149" t="e">
        <f t="shared" si="219"/>
        <v>#VALUE!</v>
      </c>
      <c r="X144" s="149" t="e">
        <f t="shared" si="220"/>
        <v>#VALUE!</v>
      </c>
      <c r="Y144" s="149" t="e">
        <f t="shared" si="221"/>
        <v>#VALUE!</v>
      </c>
      <c r="AG144">
        <f t="shared" si="222"/>
        <v>9</v>
      </c>
      <c r="AH144">
        <v>4</v>
      </c>
    </row>
    <row r="145" spans="1:34" ht="18.600000000000001" thickBot="1" x14ac:dyDescent="0.35">
      <c r="A145" t="str">
        <f t="shared" si="199"/>
        <v>9.5</v>
      </c>
      <c r="B145" s="137">
        <f t="shared" si="201"/>
        <v>1000</v>
      </c>
      <c r="C145" s="141" t="e">
        <f>VLOOKUP(CONCATENATE(AH145,".",3),'Resultados - 9'!$A$10:$G$156,5,FALSE)/$D$73</f>
        <v>#VALUE!</v>
      </c>
      <c r="D145" s="161" t="e">
        <f t="shared" si="202"/>
        <v>#VALUE!</v>
      </c>
      <c r="E145" s="146">
        <f t="shared" si="203"/>
        <v>0.8</v>
      </c>
      <c r="F145" s="146" t="e">
        <f t="shared" si="204"/>
        <v>#VALUE!</v>
      </c>
      <c r="H145" s="149" t="e">
        <f t="shared" si="205"/>
        <v>#VALUE!</v>
      </c>
      <c r="I145" s="146">
        <f t="shared" si="206"/>
        <v>0.3</v>
      </c>
      <c r="J145" s="146" t="e">
        <f t="shared" si="207"/>
        <v>#VALUE!</v>
      </c>
      <c r="K145" s="149" t="e">
        <f t="shared" si="208"/>
        <v>#VALUE!</v>
      </c>
      <c r="L145" s="149" t="e">
        <f t="shared" si="209"/>
        <v>#VALUE!</v>
      </c>
      <c r="M145" s="149" t="e">
        <f t="shared" si="210"/>
        <v>#VALUE!</v>
      </c>
      <c r="O145" s="137">
        <f t="shared" si="211"/>
        <v>1000</v>
      </c>
      <c r="P145" s="141" t="e">
        <f t="shared" si="212"/>
        <v>#VALUE!</v>
      </c>
      <c r="Q145" s="161" t="e">
        <f t="shared" si="213"/>
        <v>#VALUE!</v>
      </c>
      <c r="R145" s="146" t="e">
        <f t="shared" si="214"/>
        <v>#VALUE!</v>
      </c>
      <c r="S145" s="146" t="e">
        <f t="shared" si="215"/>
        <v>#VALUE!</v>
      </c>
      <c r="T145" s="149" t="e">
        <f t="shared" si="216"/>
        <v>#VALUE!</v>
      </c>
      <c r="U145" s="146" t="e">
        <f t="shared" si="217"/>
        <v>#VALUE!</v>
      </c>
      <c r="V145" s="146" t="e">
        <f t="shared" si="218"/>
        <v>#VALUE!</v>
      </c>
      <c r="W145" s="149" t="e">
        <f t="shared" si="219"/>
        <v>#VALUE!</v>
      </c>
      <c r="X145" s="149" t="e">
        <f t="shared" si="220"/>
        <v>#VALUE!</v>
      </c>
      <c r="Y145" s="149" t="e">
        <f t="shared" si="221"/>
        <v>#VALUE!</v>
      </c>
      <c r="AG145">
        <f t="shared" si="222"/>
        <v>9</v>
      </c>
      <c r="AH145">
        <v>5</v>
      </c>
    </row>
    <row r="146" spans="1:34" ht="18.600000000000001" thickBot="1" x14ac:dyDescent="0.35">
      <c r="A146" t="str">
        <f t="shared" si="199"/>
        <v>9.6</v>
      </c>
      <c r="B146" s="137">
        <f t="shared" si="201"/>
        <v>1000</v>
      </c>
      <c r="C146" s="141" t="e">
        <f>VLOOKUP(CONCATENATE(AH146,".",3),'Resultados - 9'!$A$10:$G$156,5,FALSE)/$D$73</f>
        <v>#VALUE!</v>
      </c>
      <c r="D146" s="161" t="e">
        <f t="shared" si="202"/>
        <v>#VALUE!</v>
      </c>
      <c r="E146" s="146">
        <f t="shared" si="203"/>
        <v>0.8</v>
      </c>
      <c r="F146" s="146" t="e">
        <f t="shared" si="204"/>
        <v>#VALUE!</v>
      </c>
      <c r="H146" s="149" t="e">
        <f t="shared" si="205"/>
        <v>#VALUE!</v>
      </c>
      <c r="I146" s="146">
        <f t="shared" si="206"/>
        <v>0.3</v>
      </c>
      <c r="J146" s="146" t="e">
        <f t="shared" si="207"/>
        <v>#VALUE!</v>
      </c>
      <c r="K146" s="149" t="e">
        <f t="shared" si="208"/>
        <v>#VALUE!</v>
      </c>
      <c r="L146" s="149" t="e">
        <f t="shared" si="209"/>
        <v>#VALUE!</v>
      </c>
      <c r="M146" s="149" t="e">
        <f t="shared" si="210"/>
        <v>#VALUE!</v>
      </c>
      <c r="O146" s="137">
        <f t="shared" si="211"/>
        <v>1000</v>
      </c>
      <c r="P146" s="141" t="e">
        <f t="shared" si="212"/>
        <v>#VALUE!</v>
      </c>
      <c r="Q146" s="161" t="e">
        <f t="shared" si="213"/>
        <v>#VALUE!</v>
      </c>
      <c r="R146" s="146" t="e">
        <f t="shared" si="214"/>
        <v>#VALUE!</v>
      </c>
      <c r="S146" s="146" t="e">
        <f t="shared" si="215"/>
        <v>#VALUE!</v>
      </c>
      <c r="T146" s="149" t="e">
        <f t="shared" si="216"/>
        <v>#VALUE!</v>
      </c>
      <c r="U146" s="146" t="e">
        <f t="shared" si="217"/>
        <v>#VALUE!</v>
      </c>
      <c r="V146" s="146" t="e">
        <f t="shared" si="218"/>
        <v>#VALUE!</v>
      </c>
      <c r="W146" s="149" t="e">
        <f t="shared" si="219"/>
        <v>#VALUE!</v>
      </c>
      <c r="X146" s="149" t="e">
        <f t="shared" si="220"/>
        <v>#VALUE!</v>
      </c>
      <c r="Y146" s="149" t="e">
        <f t="shared" si="221"/>
        <v>#VALUE!</v>
      </c>
      <c r="AG146">
        <f t="shared" si="222"/>
        <v>9</v>
      </c>
      <c r="AH146">
        <v>6</v>
      </c>
    </row>
    <row r="147" spans="1:34" ht="18.600000000000001" thickBot="1" x14ac:dyDescent="0.35">
      <c r="A147" t="str">
        <f t="shared" si="199"/>
        <v>9.7</v>
      </c>
      <c r="B147" s="137">
        <f t="shared" si="201"/>
        <v>1000</v>
      </c>
      <c r="C147" s="141" t="e">
        <f>VLOOKUP(CONCATENATE(AH147,".",3),'Resultados - 9'!$A$10:$G$156,5,FALSE)/$D$73</f>
        <v>#VALUE!</v>
      </c>
      <c r="D147" s="161" t="e">
        <f t="shared" si="202"/>
        <v>#VALUE!</v>
      </c>
      <c r="E147" s="146">
        <f t="shared" si="203"/>
        <v>0.8</v>
      </c>
      <c r="F147" s="146" t="e">
        <f t="shared" si="204"/>
        <v>#VALUE!</v>
      </c>
      <c r="H147" s="149" t="e">
        <f t="shared" si="205"/>
        <v>#VALUE!</v>
      </c>
      <c r="I147" s="146">
        <f t="shared" si="206"/>
        <v>0.3</v>
      </c>
      <c r="J147" s="146" t="e">
        <f t="shared" si="207"/>
        <v>#VALUE!</v>
      </c>
      <c r="K147" s="149" t="e">
        <f t="shared" si="208"/>
        <v>#VALUE!</v>
      </c>
      <c r="L147" s="149" t="e">
        <f t="shared" si="209"/>
        <v>#VALUE!</v>
      </c>
      <c r="M147" s="149" t="e">
        <f t="shared" si="210"/>
        <v>#VALUE!</v>
      </c>
      <c r="O147" s="137">
        <f t="shared" si="211"/>
        <v>1000</v>
      </c>
      <c r="P147" s="141" t="e">
        <f t="shared" si="212"/>
        <v>#VALUE!</v>
      </c>
      <c r="Q147" s="161" t="e">
        <f t="shared" si="213"/>
        <v>#VALUE!</v>
      </c>
      <c r="R147" s="146" t="e">
        <f t="shared" si="214"/>
        <v>#VALUE!</v>
      </c>
      <c r="S147" s="146" t="e">
        <f t="shared" si="215"/>
        <v>#VALUE!</v>
      </c>
      <c r="T147" s="149" t="e">
        <f t="shared" si="216"/>
        <v>#VALUE!</v>
      </c>
      <c r="U147" s="146" t="e">
        <f t="shared" si="217"/>
        <v>#VALUE!</v>
      </c>
      <c r="V147" s="146" t="e">
        <f t="shared" si="218"/>
        <v>#VALUE!</v>
      </c>
      <c r="W147" s="149" t="e">
        <f t="shared" si="219"/>
        <v>#VALUE!</v>
      </c>
      <c r="X147" s="149" t="e">
        <f t="shared" si="220"/>
        <v>#VALUE!</v>
      </c>
      <c r="Y147" s="149" t="e">
        <f t="shared" si="221"/>
        <v>#VALUE!</v>
      </c>
      <c r="AG147">
        <f t="shared" si="222"/>
        <v>9</v>
      </c>
      <c r="AH147">
        <v>7</v>
      </c>
    </row>
    <row r="148" spans="1:34" ht="18.600000000000001" thickBot="1" x14ac:dyDescent="0.35">
      <c r="A148" s="182"/>
      <c r="B148" s="183"/>
      <c r="C148" s="184"/>
      <c r="D148" s="185"/>
      <c r="E148" s="186"/>
      <c r="F148" s="186"/>
      <c r="G148" s="187"/>
      <c r="H148" s="188"/>
      <c r="I148" s="186"/>
      <c r="J148" s="186"/>
      <c r="K148" s="188"/>
      <c r="L148" s="188"/>
      <c r="M148" s="188"/>
      <c r="N148" s="182"/>
      <c r="O148" s="183"/>
      <c r="P148" s="184"/>
      <c r="Q148" s="185"/>
      <c r="R148" s="186"/>
      <c r="S148" s="186"/>
      <c r="T148" s="188"/>
      <c r="U148" s="186"/>
      <c r="V148" s="186"/>
      <c r="W148" s="188"/>
      <c r="X148" s="188"/>
      <c r="Y148" s="188"/>
    </row>
    <row r="149" spans="1:34" ht="18.600000000000001" thickBot="1" x14ac:dyDescent="0.35">
      <c r="A149" t="str">
        <f t="shared" ref="A149:A155" si="223">CONCATENATE(AG149,".",AH149)</f>
        <v>10.1</v>
      </c>
      <c r="B149" s="137">
        <f>$B$73/$D$73</f>
        <v>1000</v>
      </c>
      <c r="C149" s="141">
        <f>VLOOKUP(CONCATENATE(AH149,".",3),'Resultados - 10'!$A$10:$G$156,5,FALSE)/$D$73</f>
        <v>100</v>
      </c>
      <c r="D149" s="161">
        <f>IF(C149/B149&lt;0.1,"Valor Abaixo de 10% - Não Válido",C149/B149*100)</f>
        <v>10</v>
      </c>
      <c r="E149" s="146">
        <f>IFERROR(VLOOKUP(D149,$A$39:$F$56,$E$57,FALSE),VLOOKUP(100,$A$39:$F$56,$E$57,FALSE))</f>
        <v>8</v>
      </c>
      <c r="F149" s="146">
        <f>B149/C149*E149</f>
        <v>80</v>
      </c>
      <c r="H149" s="149">
        <f>IF(OR(D149=10,D149=50,D149=100),C149*E149%,C149*F149%)</f>
        <v>8</v>
      </c>
      <c r="I149" s="146">
        <f>IFERROR(VLOOKUP(D149,$A$39:$F$56,$F$57,FALSE),VLOOKUP(100,$A$39:$F$56,$F$57,FALSE))</f>
        <v>3</v>
      </c>
      <c r="J149" s="146">
        <f>B149/C149*I149</f>
        <v>30</v>
      </c>
      <c r="K149" s="149">
        <f>IF(OR(D149=10,D149=50,D149=100),C149*I149%,C149*J149%)</f>
        <v>3</v>
      </c>
      <c r="L149" s="149">
        <f>H149*$D$73</f>
        <v>8</v>
      </c>
      <c r="M149" s="149">
        <f>K149*$D$73</f>
        <v>3</v>
      </c>
      <c r="O149" s="137">
        <f>B149</f>
        <v>1000</v>
      </c>
      <c r="P149" s="141">
        <f>C149</f>
        <v>100</v>
      </c>
      <c r="Q149" s="161">
        <f>IF(P149/O149&lt;0.1,"Valor Abaixo de 10% - Não Válido",O149/O149*100)</f>
        <v>100</v>
      </c>
      <c r="R149" s="146">
        <f>VLOOKUP(Q149,$G$39:$L$56,$K$57,FALSE)</f>
        <v>1.6</v>
      </c>
      <c r="S149" s="146">
        <f>O149/P149*R149</f>
        <v>16</v>
      </c>
      <c r="T149" s="149">
        <f>IF(OR(Q149=10,Q149=50,Q149=100),O149*R149%,O149*S149%)</f>
        <v>16</v>
      </c>
      <c r="U149" s="146">
        <f>VLOOKUP(Q149,$G$39:$L$56,$L$57,FALSE)</f>
        <v>0.6</v>
      </c>
      <c r="V149" s="146">
        <f>O149/P149*U149</f>
        <v>6</v>
      </c>
      <c r="W149" s="149">
        <f>IF(OR(Q149=10,Q149=50,Q149=100),O149*U149%,O149*V149%)</f>
        <v>6</v>
      </c>
      <c r="X149" s="149">
        <f>T149*$D$73</f>
        <v>16</v>
      </c>
      <c r="Y149" s="149">
        <f>W149*$D$73</f>
        <v>6</v>
      </c>
      <c r="AG149">
        <f t="shared" ref="AG149" si="224">AG147+1</f>
        <v>10</v>
      </c>
      <c r="AH149">
        <v>1</v>
      </c>
    </row>
    <row r="150" spans="1:34" ht="18.600000000000001" thickBot="1" x14ac:dyDescent="0.35">
      <c r="A150" t="str">
        <f t="shared" si="223"/>
        <v>10.2</v>
      </c>
      <c r="B150" s="137">
        <f t="shared" ref="B150:B155" si="225">$B$73/$D$73</f>
        <v>1000</v>
      </c>
      <c r="C150" s="141">
        <f>VLOOKUP(CONCATENATE(AH150,".",3),'Resultados - 10'!$A$10:$G$156,5,FALSE)/$D$73</f>
        <v>500</v>
      </c>
      <c r="D150" s="161">
        <f t="shared" ref="D150:D155" si="226">IF(C150/B150&lt;0.1,"Valor Abaixo de 10% - Não Válido",C150/B150*100)</f>
        <v>50</v>
      </c>
      <c r="E150" s="146">
        <f t="shared" ref="E150:E155" si="227">IFERROR(VLOOKUP(D150,$A$39:$F$56,$E$57,FALSE),VLOOKUP(100,$A$39:$F$56,$E$57,FALSE))</f>
        <v>1.6</v>
      </c>
      <c r="F150" s="146">
        <f t="shared" ref="F150:F155" si="228">B150/C150*E150</f>
        <v>3.2</v>
      </c>
      <c r="H150" s="149">
        <f t="shared" ref="H150:H155" si="229">IF(OR(D150=10,D150=50,D150=100),C150*E150%,C150*F150%)</f>
        <v>8</v>
      </c>
      <c r="I150" s="146">
        <f t="shared" ref="I150:I155" si="230">IFERROR(VLOOKUP(D150,$A$39:$F$56,$F$57,FALSE),VLOOKUP(100,$A$39:$F$56,$F$57,FALSE))</f>
        <v>0.6</v>
      </c>
      <c r="J150" s="146">
        <f t="shared" ref="J150:J155" si="231">B150/C150*I150</f>
        <v>1.2</v>
      </c>
      <c r="K150" s="149">
        <f t="shared" ref="K150:K155" si="232">IF(OR(D150=10,D150=50,D150=100),C150*I150%,C150*J150%)</f>
        <v>3</v>
      </c>
      <c r="L150" s="149">
        <f t="shared" ref="L150:L155" si="233">H150*$D$73</f>
        <v>8</v>
      </c>
      <c r="M150" s="149">
        <f t="shared" ref="M150:M155" si="234">K150*$D$73</f>
        <v>3</v>
      </c>
      <c r="O150" s="137">
        <f t="shared" ref="O150:O155" si="235">B150</f>
        <v>1000</v>
      </c>
      <c r="P150" s="141">
        <f t="shared" ref="P150:P155" si="236">C150</f>
        <v>500</v>
      </c>
      <c r="Q150" s="161">
        <f t="shared" ref="Q150:Q155" si="237">IF(P150/O150&lt;0.1,"Valor Abaixo de 10% - Não Válido",O150/O150*100)</f>
        <v>100</v>
      </c>
      <c r="R150" s="146">
        <f t="shared" ref="R150:R155" si="238">VLOOKUP(Q150,$G$39:$L$56,$K$57,FALSE)</f>
        <v>1.6</v>
      </c>
      <c r="S150" s="146">
        <f t="shared" ref="S150:S155" si="239">O150/P150*R150</f>
        <v>3.2</v>
      </c>
      <c r="T150" s="149">
        <f t="shared" ref="T150:T155" si="240">IF(OR(Q150=10,Q150=50,Q150=100),O150*R150%,O150*S150%)</f>
        <v>16</v>
      </c>
      <c r="U150" s="146">
        <f t="shared" ref="U150:U155" si="241">VLOOKUP(Q150,$G$39:$L$56,$L$57,FALSE)</f>
        <v>0.6</v>
      </c>
      <c r="V150" s="146">
        <f t="shared" ref="V150:V155" si="242">O150/P150*U150</f>
        <v>1.2</v>
      </c>
      <c r="W150" s="149">
        <f t="shared" ref="W150:W155" si="243">IF(OR(Q150=10,Q150=50,Q150=100),O150*U150%,O150*V150%)</f>
        <v>6</v>
      </c>
      <c r="X150" s="149">
        <f t="shared" ref="X150:X155" si="244">T150*$D$73</f>
        <v>16</v>
      </c>
      <c r="Y150" s="149">
        <f t="shared" ref="Y150:Y155" si="245">W150*$D$73</f>
        <v>6</v>
      </c>
      <c r="AG150">
        <f t="shared" ref="AG150:AG155" si="246">AG149</f>
        <v>10</v>
      </c>
      <c r="AH150">
        <v>2</v>
      </c>
    </row>
    <row r="151" spans="1:34" ht="18.600000000000001" thickBot="1" x14ac:dyDescent="0.35">
      <c r="A151" t="str">
        <f t="shared" si="223"/>
        <v>10.3</v>
      </c>
      <c r="B151" s="137">
        <f t="shared" si="225"/>
        <v>1000</v>
      </c>
      <c r="C151" s="141">
        <f>VLOOKUP(CONCATENATE(AH151,".",3),'Resultados - 10'!$A$10:$G$156,5,FALSE)/$D$73</f>
        <v>1000</v>
      </c>
      <c r="D151" s="161">
        <f t="shared" si="226"/>
        <v>100</v>
      </c>
      <c r="E151" s="146">
        <f t="shared" si="227"/>
        <v>0.8</v>
      </c>
      <c r="F151" s="146">
        <f t="shared" si="228"/>
        <v>0.8</v>
      </c>
      <c r="H151" s="149">
        <f t="shared" si="229"/>
        <v>8</v>
      </c>
      <c r="I151" s="146">
        <f t="shared" si="230"/>
        <v>0.3</v>
      </c>
      <c r="J151" s="146">
        <f t="shared" si="231"/>
        <v>0.3</v>
      </c>
      <c r="K151" s="149">
        <f t="shared" si="232"/>
        <v>3</v>
      </c>
      <c r="L151" s="149">
        <f t="shared" si="233"/>
        <v>8</v>
      </c>
      <c r="M151" s="149">
        <f t="shared" si="234"/>
        <v>3</v>
      </c>
      <c r="O151" s="137">
        <f t="shared" si="235"/>
        <v>1000</v>
      </c>
      <c r="P151" s="141">
        <f t="shared" si="236"/>
        <v>1000</v>
      </c>
      <c r="Q151" s="161">
        <f t="shared" si="237"/>
        <v>100</v>
      </c>
      <c r="R151" s="146">
        <f t="shared" si="238"/>
        <v>1.6</v>
      </c>
      <c r="S151" s="146">
        <f t="shared" si="239"/>
        <v>1.6</v>
      </c>
      <c r="T151" s="149">
        <f t="shared" si="240"/>
        <v>16</v>
      </c>
      <c r="U151" s="146">
        <f t="shared" si="241"/>
        <v>0.6</v>
      </c>
      <c r="V151" s="146">
        <f t="shared" si="242"/>
        <v>0.6</v>
      </c>
      <c r="W151" s="149">
        <f t="shared" si="243"/>
        <v>6</v>
      </c>
      <c r="X151" s="149">
        <f t="shared" si="244"/>
        <v>16</v>
      </c>
      <c r="Y151" s="149">
        <f t="shared" si="245"/>
        <v>6</v>
      </c>
      <c r="AG151">
        <f t="shared" si="246"/>
        <v>10</v>
      </c>
      <c r="AH151">
        <v>3</v>
      </c>
    </row>
    <row r="152" spans="1:34" ht="18.600000000000001" thickBot="1" x14ac:dyDescent="0.35">
      <c r="A152" t="str">
        <f t="shared" si="223"/>
        <v>10.4</v>
      </c>
      <c r="B152" s="137">
        <f t="shared" si="225"/>
        <v>1000</v>
      </c>
      <c r="C152" s="141" t="e">
        <f>VLOOKUP(CONCATENATE(AH152,".",3),'Resultados - 10'!$A$10:$G$156,5,FALSE)/$D$73</f>
        <v>#VALUE!</v>
      </c>
      <c r="D152" s="161" t="e">
        <f t="shared" si="226"/>
        <v>#VALUE!</v>
      </c>
      <c r="E152" s="146">
        <f t="shared" si="227"/>
        <v>0.8</v>
      </c>
      <c r="F152" s="146" t="e">
        <f t="shared" si="228"/>
        <v>#VALUE!</v>
      </c>
      <c r="H152" s="149" t="e">
        <f t="shared" si="229"/>
        <v>#VALUE!</v>
      </c>
      <c r="I152" s="146">
        <f t="shared" si="230"/>
        <v>0.3</v>
      </c>
      <c r="J152" s="146" t="e">
        <f t="shared" si="231"/>
        <v>#VALUE!</v>
      </c>
      <c r="K152" s="149" t="e">
        <f t="shared" si="232"/>
        <v>#VALUE!</v>
      </c>
      <c r="L152" s="149" t="e">
        <f t="shared" si="233"/>
        <v>#VALUE!</v>
      </c>
      <c r="M152" s="149" t="e">
        <f t="shared" si="234"/>
        <v>#VALUE!</v>
      </c>
      <c r="O152" s="137">
        <f t="shared" si="235"/>
        <v>1000</v>
      </c>
      <c r="P152" s="141" t="e">
        <f t="shared" si="236"/>
        <v>#VALUE!</v>
      </c>
      <c r="Q152" s="161" t="e">
        <f t="shared" si="237"/>
        <v>#VALUE!</v>
      </c>
      <c r="R152" s="146" t="e">
        <f t="shared" si="238"/>
        <v>#VALUE!</v>
      </c>
      <c r="S152" s="146" t="e">
        <f t="shared" si="239"/>
        <v>#VALUE!</v>
      </c>
      <c r="T152" s="149" t="e">
        <f t="shared" si="240"/>
        <v>#VALUE!</v>
      </c>
      <c r="U152" s="146" t="e">
        <f t="shared" si="241"/>
        <v>#VALUE!</v>
      </c>
      <c r="V152" s="146" t="e">
        <f t="shared" si="242"/>
        <v>#VALUE!</v>
      </c>
      <c r="W152" s="149" t="e">
        <f t="shared" si="243"/>
        <v>#VALUE!</v>
      </c>
      <c r="X152" s="149" t="e">
        <f t="shared" si="244"/>
        <v>#VALUE!</v>
      </c>
      <c r="Y152" s="149" t="e">
        <f t="shared" si="245"/>
        <v>#VALUE!</v>
      </c>
      <c r="AG152">
        <f t="shared" si="246"/>
        <v>10</v>
      </c>
      <c r="AH152">
        <v>4</v>
      </c>
    </row>
    <row r="153" spans="1:34" ht="18.600000000000001" thickBot="1" x14ac:dyDescent="0.35">
      <c r="A153" t="str">
        <f t="shared" si="223"/>
        <v>10.5</v>
      </c>
      <c r="B153" s="137">
        <f t="shared" si="225"/>
        <v>1000</v>
      </c>
      <c r="C153" s="141" t="e">
        <f>VLOOKUP(CONCATENATE(AH153,".",3),'Resultados - 10'!$A$10:$G$156,5,FALSE)/$D$73</f>
        <v>#VALUE!</v>
      </c>
      <c r="D153" s="161" t="e">
        <f t="shared" si="226"/>
        <v>#VALUE!</v>
      </c>
      <c r="E153" s="146">
        <f t="shared" si="227"/>
        <v>0.8</v>
      </c>
      <c r="F153" s="146" t="e">
        <f t="shared" si="228"/>
        <v>#VALUE!</v>
      </c>
      <c r="H153" s="149" t="e">
        <f t="shared" si="229"/>
        <v>#VALUE!</v>
      </c>
      <c r="I153" s="146">
        <f t="shared" si="230"/>
        <v>0.3</v>
      </c>
      <c r="J153" s="146" t="e">
        <f t="shared" si="231"/>
        <v>#VALUE!</v>
      </c>
      <c r="K153" s="149" t="e">
        <f t="shared" si="232"/>
        <v>#VALUE!</v>
      </c>
      <c r="L153" s="149" t="e">
        <f t="shared" si="233"/>
        <v>#VALUE!</v>
      </c>
      <c r="M153" s="149" t="e">
        <f t="shared" si="234"/>
        <v>#VALUE!</v>
      </c>
      <c r="O153" s="137">
        <f t="shared" si="235"/>
        <v>1000</v>
      </c>
      <c r="P153" s="141" t="e">
        <f t="shared" si="236"/>
        <v>#VALUE!</v>
      </c>
      <c r="Q153" s="161" t="e">
        <f t="shared" si="237"/>
        <v>#VALUE!</v>
      </c>
      <c r="R153" s="146" t="e">
        <f t="shared" si="238"/>
        <v>#VALUE!</v>
      </c>
      <c r="S153" s="146" t="e">
        <f t="shared" si="239"/>
        <v>#VALUE!</v>
      </c>
      <c r="T153" s="149" t="e">
        <f t="shared" si="240"/>
        <v>#VALUE!</v>
      </c>
      <c r="U153" s="146" t="e">
        <f t="shared" si="241"/>
        <v>#VALUE!</v>
      </c>
      <c r="V153" s="146" t="e">
        <f t="shared" si="242"/>
        <v>#VALUE!</v>
      </c>
      <c r="W153" s="149" t="e">
        <f t="shared" si="243"/>
        <v>#VALUE!</v>
      </c>
      <c r="X153" s="149" t="e">
        <f t="shared" si="244"/>
        <v>#VALUE!</v>
      </c>
      <c r="Y153" s="149" t="e">
        <f t="shared" si="245"/>
        <v>#VALUE!</v>
      </c>
      <c r="AG153">
        <f t="shared" si="246"/>
        <v>10</v>
      </c>
      <c r="AH153">
        <v>5</v>
      </c>
    </row>
    <row r="154" spans="1:34" ht="18.600000000000001" thickBot="1" x14ac:dyDescent="0.35">
      <c r="A154" t="str">
        <f t="shared" si="223"/>
        <v>10.6</v>
      </c>
      <c r="B154" s="137">
        <f t="shared" si="225"/>
        <v>1000</v>
      </c>
      <c r="C154" s="141" t="e">
        <f>VLOOKUP(CONCATENATE(AH154,".",3),'Resultados - 10'!$A$10:$G$156,5,FALSE)/$D$73</f>
        <v>#VALUE!</v>
      </c>
      <c r="D154" s="161" t="e">
        <f t="shared" si="226"/>
        <v>#VALUE!</v>
      </c>
      <c r="E154" s="146">
        <f t="shared" si="227"/>
        <v>0.8</v>
      </c>
      <c r="F154" s="146" t="e">
        <f t="shared" si="228"/>
        <v>#VALUE!</v>
      </c>
      <c r="H154" s="149" t="e">
        <f t="shared" si="229"/>
        <v>#VALUE!</v>
      </c>
      <c r="I154" s="146">
        <f t="shared" si="230"/>
        <v>0.3</v>
      </c>
      <c r="J154" s="146" t="e">
        <f t="shared" si="231"/>
        <v>#VALUE!</v>
      </c>
      <c r="K154" s="149" t="e">
        <f t="shared" si="232"/>
        <v>#VALUE!</v>
      </c>
      <c r="L154" s="149" t="e">
        <f t="shared" si="233"/>
        <v>#VALUE!</v>
      </c>
      <c r="M154" s="149" t="e">
        <f t="shared" si="234"/>
        <v>#VALUE!</v>
      </c>
      <c r="O154" s="137">
        <f t="shared" si="235"/>
        <v>1000</v>
      </c>
      <c r="P154" s="141" t="e">
        <f t="shared" si="236"/>
        <v>#VALUE!</v>
      </c>
      <c r="Q154" s="161" t="e">
        <f t="shared" si="237"/>
        <v>#VALUE!</v>
      </c>
      <c r="R154" s="146" t="e">
        <f t="shared" si="238"/>
        <v>#VALUE!</v>
      </c>
      <c r="S154" s="146" t="e">
        <f t="shared" si="239"/>
        <v>#VALUE!</v>
      </c>
      <c r="T154" s="149" t="e">
        <f t="shared" si="240"/>
        <v>#VALUE!</v>
      </c>
      <c r="U154" s="146" t="e">
        <f t="shared" si="241"/>
        <v>#VALUE!</v>
      </c>
      <c r="V154" s="146" t="e">
        <f t="shared" si="242"/>
        <v>#VALUE!</v>
      </c>
      <c r="W154" s="149" t="e">
        <f t="shared" si="243"/>
        <v>#VALUE!</v>
      </c>
      <c r="X154" s="149" t="e">
        <f t="shared" si="244"/>
        <v>#VALUE!</v>
      </c>
      <c r="Y154" s="149" t="e">
        <f t="shared" si="245"/>
        <v>#VALUE!</v>
      </c>
      <c r="AG154">
        <f t="shared" si="246"/>
        <v>10</v>
      </c>
      <c r="AH154">
        <v>6</v>
      </c>
    </row>
    <row r="155" spans="1:34" ht="18.600000000000001" thickBot="1" x14ac:dyDescent="0.35">
      <c r="A155" t="str">
        <f t="shared" si="223"/>
        <v>10.7</v>
      </c>
      <c r="B155" s="137">
        <f t="shared" si="225"/>
        <v>1000</v>
      </c>
      <c r="C155" s="141" t="e">
        <f>VLOOKUP(CONCATENATE(AH155,".",3),'Resultados - 10'!$A$10:$G$156,5,FALSE)/$D$73</f>
        <v>#VALUE!</v>
      </c>
      <c r="D155" s="161" t="e">
        <f t="shared" si="226"/>
        <v>#VALUE!</v>
      </c>
      <c r="E155" s="146">
        <f t="shared" si="227"/>
        <v>0.8</v>
      </c>
      <c r="F155" s="146" t="e">
        <f t="shared" si="228"/>
        <v>#VALUE!</v>
      </c>
      <c r="H155" s="149" t="e">
        <f t="shared" si="229"/>
        <v>#VALUE!</v>
      </c>
      <c r="I155" s="146">
        <f t="shared" si="230"/>
        <v>0.3</v>
      </c>
      <c r="J155" s="146" t="e">
        <f t="shared" si="231"/>
        <v>#VALUE!</v>
      </c>
      <c r="K155" s="149" t="e">
        <f t="shared" si="232"/>
        <v>#VALUE!</v>
      </c>
      <c r="L155" s="149" t="e">
        <f t="shared" si="233"/>
        <v>#VALUE!</v>
      </c>
      <c r="M155" s="149" t="e">
        <f t="shared" si="234"/>
        <v>#VALUE!</v>
      </c>
      <c r="O155" s="137">
        <f t="shared" si="235"/>
        <v>1000</v>
      </c>
      <c r="P155" s="141" t="e">
        <f t="shared" si="236"/>
        <v>#VALUE!</v>
      </c>
      <c r="Q155" s="161" t="e">
        <f t="shared" si="237"/>
        <v>#VALUE!</v>
      </c>
      <c r="R155" s="146" t="e">
        <f t="shared" si="238"/>
        <v>#VALUE!</v>
      </c>
      <c r="S155" s="146" t="e">
        <f t="shared" si="239"/>
        <v>#VALUE!</v>
      </c>
      <c r="T155" s="149" t="e">
        <f t="shared" si="240"/>
        <v>#VALUE!</v>
      </c>
      <c r="U155" s="146" t="e">
        <f t="shared" si="241"/>
        <v>#VALUE!</v>
      </c>
      <c r="V155" s="146" t="e">
        <f t="shared" si="242"/>
        <v>#VALUE!</v>
      </c>
      <c r="W155" s="149" t="e">
        <f t="shared" si="243"/>
        <v>#VALUE!</v>
      </c>
      <c r="X155" s="149" t="e">
        <f t="shared" si="244"/>
        <v>#VALUE!</v>
      </c>
      <c r="Y155" s="149" t="e">
        <f t="shared" si="245"/>
        <v>#VALUE!</v>
      </c>
      <c r="AG155">
        <f t="shared" si="246"/>
        <v>10</v>
      </c>
      <c r="AH155">
        <v>7</v>
      </c>
    </row>
    <row r="156" spans="1:34" ht="18.600000000000001" thickBot="1" x14ac:dyDescent="0.35">
      <c r="A156" s="182"/>
      <c r="B156" s="183"/>
      <c r="C156" s="184"/>
      <c r="D156" s="185"/>
      <c r="E156" s="186"/>
      <c r="F156" s="186"/>
      <c r="G156" s="187"/>
      <c r="H156" s="188"/>
      <c r="I156" s="186"/>
      <c r="J156" s="186"/>
      <c r="K156" s="188"/>
      <c r="L156" s="188"/>
      <c r="M156" s="188"/>
      <c r="N156" s="182"/>
      <c r="O156" s="183"/>
      <c r="P156" s="184"/>
      <c r="Q156" s="185"/>
      <c r="R156" s="186"/>
      <c r="S156" s="186"/>
      <c r="T156" s="188"/>
      <c r="U156" s="186"/>
      <c r="V156" s="186"/>
      <c r="W156" s="188"/>
      <c r="X156" s="188"/>
      <c r="Y156" s="188"/>
    </row>
    <row r="157" spans="1:34" ht="18.600000000000001" thickBot="1" x14ac:dyDescent="0.35">
      <c r="A157" t="str">
        <f t="shared" ref="A157:A163" si="247">CONCATENATE(AG157,".",AH157)</f>
        <v>11.1</v>
      </c>
      <c r="B157" s="137">
        <f>$B$73/$D$73</f>
        <v>1000</v>
      </c>
      <c r="C157" s="141">
        <f>VLOOKUP(CONCATENATE(AH157,".",3),'Resultados - 11'!$A$10:$G$156,5,FALSE)/$D$73</f>
        <v>100</v>
      </c>
      <c r="D157" s="161">
        <f>IF(C157/B157&lt;0.1,"Valor Abaixo de 10% - Não Válido",C157/B157*100)</f>
        <v>10</v>
      </c>
      <c r="E157" s="146">
        <f>IFERROR(VLOOKUP(D157,$A$39:$F$56,$E$57,FALSE),VLOOKUP(100,$A$39:$F$56,$E$57,FALSE))</f>
        <v>8</v>
      </c>
      <c r="F157" s="146">
        <f>B157/C157*E157</f>
        <v>80</v>
      </c>
      <c r="H157" s="149">
        <f>IF(OR(D157=10,D157=50,D157=100),C157*E157%,C157*F157%)</f>
        <v>8</v>
      </c>
      <c r="I157" s="146">
        <f>IFERROR(VLOOKUP(D157,$A$39:$F$56,$F$57,FALSE),VLOOKUP(100,$A$39:$F$56,$F$57,FALSE))</f>
        <v>3</v>
      </c>
      <c r="J157" s="146">
        <f>B157/C157*I157</f>
        <v>30</v>
      </c>
      <c r="K157" s="149">
        <f>IF(OR(D157=10,D157=50,D157=100),C157*I157%,C157*J157%)</f>
        <v>3</v>
      </c>
      <c r="L157" s="149">
        <f>H157*$D$73</f>
        <v>8</v>
      </c>
      <c r="M157" s="149">
        <f>K157*$D$73</f>
        <v>3</v>
      </c>
      <c r="O157" s="137">
        <f>B157</f>
        <v>1000</v>
      </c>
      <c r="P157" s="141">
        <f>C157</f>
        <v>100</v>
      </c>
      <c r="Q157" s="161">
        <f>IF(P157/O157&lt;0.1,"Valor Abaixo de 10% - Não Válido",O157/O157*100)</f>
        <v>100</v>
      </c>
      <c r="R157" s="146">
        <f>VLOOKUP(Q157,$G$39:$L$56,$K$57,FALSE)</f>
        <v>1.6</v>
      </c>
      <c r="S157" s="146">
        <f>O157/P157*R157</f>
        <v>16</v>
      </c>
      <c r="T157" s="149">
        <f>IF(OR(Q157=10,Q157=50,Q157=100),O157*R157%,O157*S157%)</f>
        <v>16</v>
      </c>
      <c r="U157" s="146">
        <f>VLOOKUP(Q157,$G$39:$L$56,$L$57,FALSE)</f>
        <v>0.6</v>
      </c>
      <c r="V157" s="146">
        <f>O157/P157*U157</f>
        <v>6</v>
      </c>
      <c r="W157" s="149">
        <f>IF(OR(Q157=10,Q157=50,Q157=100),O157*U157%,O157*V157%)</f>
        <v>6</v>
      </c>
      <c r="X157" s="149">
        <f>T157*$D$73</f>
        <v>16</v>
      </c>
      <c r="Y157" s="149">
        <f>W157*$D$73</f>
        <v>6</v>
      </c>
      <c r="AG157">
        <f t="shared" ref="AG157" si="248">AG155+1</f>
        <v>11</v>
      </c>
      <c r="AH157">
        <v>1</v>
      </c>
    </row>
    <row r="158" spans="1:34" ht="18.600000000000001" thickBot="1" x14ac:dyDescent="0.35">
      <c r="A158" t="str">
        <f t="shared" si="247"/>
        <v>11.2</v>
      </c>
      <c r="B158" s="137">
        <f t="shared" ref="B158:B163" si="249">$B$73/$D$73</f>
        <v>1000</v>
      </c>
      <c r="C158" s="141">
        <f>VLOOKUP(CONCATENATE(AH158,".",3),'Resultados - 11'!$A$10:$G$156,5,FALSE)/$D$73</f>
        <v>500</v>
      </c>
      <c r="D158" s="161">
        <f t="shared" ref="D158:D163" si="250">IF(C158/B158&lt;0.1,"Valor Abaixo de 10% - Não Válido",C158/B158*100)</f>
        <v>50</v>
      </c>
      <c r="E158" s="146">
        <f t="shared" ref="E158:E163" si="251">IFERROR(VLOOKUP(D158,$A$39:$F$56,$E$57,FALSE),VLOOKUP(100,$A$39:$F$56,$E$57,FALSE))</f>
        <v>1.6</v>
      </c>
      <c r="F158" s="146">
        <f t="shared" ref="F158:F163" si="252">B158/C158*E158</f>
        <v>3.2</v>
      </c>
      <c r="H158" s="149">
        <f t="shared" ref="H158:H163" si="253">IF(OR(D158=10,D158=50,D158=100),C158*E158%,C158*F158%)</f>
        <v>8</v>
      </c>
      <c r="I158" s="146">
        <f t="shared" ref="I158:I163" si="254">IFERROR(VLOOKUP(D158,$A$39:$F$56,$F$57,FALSE),VLOOKUP(100,$A$39:$F$56,$F$57,FALSE))</f>
        <v>0.6</v>
      </c>
      <c r="J158" s="146">
        <f t="shared" ref="J158:J163" si="255">B158/C158*I158</f>
        <v>1.2</v>
      </c>
      <c r="K158" s="149">
        <f t="shared" ref="K158:K163" si="256">IF(OR(D158=10,D158=50,D158=100),C158*I158%,C158*J158%)</f>
        <v>3</v>
      </c>
      <c r="L158" s="149">
        <f t="shared" ref="L158:L163" si="257">H158*$D$73</f>
        <v>8</v>
      </c>
      <c r="M158" s="149">
        <f t="shared" ref="M158:M163" si="258">K158*$D$73</f>
        <v>3</v>
      </c>
      <c r="O158" s="137">
        <f t="shared" ref="O158:O163" si="259">B158</f>
        <v>1000</v>
      </c>
      <c r="P158" s="141">
        <f t="shared" ref="P158:P163" si="260">C158</f>
        <v>500</v>
      </c>
      <c r="Q158" s="161">
        <f t="shared" ref="Q158:Q163" si="261">IF(P158/O158&lt;0.1,"Valor Abaixo de 10% - Não Válido",O158/O158*100)</f>
        <v>100</v>
      </c>
      <c r="R158" s="146">
        <f t="shared" ref="R158:R163" si="262">VLOOKUP(Q158,$G$39:$L$56,$K$57,FALSE)</f>
        <v>1.6</v>
      </c>
      <c r="S158" s="146">
        <f t="shared" ref="S158:S163" si="263">O158/P158*R158</f>
        <v>3.2</v>
      </c>
      <c r="T158" s="149">
        <f t="shared" ref="T158:T163" si="264">IF(OR(Q158=10,Q158=50,Q158=100),O158*R158%,O158*S158%)</f>
        <v>16</v>
      </c>
      <c r="U158" s="146">
        <f t="shared" ref="U158:U163" si="265">VLOOKUP(Q158,$G$39:$L$56,$L$57,FALSE)</f>
        <v>0.6</v>
      </c>
      <c r="V158" s="146">
        <f t="shared" ref="V158:V163" si="266">O158/P158*U158</f>
        <v>1.2</v>
      </c>
      <c r="W158" s="149">
        <f t="shared" ref="W158:W163" si="267">IF(OR(Q158=10,Q158=50,Q158=100),O158*U158%,O158*V158%)</f>
        <v>6</v>
      </c>
      <c r="X158" s="149">
        <f t="shared" ref="X158:X163" si="268">T158*$D$73</f>
        <v>16</v>
      </c>
      <c r="Y158" s="149">
        <f t="shared" ref="Y158:Y163" si="269">W158*$D$73</f>
        <v>6</v>
      </c>
      <c r="AG158">
        <f t="shared" ref="AG158:AG163" si="270">AG157</f>
        <v>11</v>
      </c>
      <c r="AH158">
        <v>2</v>
      </c>
    </row>
    <row r="159" spans="1:34" ht="18.600000000000001" thickBot="1" x14ac:dyDescent="0.35">
      <c r="A159" t="str">
        <f t="shared" si="247"/>
        <v>11.3</v>
      </c>
      <c r="B159" s="137">
        <f t="shared" si="249"/>
        <v>1000</v>
      </c>
      <c r="C159" s="141">
        <f>VLOOKUP(CONCATENATE(AH159,".",3),'Resultados - 11'!$A$10:$G$156,5,FALSE)/$D$73</f>
        <v>1000</v>
      </c>
      <c r="D159" s="161">
        <f t="shared" si="250"/>
        <v>100</v>
      </c>
      <c r="E159" s="146">
        <f t="shared" si="251"/>
        <v>0.8</v>
      </c>
      <c r="F159" s="146">
        <f t="shared" si="252"/>
        <v>0.8</v>
      </c>
      <c r="H159" s="149">
        <f t="shared" si="253"/>
        <v>8</v>
      </c>
      <c r="I159" s="146">
        <f t="shared" si="254"/>
        <v>0.3</v>
      </c>
      <c r="J159" s="146">
        <f t="shared" si="255"/>
        <v>0.3</v>
      </c>
      <c r="K159" s="149">
        <f t="shared" si="256"/>
        <v>3</v>
      </c>
      <c r="L159" s="149">
        <f t="shared" si="257"/>
        <v>8</v>
      </c>
      <c r="M159" s="149">
        <f t="shared" si="258"/>
        <v>3</v>
      </c>
      <c r="O159" s="137">
        <f t="shared" si="259"/>
        <v>1000</v>
      </c>
      <c r="P159" s="141">
        <f t="shared" si="260"/>
        <v>1000</v>
      </c>
      <c r="Q159" s="161">
        <f t="shared" si="261"/>
        <v>100</v>
      </c>
      <c r="R159" s="146">
        <f t="shared" si="262"/>
        <v>1.6</v>
      </c>
      <c r="S159" s="146">
        <f t="shared" si="263"/>
        <v>1.6</v>
      </c>
      <c r="T159" s="149">
        <f t="shared" si="264"/>
        <v>16</v>
      </c>
      <c r="U159" s="146">
        <f t="shared" si="265"/>
        <v>0.6</v>
      </c>
      <c r="V159" s="146">
        <f t="shared" si="266"/>
        <v>0.6</v>
      </c>
      <c r="W159" s="149">
        <f t="shared" si="267"/>
        <v>6</v>
      </c>
      <c r="X159" s="149">
        <f t="shared" si="268"/>
        <v>16</v>
      </c>
      <c r="Y159" s="149">
        <f t="shared" si="269"/>
        <v>6</v>
      </c>
      <c r="AG159">
        <f t="shared" si="270"/>
        <v>11</v>
      </c>
      <c r="AH159">
        <v>3</v>
      </c>
    </row>
    <row r="160" spans="1:34" ht="18.600000000000001" thickBot="1" x14ac:dyDescent="0.35">
      <c r="A160" t="str">
        <f t="shared" si="247"/>
        <v>11.4</v>
      </c>
      <c r="B160" s="137">
        <f t="shared" si="249"/>
        <v>1000</v>
      </c>
      <c r="C160" s="141" t="e">
        <f>VLOOKUP(CONCATENATE(AH160,".",3),'Resultados - 11'!$A$10:$G$156,5,FALSE)/$D$73</f>
        <v>#VALUE!</v>
      </c>
      <c r="D160" s="161" t="e">
        <f t="shared" si="250"/>
        <v>#VALUE!</v>
      </c>
      <c r="E160" s="146">
        <f t="shared" si="251"/>
        <v>0.8</v>
      </c>
      <c r="F160" s="146" t="e">
        <f t="shared" si="252"/>
        <v>#VALUE!</v>
      </c>
      <c r="H160" s="149" t="e">
        <f t="shared" si="253"/>
        <v>#VALUE!</v>
      </c>
      <c r="I160" s="146">
        <f t="shared" si="254"/>
        <v>0.3</v>
      </c>
      <c r="J160" s="146" t="e">
        <f t="shared" si="255"/>
        <v>#VALUE!</v>
      </c>
      <c r="K160" s="149" t="e">
        <f t="shared" si="256"/>
        <v>#VALUE!</v>
      </c>
      <c r="L160" s="149" t="e">
        <f t="shared" si="257"/>
        <v>#VALUE!</v>
      </c>
      <c r="M160" s="149" t="e">
        <f t="shared" si="258"/>
        <v>#VALUE!</v>
      </c>
      <c r="O160" s="137">
        <f t="shared" si="259"/>
        <v>1000</v>
      </c>
      <c r="P160" s="141" t="e">
        <f t="shared" si="260"/>
        <v>#VALUE!</v>
      </c>
      <c r="Q160" s="161" t="e">
        <f t="shared" si="261"/>
        <v>#VALUE!</v>
      </c>
      <c r="R160" s="146" t="e">
        <f t="shared" si="262"/>
        <v>#VALUE!</v>
      </c>
      <c r="S160" s="146" t="e">
        <f t="shared" si="263"/>
        <v>#VALUE!</v>
      </c>
      <c r="T160" s="149" t="e">
        <f t="shared" si="264"/>
        <v>#VALUE!</v>
      </c>
      <c r="U160" s="146" t="e">
        <f t="shared" si="265"/>
        <v>#VALUE!</v>
      </c>
      <c r="V160" s="146" t="e">
        <f t="shared" si="266"/>
        <v>#VALUE!</v>
      </c>
      <c r="W160" s="149" t="e">
        <f t="shared" si="267"/>
        <v>#VALUE!</v>
      </c>
      <c r="X160" s="149" t="e">
        <f t="shared" si="268"/>
        <v>#VALUE!</v>
      </c>
      <c r="Y160" s="149" t="e">
        <f t="shared" si="269"/>
        <v>#VALUE!</v>
      </c>
      <c r="AG160">
        <f t="shared" si="270"/>
        <v>11</v>
      </c>
      <c r="AH160">
        <v>4</v>
      </c>
    </row>
    <row r="161" spans="1:34" ht="18.600000000000001" thickBot="1" x14ac:dyDescent="0.35">
      <c r="A161" t="str">
        <f t="shared" si="247"/>
        <v>11.5</v>
      </c>
      <c r="B161" s="137">
        <f t="shared" si="249"/>
        <v>1000</v>
      </c>
      <c r="C161" s="141" t="e">
        <f>VLOOKUP(CONCATENATE(AH161,".",3),'Resultados - 11'!$A$10:$G$156,5,FALSE)/$D$73</f>
        <v>#VALUE!</v>
      </c>
      <c r="D161" s="161" t="e">
        <f t="shared" si="250"/>
        <v>#VALUE!</v>
      </c>
      <c r="E161" s="146">
        <f t="shared" si="251"/>
        <v>0.8</v>
      </c>
      <c r="F161" s="146" t="e">
        <f t="shared" si="252"/>
        <v>#VALUE!</v>
      </c>
      <c r="H161" s="149" t="e">
        <f t="shared" si="253"/>
        <v>#VALUE!</v>
      </c>
      <c r="I161" s="146">
        <f t="shared" si="254"/>
        <v>0.3</v>
      </c>
      <c r="J161" s="146" t="e">
        <f t="shared" si="255"/>
        <v>#VALUE!</v>
      </c>
      <c r="K161" s="149" t="e">
        <f t="shared" si="256"/>
        <v>#VALUE!</v>
      </c>
      <c r="L161" s="149" t="e">
        <f t="shared" si="257"/>
        <v>#VALUE!</v>
      </c>
      <c r="M161" s="149" t="e">
        <f t="shared" si="258"/>
        <v>#VALUE!</v>
      </c>
      <c r="O161" s="137">
        <f t="shared" si="259"/>
        <v>1000</v>
      </c>
      <c r="P161" s="141" t="e">
        <f t="shared" si="260"/>
        <v>#VALUE!</v>
      </c>
      <c r="Q161" s="161" t="e">
        <f t="shared" si="261"/>
        <v>#VALUE!</v>
      </c>
      <c r="R161" s="146" t="e">
        <f t="shared" si="262"/>
        <v>#VALUE!</v>
      </c>
      <c r="S161" s="146" t="e">
        <f t="shared" si="263"/>
        <v>#VALUE!</v>
      </c>
      <c r="T161" s="149" t="e">
        <f t="shared" si="264"/>
        <v>#VALUE!</v>
      </c>
      <c r="U161" s="146" t="e">
        <f t="shared" si="265"/>
        <v>#VALUE!</v>
      </c>
      <c r="V161" s="146" t="e">
        <f t="shared" si="266"/>
        <v>#VALUE!</v>
      </c>
      <c r="W161" s="149" t="e">
        <f t="shared" si="267"/>
        <v>#VALUE!</v>
      </c>
      <c r="X161" s="149" t="e">
        <f t="shared" si="268"/>
        <v>#VALUE!</v>
      </c>
      <c r="Y161" s="149" t="e">
        <f t="shared" si="269"/>
        <v>#VALUE!</v>
      </c>
      <c r="AG161">
        <f t="shared" si="270"/>
        <v>11</v>
      </c>
      <c r="AH161">
        <v>5</v>
      </c>
    </row>
    <row r="162" spans="1:34" ht="18.600000000000001" thickBot="1" x14ac:dyDescent="0.35">
      <c r="A162" t="str">
        <f t="shared" si="247"/>
        <v>11.6</v>
      </c>
      <c r="B162" s="137">
        <f t="shared" si="249"/>
        <v>1000</v>
      </c>
      <c r="C162" s="141" t="e">
        <f>VLOOKUP(CONCATENATE(AH162,".",3),'Resultados - 11'!$A$10:$G$156,5,FALSE)/$D$73</f>
        <v>#VALUE!</v>
      </c>
      <c r="D162" s="161" t="e">
        <f t="shared" si="250"/>
        <v>#VALUE!</v>
      </c>
      <c r="E162" s="146">
        <f t="shared" si="251"/>
        <v>0.8</v>
      </c>
      <c r="F162" s="146" t="e">
        <f t="shared" si="252"/>
        <v>#VALUE!</v>
      </c>
      <c r="H162" s="149" t="e">
        <f t="shared" si="253"/>
        <v>#VALUE!</v>
      </c>
      <c r="I162" s="146">
        <f t="shared" si="254"/>
        <v>0.3</v>
      </c>
      <c r="J162" s="146" t="e">
        <f t="shared" si="255"/>
        <v>#VALUE!</v>
      </c>
      <c r="K162" s="149" t="e">
        <f t="shared" si="256"/>
        <v>#VALUE!</v>
      </c>
      <c r="L162" s="149" t="e">
        <f t="shared" si="257"/>
        <v>#VALUE!</v>
      </c>
      <c r="M162" s="149" t="e">
        <f t="shared" si="258"/>
        <v>#VALUE!</v>
      </c>
      <c r="O162" s="137">
        <f t="shared" si="259"/>
        <v>1000</v>
      </c>
      <c r="P162" s="141" t="e">
        <f t="shared" si="260"/>
        <v>#VALUE!</v>
      </c>
      <c r="Q162" s="161" t="e">
        <f t="shared" si="261"/>
        <v>#VALUE!</v>
      </c>
      <c r="R162" s="146" t="e">
        <f t="shared" si="262"/>
        <v>#VALUE!</v>
      </c>
      <c r="S162" s="146" t="e">
        <f t="shared" si="263"/>
        <v>#VALUE!</v>
      </c>
      <c r="T162" s="149" t="e">
        <f t="shared" si="264"/>
        <v>#VALUE!</v>
      </c>
      <c r="U162" s="146" t="e">
        <f t="shared" si="265"/>
        <v>#VALUE!</v>
      </c>
      <c r="V162" s="146" t="e">
        <f t="shared" si="266"/>
        <v>#VALUE!</v>
      </c>
      <c r="W162" s="149" t="e">
        <f t="shared" si="267"/>
        <v>#VALUE!</v>
      </c>
      <c r="X162" s="149" t="e">
        <f t="shared" si="268"/>
        <v>#VALUE!</v>
      </c>
      <c r="Y162" s="149" t="e">
        <f t="shared" si="269"/>
        <v>#VALUE!</v>
      </c>
      <c r="AG162">
        <f t="shared" si="270"/>
        <v>11</v>
      </c>
      <c r="AH162">
        <v>6</v>
      </c>
    </row>
    <row r="163" spans="1:34" ht="18.600000000000001" thickBot="1" x14ac:dyDescent="0.35">
      <c r="A163" t="str">
        <f t="shared" si="247"/>
        <v>11.7</v>
      </c>
      <c r="B163" s="137">
        <f t="shared" si="249"/>
        <v>1000</v>
      </c>
      <c r="C163" s="141" t="e">
        <f>VLOOKUP(CONCATENATE(AH163,".",3),'Resultados - 11'!$A$10:$G$156,5,FALSE)/$D$73</f>
        <v>#VALUE!</v>
      </c>
      <c r="D163" s="161" t="e">
        <f t="shared" si="250"/>
        <v>#VALUE!</v>
      </c>
      <c r="E163" s="146">
        <f t="shared" si="251"/>
        <v>0.8</v>
      </c>
      <c r="F163" s="146" t="e">
        <f t="shared" si="252"/>
        <v>#VALUE!</v>
      </c>
      <c r="H163" s="149" t="e">
        <f t="shared" si="253"/>
        <v>#VALUE!</v>
      </c>
      <c r="I163" s="146">
        <f t="shared" si="254"/>
        <v>0.3</v>
      </c>
      <c r="J163" s="146" t="e">
        <f t="shared" si="255"/>
        <v>#VALUE!</v>
      </c>
      <c r="K163" s="149" t="e">
        <f t="shared" si="256"/>
        <v>#VALUE!</v>
      </c>
      <c r="L163" s="149" t="e">
        <f t="shared" si="257"/>
        <v>#VALUE!</v>
      </c>
      <c r="M163" s="149" t="e">
        <f t="shared" si="258"/>
        <v>#VALUE!</v>
      </c>
      <c r="O163" s="137">
        <f t="shared" si="259"/>
        <v>1000</v>
      </c>
      <c r="P163" s="141" t="e">
        <f t="shared" si="260"/>
        <v>#VALUE!</v>
      </c>
      <c r="Q163" s="161" t="e">
        <f t="shared" si="261"/>
        <v>#VALUE!</v>
      </c>
      <c r="R163" s="146" t="e">
        <f t="shared" si="262"/>
        <v>#VALUE!</v>
      </c>
      <c r="S163" s="146" t="e">
        <f t="shared" si="263"/>
        <v>#VALUE!</v>
      </c>
      <c r="T163" s="149" t="e">
        <f t="shared" si="264"/>
        <v>#VALUE!</v>
      </c>
      <c r="U163" s="146" t="e">
        <f t="shared" si="265"/>
        <v>#VALUE!</v>
      </c>
      <c r="V163" s="146" t="e">
        <f t="shared" si="266"/>
        <v>#VALUE!</v>
      </c>
      <c r="W163" s="149" t="e">
        <f t="shared" si="267"/>
        <v>#VALUE!</v>
      </c>
      <c r="X163" s="149" t="e">
        <f t="shared" si="268"/>
        <v>#VALUE!</v>
      </c>
      <c r="Y163" s="149" t="e">
        <f t="shared" si="269"/>
        <v>#VALUE!</v>
      </c>
      <c r="AG163">
        <f t="shared" si="270"/>
        <v>11</v>
      </c>
      <c r="AH163">
        <v>7</v>
      </c>
    </row>
    <row r="164" spans="1:34" ht="18.600000000000001" thickBot="1" x14ac:dyDescent="0.35">
      <c r="A164" s="182"/>
      <c r="B164" s="183"/>
      <c r="C164" s="184"/>
      <c r="D164" s="185"/>
      <c r="E164" s="186"/>
      <c r="F164" s="186"/>
      <c r="G164" s="187"/>
      <c r="H164" s="188"/>
      <c r="I164" s="186"/>
      <c r="J164" s="186"/>
      <c r="K164" s="188"/>
      <c r="L164" s="188"/>
      <c r="M164" s="188"/>
      <c r="N164" s="182"/>
      <c r="O164" s="183"/>
      <c r="P164" s="184"/>
      <c r="Q164" s="185"/>
      <c r="R164" s="186"/>
      <c r="S164" s="186"/>
      <c r="T164" s="188"/>
      <c r="U164" s="186"/>
      <c r="V164" s="186"/>
      <c r="W164" s="188"/>
      <c r="X164" s="188"/>
      <c r="Y164" s="188"/>
    </row>
    <row r="165" spans="1:34" ht="18.600000000000001" thickBot="1" x14ac:dyDescent="0.35">
      <c r="A165" t="str">
        <f t="shared" ref="A165:A171" si="271">CONCATENATE(AG165,".",AH165)</f>
        <v>12.1</v>
      </c>
      <c r="B165" s="137">
        <f>$B$73/$D$73</f>
        <v>1000</v>
      </c>
      <c r="C165" s="141">
        <f>VLOOKUP(CONCATENATE(AH165,".",3),'Resultados - 12'!$A$10:$G$156,5,FALSE)/$D$73</f>
        <v>100</v>
      </c>
      <c r="D165" s="161">
        <f>IF(C165/B165&lt;0.1,"Valor Abaixo de 10% - Não Válido",C165/B165*100)</f>
        <v>10</v>
      </c>
      <c r="E165" s="146">
        <f>IFERROR(VLOOKUP(D165,$A$39:$F$56,$E$57,FALSE),VLOOKUP(100,$A$39:$F$56,$E$57,FALSE))</f>
        <v>8</v>
      </c>
      <c r="F165" s="146">
        <f>B165/C165*E165</f>
        <v>80</v>
      </c>
      <c r="H165" s="149">
        <f>IF(OR(D165=10,D165=50,D165=100),C165*E165%,C165*F165%)</f>
        <v>8</v>
      </c>
      <c r="I165" s="146">
        <f>IFERROR(VLOOKUP(D165,$A$39:$F$56,$F$57,FALSE),VLOOKUP(100,$A$39:$F$56,$F$57,FALSE))</f>
        <v>3</v>
      </c>
      <c r="J165" s="146">
        <f>B165/C165*I165</f>
        <v>30</v>
      </c>
      <c r="K165" s="149">
        <f>IF(OR(D165=10,D165=50,D165=100),C165*I165%,C165*J165%)</f>
        <v>3</v>
      </c>
      <c r="L165" s="149">
        <f>H165*$D$73</f>
        <v>8</v>
      </c>
      <c r="M165" s="149">
        <f>K165*$D$73</f>
        <v>3</v>
      </c>
      <c r="O165" s="137">
        <f>B165</f>
        <v>1000</v>
      </c>
      <c r="P165" s="141">
        <f>C165</f>
        <v>100</v>
      </c>
      <c r="Q165" s="161">
        <f>IF(P165/O165&lt;0.1,"Valor Abaixo de 10% - Não Válido",O165/O165*100)</f>
        <v>100</v>
      </c>
      <c r="R165" s="146">
        <f>VLOOKUP(Q165,$G$39:$L$56,$K$57,FALSE)</f>
        <v>1.6</v>
      </c>
      <c r="S165" s="146">
        <f>O165/P165*R165</f>
        <v>16</v>
      </c>
      <c r="T165" s="149">
        <f>IF(OR(Q165=10,Q165=50,Q165=100),O165*R165%,O165*S165%)</f>
        <v>16</v>
      </c>
      <c r="U165" s="146">
        <f>VLOOKUP(Q165,$G$39:$L$56,$L$57,FALSE)</f>
        <v>0.6</v>
      </c>
      <c r="V165" s="146">
        <f>O165/P165*U165</f>
        <v>6</v>
      </c>
      <c r="W165" s="149">
        <f>IF(OR(Q165=10,Q165=50,Q165=100),O165*U165%,O165*V165%)</f>
        <v>6</v>
      </c>
      <c r="X165" s="149">
        <f>T165*$D$73</f>
        <v>16</v>
      </c>
      <c r="Y165" s="149">
        <f>W165*$D$73</f>
        <v>6</v>
      </c>
      <c r="AG165">
        <f t="shared" ref="AG165" si="272">AG163+1</f>
        <v>12</v>
      </c>
      <c r="AH165">
        <v>1</v>
      </c>
    </row>
    <row r="166" spans="1:34" ht="18.600000000000001" thickBot="1" x14ac:dyDescent="0.35">
      <c r="A166" t="str">
        <f t="shared" si="271"/>
        <v>12.2</v>
      </c>
      <c r="B166" s="137">
        <f t="shared" ref="B166:B171" si="273">$B$73/$D$73</f>
        <v>1000</v>
      </c>
      <c r="C166" s="141">
        <f>VLOOKUP(CONCATENATE(AH166,".",3),'Resultados - 12'!$A$10:$G$156,5,FALSE)/$D$73</f>
        <v>500</v>
      </c>
      <c r="D166" s="161">
        <f t="shared" ref="D166:D171" si="274">IF(C166/B166&lt;0.1,"Valor Abaixo de 10% - Não Válido",C166/B166*100)</f>
        <v>50</v>
      </c>
      <c r="E166" s="146">
        <f t="shared" ref="E166:E171" si="275">IFERROR(VLOOKUP(D166,$A$39:$F$56,$E$57,FALSE),VLOOKUP(100,$A$39:$F$56,$E$57,FALSE))</f>
        <v>1.6</v>
      </c>
      <c r="F166" s="146">
        <f t="shared" ref="F166:F171" si="276">B166/C166*E166</f>
        <v>3.2</v>
      </c>
      <c r="H166" s="149">
        <f t="shared" ref="H166:H171" si="277">IF(OR(D166=10,D166=50,D166=100),C166*E166%,C166*F166%)</f>
        <v>8</v>
      </c>
      <c r="I166" s="146">
        <f t="shared" ref="I166:I171" si="278">IFERROR(VLOOKUP(D166,$A$39:$F$56,$F$57,FALSE),VLOOKUP(100,$A$39:$F$56,$F$57,FALSE))</f>
        <v>0.6</v>
      </c>
      <c r="J166" s="146">
        <f t="shared" ref="J166:J171" si="279">B166/C166*I166</f>
        <v>1.2</v>
      </c>
      <c r="K166" s="149">
        <f t="shared" ref="K166:K171" si="280">IF(OR(D166=10,D166=50,D166=100),C166*I166%,C166*J166%)</f>
        <v>3</v>
      </c>
      <c r="L166" s="149">
        <f t="shared" ref="L166:L171" si="281">H166*$D$73</f>
        <v>8</v>
      </c>
      <c r="M166" s="149">
        <f t="shared" ref="M166:M171" si="282">K166*$D$73</f>
        <v>3</v>
      </c>
      <c r="O166" s="137">
        <f t="shared" ref="O166:O171" si="283">B166</f>
        <v>1000</v>
      </c>
      <c r="P166" s="141">
        <f t="shared" ref="P166:P171" si="284">C166</f>
        <v>500</v>
      </c>
      <c r="Q166" s="161">
        <f t="shared" ref="Q166:Q171" si="285">IF(P166/O166&lt;0.1,"Valor Abaixo de 10% - Não Válido",O166/O166*100)</f>
        <v>100</v>
      </c>
      <c r="R166" s="146">
        <f t="shared" ref="R166:R171" si="286">VLOOKUP(Q166,$G$39:$L$56,$K$57,FALSE)</f>
        <v>1.6</v>
      </c>
      <c r="S166" s="146">
        <f t="shared" ref="S166:S171" si="287">O166/P166*R166</f>
        <v>3.2</v>
      </c>
      <c r="T166" s="149">
        <f t="shared" ref="T166:T171" si="288">IF(OR(Q166=10,Q166=50,Q166=100),O166*R166%,O166*S166%)</f>
        <v>16</v>
      </c>
      <c r="U166" s="146">
        <f t="shared" ref="U166:U171" si="289">VLOOKUP(Q166,$G$39:$L$56,$L$57,FALSE)</f>
        <v>0.6</v>
      </c>
      <c r="V166" s="146">
        <f t="shared" ref="V166:V171" si="290">O166/P166*U166</f>
        <v>1.2</v>
      </c>
      <c r="W166" s="149">
        <f t="shared" ref="W166:W171" si="291">IF(OR(Q166=10,Q166=50,Q166=100),O166*U166%,O166*V166%)</f>
        <v>6</v>
      </c>
      <c r="X166" s="149">
        <f t="shared" ref="X166:X171" si="292">T166*$D$73</f>
        <v>16</v>
      </c>
      <c r="Y166" s="149">
        <f t="shared" ref="Y166:Y171" si="293">W166*$D$73</f>
        <v>6</v>
      </c>
      <c r="AG166">
        <f t="shared" ref="AG166:AG171" si="294">AG165</f>
        <v>12</v>
      </c>
      <c r="AH166">
        <v>2</v>
      </c>
    </row>
    <row r="167" spans="1:34" ht="18.600000000000001" thickBot="1" x14ac:dyDescent="0.35">
      <c r="A167" t="str">
        <f t="shared" si="271"/>
        <v>12.3</v>
      </c>
      <c r="B167" s="137">
        <f t="shared" si="273"/>
        <v>1000</v>
      </c>
      <c r="C167" s="141">
        <f>VLOOKUP(CONCATENATE(AH167,".",3),'Resultados - 12'!$A$10:$G$156,5,FALSE)/$D$73</f>
        <v>1000</v>
      </c>
      <c r="D167" s="161">
        <f t="shared" si="274"/>
        <v>100</v>
      </c>
      <c r="E167" s="146">
        <f t="shared" si="275"/>
        <v>0.8</v>
      </c>
      <c r="F167" s="146">
        <f t="shared" si="276"/>
        <v>0.8</v>
      </c>
      <c r="H167" s="149">
        <f t="shared" si="277"/>
        <v>8</v>
      </c>
      <c r="I167" s="146">
        <f t="shared" si="278"/>
        <v>0.3</v>
      </c>
      <c r="J167" s="146">
        <f t="shared" si="279"/>
        <v>0.3</v>
      </c>
      <c r="K167" s="149">
        <f t="shared" si="280"/>
        <v>3</v>
      </c>
      <c r="L167" s="149">
        <f t="shared" si="281"/>
        <v>8</v>
      </c>
      <c r="M167" s="149">
        <f t="shared" si="282"/>
        <v>3</v>
      </c>
      <c r="O167" s="137">
        <f t="shared" si="283"/>
        <v>1000</v>
      </c>
      <c r="P167" s="141">
        <f t="shared" si="284"/>
        <v>1000</v>
      </c>
      <c r="Q167" s="161">
        <f t="shared" si="285"/>
        <v>100</v>
      </c>
      <c r="R167" s="146">
        <f t="shared" si="286"/>
        <v>1.6</v>
      </c>
      <c r="S167" s="146">
        <f t="shared" si="287"/>
        <v>1.6</v>
      </c>
      <c r="T167" s="149">
        <f t="shared" si="288"/>
        <v>16</v>
      </c>
      <c r="U167" s="146">
        <f t="shared" si="289"/>
        <v>0.6</v>
      </c>
      <c r="V167" s="146">
        <f t="shared" si="290"/>
        <v>0.6</v>
      </c>
      <c r="W167" s="149">
        <f t="shared" si="291"/>
        <v>6</v>
      </c>
      <c r="X167" s="149">
        <f t="shared" si="292"/>
        <v>16</v>
      </c>
      <c r="Y167" s="149">
        <f t="shared" si="293"/>
        <v>6</v>
      </c>
      <c r="AG167">
        <f t="shared" si="294"/>
        <v>12</v>
      </c>
      <c r="AH167">
        <v>3</v>
      </c>
    </row>
    <row r="168" spans="1:34" ht="18.600000000000001" thickBot="1" x14ac:dyDescent="0.35">
      <c r="A168" t="str">
        <f t="shared" si="271"/>
        <v>12.4</v>
      </c>
      <c r="B168" s="137">
        <f t="shared" si="273"/>
        <v>1000</v>
      </c>
      <c r="C168" s="141" t="e">
        <f>VLOOKUP(CONCATENATE(AH168,".",3),'Resultados - 12'!$A$10:$G$156,5,FALSE)/$D$73</f>
        <v>#VALUE!</v>
      </c>
      <c r="D168" s="161" t="e">
        <f t="shared" si="274"/>
        <v>#VALUE!</v>
      </c>
      <c r="E168" s="146">
        <f t="shared" si="275"/>
        <v>0.8</v>
      </c>
      <c r="F168" s="146" t="e">
        <f t="shared" si="276"/>
        <v>#VALUE!</v>
      </c>
      <c r="H168" s="149" t="e">
        <f t="shared" si="277"/>
        <v>#VALUE!</v>
      </c>
      <c r="I168" s="146">
        <f t="shared" si="278"/>
        <v>0.3</v>
      </c>
      <c r="J168" s="146" t="e">
        <f t="shared" si="279"/>
        <v>#VALUE!</v>
      </c>
      <c r="K168" s="149" t="e">
        <f t="shared" si="280"/>
        <v>#VALUE!</v>
      </c>
      <c r="L168" s="149" t="e">
        <f t="shared" si="281"/>
        <v>#VALUE!</v>
      </c>
      <c r="M168" s="149" t="e">
        <f t="shared" si="282"/>
        <v>#VALUE!</v>
      </c>
      <c r="O168" s="137">
        <f t="shared" si="283"/>
        <v>1000</v>
      </c>
      <c r="P168" s="141" t="e">
        <f t="shared" si="284"/>
        <v>#VALUE!</v>
      </c>
      <c r="Q168" s="161" t="e">
        <f t="shared" si="285"/>
        <v>#VALUE!</v>
      </c>
      <c r="R168" s="146" t="e">
        <f t="shared" si="286"/>
        <v>#VALUE!</v>
      </c>
      <c r="S168" s="146" t="e">
        <f t="shared" si="287"/>
        <v>#VALUE!</v>
      </c>
      <c r="T168" s="149" t="e">
        <f t="shared" si="288"/>
        <v>#VALUE!</v>
      </c>
      <c r="U168" s="146" t="e">
        <f t="shared" si="289"/>
        <v>#VALUE!</v>
      </c>
      <c r="V168" s="146" t="e">
        <f t="shared" si="290"/>
        <v>#VALUE!</v>
      </c>
      <c r="W168" s="149" t="e">
        <f t="shared" si="291"/>
        <v>#VALUE!</v>
      </c>
      <c r="X168" s="149" t="e">
        <f t="shared" si="292"/>
        <v>#VALUE!</v>
      </c>
      <c r="Y168" s="149" t="e">
        <f t="shared" si="293"/>
        <v>#VALUE!</v>
      </c>
      <c r="AG168">
        <f t="shared" si="294"/>
        <v>12</v>
      </c>
      <c r="AH168">
        <v>4</v>
      </c>
    </row>
    <row r="169" spans="1:34" ht="18.600000000000001" thickBot="1" x14ac:dyDescent="0.35">
      <c r="A169" t="str">
        <f t="shared" si="271"/>
        <v>12.5</v>
      </c>
      <c r="B169" s="137">
        <f t="shared" si="273"/>
        <v>1000</v>
      </c>
      <c r="C169" s="141" t="e">
        <f>VLOOKUP(CONCATENATE(AH169,".",3),'Resultados - 12'!$A$10:$G$156,5,FALSE)/$D$73</f>
        <v>#VALUE!</v>
      </c>
      <c r="D169" s="161" t="e">
        <f t="shared" si="274"/>
        <v>#VALUE!</v>
      </c>
      <c r="E169" s="146">
        <f t="shared" si="275"/>
        <v>0.8</v>
      </c>
      <c r="F169" s="146" t="e">
        <f t="shared" si="276"/>
        <v>#VALUE!</v>
      </c>
      <c r="H169" s="149" t="e">
        <f t="shared" si="277"/>
        <v>#VALUE!</v>
      </c>
      <c r="I169" s="146">
        <f t="shared" si="278"/>
        <v>0.3</v>
      </c>
      <c r="J169" s="146" t="e">
        <f t="shared" si="279"/>
        <v>#VALUE!</v>
      </c>
      <c r="K169" s="149" t="e">
        <f t="shared" si="280"/>
        <v>#VALUE!</v>
      </c>
      <c r="L169" s="149" t="e">
        <f t="shared" si="281"/>
        <v>#VALUE!</v>
      </c>
      <c r="M169" s="149" t="e">
        <f t="shared" si="282"/>
        <v>#VALUE!</v>
      </c>
      <c r="O169" s="137">
        <f t="shared" si="283"/>
        <v>1000</v>
      </c>
      <c r="P169" s="141" t="e">
        <f t="shared" si="284"/>
        <v>#VALUE!</v>
      </c>
      <c r="Q169" s="161" t="e">
        <f t="shared" si="285"/>
        <v>#VALUE!</v>
      </c>
      <c r="R169" s="146" t="e">
        <f t="shared" si="286"/>
        <v>#VALUE!</v>
      </c>
      <c r="S169" s="146" t="e">
        <f t="shared" si="287"/>
        <v>#VALUE!</v>
      </c>
      <c r="T169" s="149" t="e">
        <f t="shared" si="288"/>
        <v>#VALUE!</v>
      </c>
      <c r="U169" s="146" t="e">
        <f t="shared" si="289"/>
        <v>#VALUE!</v>
      </c>
      <c r="V169" s="146" t="e">
        <f t="shared" si="290"/>
        <v>#VALUE!</v>
      </c>
      <c r="W169" s="149" t="e">
        <f t="shared" si="291"/>
        <v>#VALUE!</v>
      </c>
      <c r="X169" s="149" t="e">
        <f t="shared" si="292"/>
        <v>#VALUE!</v>
      </c>
      <c r="Y169" s="149" t="e">
        <f t="shared" si="293"/>
        <v>#VALUE!</v>
      </c>
      <c r="AG169">
        <f t="shared" si="294"/>
        <v>12</v>
      </c>
      <c r="AH169">
        <v>5</v>
      </c>
    </row>
    <row r="170" spans="1:34" ht="18.600000000000001" thickBot="1" x14ac:dyDescent="0.35">
      <c r="A170" t="str">
        <f t="shared" si="271"/>
        <v>12.6</v>
      </c>
      <c r="B170" s="137">
        <f t="shared" si="273"/>
        <v>1000</v>
      </c>
      <c r="C170" s="141" t="e">
        <f>VLOOKUP(CONCATENATE(AH170,".",3),'Resultados - 12'!$A$10:$G$156,5,FALSE)/$D$73</f>
        <v>#VALUE!</v>
      </c>
      <c r="D170" s="161" t="e">
        <f t="shared" si="274"/>
        <v>#VALUE!</v>
      </c>
      <c r="E170" s="146">
        <f t="shared" si="275"/>
        <v>0.8</v>
      </c>
      <c r="F170" s="146" t="e">
        <f t="shared" si="276"/>
        <v>#VALUE!</v>
      </c>
      <c r="H170" s="149" t="e">
        <f t="shared" si="277"/>
        <v>#VALUE!</v>
      </c>
      <c r="I170" s="146">
        <f t="shared" si="278"/>
        <v>0.3</v>
      </c>
      <c r="J170" s="146" t="e">
        <f t="shared" si="279"/>
        <v>#VALUE!</v>
      </c>
      <c r="K170" s="149" t="e">
        <f t="shared" si="280"/>
        <v>#VALUE!</v>
      </c>
      <c r="L170" s="149" t="e">
        <f t="shared" si="281"/>
        <v>#VALUE!</v>
      </c>
      <c r="M170" s="149" t="e">
        <f t="shared" si="282"/>
        <v>#VALUE!</v>
      </c>
      <c r="O170" s="137">
        <f t="shared" si="283"/>
        <v>1000</v>
      </c>
      <c r="P170" s="141" t="e">
        <f t="shared" si="284"/>
        <v>#VALUE!</v>
      </c>
      <c r="Q170" s="161" t="e">
        <f t="shared" si="285"/>
        <v>#VALUE!</v>
      </c>
      <c r="R170" s="146" t="e">
        <f t="shared" si="286"/>
        <v>#VALUE!</v>
      </c>
      <c r="S170" s="146" t="e">
        <f t="shared" si="287"/>
        <v>#VALUE!</v>
      </c>
      <c r="T170" s="149" t="e">
        <f t="shared" si="288"/>
        <v>#VALUE!</v>
      </c>
      <c r="U170" s="146" t="e">
        <f t="shared" si="289"/>
        <v>#VALUE!</v>
      </c>
      <c r="V170" s="146" t="e">
        <f t="shared" si="290"/>
        <v>#VALUE!</v>
      </c>
      <c r="W170" s="149" t="e">
        <f t="shared" si="291"/>
        <v>#VALUE!</v>
      </c>
      <c r="X170" s="149" t="e">
        <f t="shared" si="292"/>
        <v>#VALUE!</v>
      </c>
      <c r="Y170" s="149" t="e">
        <f t="shared" si="293"/>
        <v>#VALUE!</v>
      </c>
      <c r="AG170">
        <f t="shared" si="294"/>
        <v>12</v>
      </c>
      <c r="AH170">
        <v>6</v>
      </c>
    </row>
    <row r="171" spans="1:34" ht="18.600000000000001" thickBot="1" x14ac:dyDescent="0.35">
      <c r="A171" t="str">
        <f t="shared" si="271"/>
        <v>12.7</v>
      </c>
      <c r="B171" s="137">
        <f t="shared" si="273"/>
        <v>1000</v>
      </c>
      <c r="C171" s="141" t="e">
        <f>VLOOKUP(CONCATENATE(AH171,".",3),'Resultados - 12'!$A$10:$G$156,5,FALSE)/$D$73</f>
        <v>#VALUE!</v>
      </c>
      <c r="D171" s="161" t="e">
        <f t="shared" si="274"/>
        <v>#VALUE!</v>
      </c>
      <c r="E171" s="146">
        <f t="shared" si="275"/>
        <v>0.8</v>
      </c>
      <c r="F171" s="146" t="e">
        <f t="shared" si="276"/>
        <v>#VALUE!</v>
      </c>
      <c r="H171" s="149" t="e">
        <f t="shared" si="277"/>
        <v>#VALUE!</v>
      </c>
      <c r="I171" s="146">
        <f t="shared" si="278"/>
        <v>0.3</v>
      </c>
      <c r="J171" s="146" t="e">
        <f t="shared" si="279"/>
        <v>#VALUE!</v>
      </c>
      <c r="K171" s="149" t="e">
        <f t="shared" si="280"/>
        <v>#VALUE!</v>
      </c>
      <c r="L171" s="149" t="e">
        <f t="shared" si="281"/>
        <v>#VALUE!</v>
      </c>
      <c r="M171" s="149" t="e">
        <f t="shared" si="282"/>
        <v>#VALUE!</v>
      </c>
      <c r="O171" s="137">
        <f t="shared" si="283"/>
        <v>1000</v>
      </c>
      <c r="P171" s="141" t="e">
        <f t="shared" si="284"/>
        <v>#VALUE!</v>
      </c>
      <c r="Q171" s="161" t="e">
        <f t="shared" si="285"/>
        <v>#VALUE!</v>
      </c>
      <c r="R171" s="146" t="e">
        <f t="shared" si="286"/>
        <v>#VALUE!</v>
      </c>
      <c r="S171" s="146" t="e">
        <f t="shared" si="287"/>
        <v>#VALUE!</v>
      </c>
      <c r="T171" s="149" t="e">
        <f t="shared" si="288"/>
        <v>#VALUE!</v>
      </c>
      <c r="U171" s="146" t="e">
        <f t="shared" si="289"/>
        <v>#VALUE!</v>
      </c>
      <c r="V171" s="146" t="e">
        <f t="shared" si="290"/>
        <v>#VALUE!</v>
      </c>
      <c r="W171" s="149" t="e">
        <f t="shared" si="291"/>
        <v>#VALUE!</v>
      </c>
      <c r="X171" s="149" t="e">
        <f t="shared" si="292"/>
        <v>#VALUE!</v>
      </c>
      <c r="Y171" s="149" t="e">
        <f t="shared" si="293"/>
        <v>#VALUE!</v>
      </c>
      <c r="AG171">
        <f t="shared" si="294"/>
        <v>12</v>
      </c>
      <c r="AH171">
        <v>7</v>
      </c>
    </row>
  </sheetData>
  <sheetProtection algorithmName="SHA-512" hashValue="2N/GExaEasgyENCdidbl5WvTPzNoMmjmSu+5yLNTHw/vQiU3wrRO1rDFCquOG4ep/s3ph8Zp3zm2AOmfGcfrcg==" saltValue="OMWBvF4pO1fpNiZqiV9Tgw==" spinCount="100000" sheet="1" objects="1" scenarios="1"/>
  <mergeCells count="17">
    <mergeCell ref="A1:L1"/>
    <mergeCell ref="A3:L3"/>
    <mergeCell ref="B4:F4"/>
    <mergeCell ref="H4:L4"/>
    <mergeCell ref="B5:C5"/>
    <mergeCell ref="H5:I5"/>
    <mergeCell ref="B58:E58"/>
    <mergeCell ref="H58:K58"/>
    <mergeCell ref="B75:M75"/>
    <mergeCell ref="O75:Y75"/>
    <mergeCell ref="B25:E25"/>
    <mergeCell ref="H25:K25"/>
    <mergeCell ref="A36:L36"/>
    <mergeCell ref="B37:F37"/>
    <mergeCell ref="H37:L37"/>
    <mergeCell ref="B38:C38"/>
    <mergeCell ref="H38:I38"/>
  </mergeCells>
  <dataValidations disablePrompts="1" count="2">
    <dataValidation type="list" allowBlank="1" showInputMessage="1" showErrorMessage="1" sqref="B60 H60" xr:uid="{6231B66B-8A91-42F6-B968-AA038178A1DD}">
      <formula1>"Variável"</formula1>
    </dataValidation>
    <dataValidation type="list" allowBlank="1" showInputMessage="1" showErrorMessage="1" sqref="B27 H27" xr:uid="{09DA8BE6-C482-4334-9D6B-CDF08D62A031}">
      <formula1>"Variável,Fixo"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503D-BF72-41B6-881E-98D6E7038EBA}">
  <sheetPr codeName="Planilha10"/>
  <dimension ref="A1:AH171"/>
  <sheetViews>
    <sheetView workbookViewId="0">
      <selection sqref="A1:L1"/>
    </sheetView>
  </sheetViews>
  <sheetFormatPr defaultRowHeight="14.4" x14ac:dyDescent="0.3"/>
  <cols>
    <col min="1" max="1" width="3.88671875" customWidth="1"/>
    <col min="2" max="2" width="22.44140625" style="119" customWidth="1"/>
    <col min="3" max="3" width="24.109375" style="119" customWidth="1"/>
    <col min="4" max="6" width="19.33203125" style="119" customWidth="1"/>
    <col min="7" max="7" width="2.44140625" style="119" customWidth="1"/>
    <col min="8" max="9" width="20.109375" style="119" bestFit="1" customWidth="1"/>
    <col min="10" max="12" width="19.33203125" style="119" customWidth="1"/>
    <col min="13" max="13" width="17.33203125" customWidth="1"/>
    <col min="15" max="23" width="22.109375" customWidth="1"/>
    <col min="24" max="25" width="18.33203125" customWidth="1"/>
  </cols>
  <sheetData>
    <row r="1" spans="1:12" ht="85.5" customHeight="1" thickBot="1" x14ac:dyDescent="0.35">
      <c r="A1" s="505" t="s">
        <v>461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7"/>
    </row>
    <row r="2" spans="1:12" ht="15" thickBot="1" x14ac:dyDescent="0.35">
      <c r="B2" s="118" t="s">
        <v>434</v>
      </c>
    </row>
    <row r="3" spans="1:12" ht="24" thickBot="1" x14ac:dyDescent="0.5">
      <c r="A3" s="497" t="s">
        <v>435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9"/>
    </row>
    <row r="4" spans="1:12" ht="15" thickBot="1" x14ac:dyDescent="0.35">
      <c r="B4" s="500" t="s">
        <v>462</v>
      </c>
      <c r="C4" s="501"/>
      <c r="D4" s="501"/>
      <c r="E4" s="501"/>
      <c r="F4" s="502"/>
      <c r="G4"/>
      <c r="H4" s="500" t="s">
        <v>463</v>
      </c>
      <c r="I4" s="501"/>
      <c r="J4" s="501"/>
      <c r="K4" s="501"/>
      <c r="L4" s="502"/>
    </row>
    <row r="5" spans="1:12" ht="43.8" thickBot="1" x14ac:dyDescent="0.35">
      <c r="B5" s="503" t="s">
        <v>464</v>
      </c>
      <c r="C5" s="504"/>
      <c r="D5" s="120" t="s">
        <v>439</v>
      </c>
      <c r="E5" s="120" t="s">
        <v>440</v>
      </c>
      <c r="F5" s="121" t="s">
        <v>441</v>
      </c>
      <c r="G5"/>
      <c r="H5" s="503" t="s">
        <v>464</v>
      </c>
      <c r="I5" s="504"/>
      <c r="J5" s="120" t="s">
        <v>439</v>
      </c>
      <c r="K5" s="120" t="s">
        <v>440</v>
      </c>
      <c r="L5" s="121" t="s">
        <v>441</v>
      </c>
    </row>
    <row r="6" spans="1:12" x14ac:dyDescent="0.3">
      <c r="A6">
        <f>IF(AND($B$29&lt;=C6,$B$29&gt;=B6),100,0)</f>
        <v>100</v>
      </c>
      <c r="B6" s="122">
        <v>0</v>
      </c>
      <c r="C6" s="122">
        <v>1</v>
      </c>
      <c r="D6" s="123">
        <v>100</v>
      </c>
      <c r="E6" s="123">
        <v>0.6</v>
      </c>
      <c r="F6" s="124">
        <v>0.1</v>
      </c>
      <c r="G6" s="125">
        <f>IF(AND($H$29&lt;=I6,$H$29&gt;=H6),100,0)</f>
        <v>100</v>
      </c>
      <c r="H6" s="122">
        <v>0</v>
      </c>
      <c r="I6" s="122">
        <v>1</v>
      </c>
      <c r="J6" s="123">
        <v>100</v>
      </c>
      <c r="K6" s="123">
        <v>0.6</v>
      </c>
      <c r="L6" s="124">
        <v>0.1</v>
      </c>
    </row>
    <row r="7" spans="1:12" x14ac:dyDescent="0.3">
      <c r="A7">
        <f>IF(AND($B$29&lt;=C7,$B$29&gt;=B7),50,0)</f>
        <v>50</v>
      </c>
      <c r="B7" s="126">
        <v>0</v>
      </c>
      <c r="C7" s="126">
        <v>1</v>
      </c>
      <c r="D7" s="127">
        <v>50</v>
      </c>
      <c r="E7" s="127">
        <v>1.2</v>
      </c>
      <c r="F7" s="128">
        <v>0.2</v>
      </c>
      <c r="G7" s="125">
        <f>IF(AND($H$29&lt;=I7,$H$29&gt;=H7),50,0)</f>
        <v>50</v>
      </c>
      <c r="H7" s="126">
        <f>H6</f>
        <v>0</v>
      </c>
      <c r="I7" s="126">
        <f>I6</f>
        <v>1</v>
      </c>
      <c r="J7" s="127">
        <v>50</v>
      </c>
      <c r="K7" s="127">
        <v>1.2</v>
      </c>
      <c r="L7" s="128">
        <v>0.2</v>
      </c>
    </row>
    <row r="8" spans="1:12" ht="15" thickBot="1" x14ac:dyDescent="0.35">
      <c r="A8">
        <f>IF(AND($B$29&lt;=C8,$B$29&gt;=B8),10,0)</f>
        <v>10</v>
      </c>
      <c r="B8" s="129">
        <v>0</v>
      </c>
      <c r="C8" s="129">
        <v>1</v>
      </c>
      <c r="D8" s="130">
        <v>10</v>
      </c>
      <c r="E8" s="130">
        <v>6</v>
      </c>
      <c r="F8" s="131">
        <v>1</v>
      </c>
      <c r="G8" s="125">
        <f>IF(AND($H$29&lt;=I8,$H$29&gt;=H8),10,0)</f>
        <v>10</v>
      </c>
      <c r="H8" s="129">
        <f>H7</f>
        <v>0</v>
      </c>
      <c r="I8" s="129">
        <f>I7</f>
        <v>1</v>
      </c>
      <c r="J8" s="130">
        <v>10</v>
      </c>
      <c r="K8" s="130">
        <v>6</v>
      </c>
      <c r="L8" s="131">
        <v>1</v>
      </c>
    </row>
    <row r="9" spans="1:12" x14ac:dyDescent="0.3">
      <c r="A9">
        <f>IF(AND($B$29&lt;=C9,$B$29&gt;B9),100,0)</f>
        <v>0</v>
      </c>
      <c r="B9" s="122">
        <v>1</v>
      </c>
      <c r="C9" s="122">
        <v>2</v>
      </c>
      <c r="D9" s="123">
        <v>100</v>
      </c>
      <c r="E9" s="123">
        <v>0.5</v>
      </c>
      <c r="F9" s="124">
        <v>0.1</v>
      </c>
      <c r="G9" s="125">
        <f>IF(AND($H$29&lt;=I9,$H$29&gt;H9),100,0)</f>
        <v>0</v>
      </c>
      <c r="H9" s="122">
        <v>1</v>
      </c>
      <c r="I9" s="122">
        <v>2</v>
      </c>
      <c r="J9" s="123">
        <v>100</v>
      </c>
      <c r="K9" s="123">
        <v>0.5</v>
      </c>
      <c r="L9" s="124">
        <v>0.1</v>
      </c>
    </row>
    <row r="10" spans="1:12" x14ac:dyDescent="0.3">
      <c r="A10">
        <f>IF(AND($B$29&lt;=C10,$B$29&gt;B10),50,0)</f>
        <v>0</v>
      </c>
      <c r="B10" s="126">
        <f>B9</f>
        <v>1</v>
      </c>
      <c r="C10" s="126">
        <f>C9</f>
        <v>2</v>
      </c>
      <c r="D10" s="127">
        <v>50</v>
      </c>
      <c r="E10" s="127">
        <v>1</v>
      </c>
      <c r="F10" s="128">
        <v>0.2</v>
      </c>
      <c r="G10" s="125">
        <f>IF(AND($H$29&lt;=I10,$H$29&gt;H10),50,0)</f>
        <v>0</v>
      </c>
      <c r="H10" s="126">
        <f>H9</f>
        <v>1</v>
      </c>
      <c r="I10" s="126">
        <f>I9</f>
        <v>2</v>
      </c>
      <c r="J10" s="127">
        <v>50</v>
      </c>
      <c r="K10" s="127">
        <v>1</v>
      </c>
      <c r="L10" s="128">
        <v>0.2</v>
      </c>
    </row>
    <row r="11" spans="1:12" ht="15" thickBot="1" x14ac:dyDescent="0.35">
      <c r="A11">
        <f>IF(AND($B$29&lt;=C11,$B$29&gt;B11),10,0)</f>
        <v>0</v>
      </c>
      <c r="B11" s="129">
        <f>B10</f>
        <v>1</v>
      </c>
      <c r="C11" s="129">
        <f>C10</f>
        <v>2</v>
      </c>
      <c r="D11" s="130">
        <v>10</v>
      </c>
      <c r="E11" s="130">
        <v>5</v>
      </c>
      <c r="F11" s="131">
        <v>1</v>
      </c>
      <c r="G11" s="125">
        <f>IF(AND($H$29&lt;=I11,$H$29&gt;H11),10,0)</f>
        <v>0</v>
      </c>
      <c r="H11" s="129">
        <f>H10</f>
        <v>1</v>
      </c>
      <c r="I11" s="129">
        <f>I10</f>
        <v>2</v>
      </c>
      <c r="J11" s="130">
        <v>10</v>
      </c>
      <c r="K11" s="130">
        <v>5</v>
      </c>
      <c r="L11" s="131">
        <v>1</v>
      </c>
    </row>
    <row r="12" spans="1:12" x14ac:dyDescent="0.3">
      <c r="A12">
        <f>IF(AND($B$29&lt;=C12,$B$29&gt;B12),100,0)</f>
        <v>0</v>
      </c>
      <c r="B12" s="122">
        <v>2</v>
      </c>
      <c r="C12" s="122">
        <v>5</v>
      </c>
      <c r="D12" s="123">
        <v>100</v>
      </c>
      <c r="E12" s="123">
        <v>0.3</v>
      </c>
      <c r="F12" s="124">
        <v>0.1</v>
      </c>
      <c r="G12" s="125">
        <f>IF(AND($H$29&lt;=I12,$H$29&gt;H12),100,0)</f>
        <v>0</v>
      </c>
      <c r="H12" s="122">
        <v>2</v>
      </c>
      <c r="I12" s="122">
        <v>10</v>
      </c>
      <c r="J12" s="123">
        <v>100</v>
      </c>
      <c r="K12" s="123">
        <v>0.3</v>
      </c>
      <c r="L12" s="124">
        <v>0.1</v>
      </c>
    </row>
    <row r="13" spans="1:12" x14ac:dyDescent="0.3">
      <c r="A13">
        <f>IF(AND($B$29&lt;=C13,$B$29&gt;B13),50,0)</f>
        <v>0</v>
      </c>
      <c r="B13" s="126">
        <f>B12</f>
        <v>2</v>
      </c>
      <c r="C13" s="126">
        <f>C12</f>
        <v>5</v>
      </c>
      <c r="D13" s="127">
        <v>50</v>
      </c>
      <c r="E13" s="127">
        <v>0.6</v>
      </c>
      <c r="F13" s="128">
        <v>0.2</v>
      </c>
      <c r="G13" s="125">
        <f>IF(AND($H$29&lt;=I13,$H$29&gt;H13),50,0)</f>
        <v>0</v>
      </c>
      <c r="H13" s="126">
        <f>H12</f>
        <v>2</v>
      </c>
      <c r="I13" s="126">
        <f>I12</f>
        <v>10</v>
      </c>
      <c r="J13" s="127">
        <v>50</v>
      </c>
      <c r="K13" s="127">
        <v>0.6</v>
      </c>
      <c r="L13" s="128">
        <v>0.2</v>
      </c>
    </row>
    <row r="14" spans="1:12" ht="15" thickBot="1" x14ac:dyDescent="0.35">
      <c r="A14">
        <f>IF(AND($B$29&lt;=C14,$B$29&gt;B14),10,0)</f>
        <v>0</v>
      </c>
      <c r="B14" s="129">
        <f>B13</f>
        <v>2</v>
      </c>
      <c r="C14" s="129">
        <f>C13</f>
        <v>5</v>
      </c>
      <c r="D14" s="130">
        <v>10</v>
      </c>
      <c r="E14" s="130">
        <v>3</v>
      </c>
      <c r="F14" s="131">
        <v>1</v>
      </c>
      <c r="G14" s="125">
        <f>IF(AND($H$29&lt;=I14,$H$29&gt;H14),10,0)</f>
        <v>0</v>
      </c>
      <c r="H14" s="129">
        <f>H13</f>
        <v>2</v>
      </c>
      <c r="I14" s="129">
        <f>I13</f>
        <v>10</v>
      </c>
      <c r="J14" s="130">
        <v>10</v>
      </c>
      <c r="K14" s="130">
        <v>3</v>
      </c>
      <c r="L14" s="131">
        <v>1</v>
      </c>
    </row>
    <row r="15" spans="1:12" x14ac:dyDescent="0.3">
      <c r="A15">
        <f>IF(AND($B$29&lt;=C15,$B$29&gt;B15),100,0)</f>
        <v>0</v>
      </c>
      <c r="B15" s="122">
        <v>5</v>
      </c>
      <c r="C15" s="122">
        <v>25</v>
      </c>
      <c r="D15" s="123">
        <v>100</v>
      </c>
      <c r="E15" s="123">
        <v>0.2</v>
      </c>
      <c r="F15" s="124">
        <v>7.0000000000000007E-2</v>
      </c>
      <c r="G15" s="125">
        <f>IF(AND($H$29&lt;=I15,$H$29&gt;H15),100,0)</f>
        <v>0</v>
      </c>
      <c r="H15" s="122">
        <v>10</v>
      </c>
      <c r="I15" s="122">
        <v>100</v>
      </c>
      <c r="J15" s="123">
        <v>100</v>
      </c>
      <c r="K15" s="123">
        <v>0.2</v>
      </c>
      <c r="L15" s="124">
        <v>0.1</v>
      </c>
    </row>
    <row r="16" spans="1:12" x14ac:dyDescent="0.3">
      <c r="A16">
        <f>IF(AND($B$29&lt;=C16,$B$29&gt;B16),50,0)</f>
        <v>0</v>
      </c>
      <c r="B16" s="126">
        <f>B15</f>
        <v>5</v>
      </c>
      <c r="C16" s="126">
        <f>C15</f>
        <v>25</v>
      </c>
      <c r="D16" s="127">
        <v>50</v>
      </c>
      <c r="E16" s="127">
        <v>0.4</v>
      </c>
      <c r="F16" s="128">
        <v>0.14000000000000001</v>
      </c>
      <c r="G16" s="125">
        <f>IF(AND($H$29&lt;=I16,$H$29&gt;H16),50,0)</f>
        <v>0</v>
      </c>
      <c r="H16" s="126">
        <f>H15</f>
        <v>10</v>
      </c>
      <c r="I16" s="126">
        <f>I15</f>
        <v>100</v>
      </c>
      <c r="J16" s="127">
        <v>50</v>
      </c>
      <c r="K16" s="127">
        <v>0.4</v>
      </c>
      <c r="L16" s="128">
        <v>0.2</v>
      </c>
    </row>
    <row r="17" spans="1:12" ht="15" thickBot="1" x14ac:dyDescent="0.35">
      <c r="A17">
        <f>IF(AND($B$29&lt;=C17,$B$29&gt;B17),10,0)</f>
        <v>0</v>
      </c>
      <c r="B17" s="129">
        <f>B16</f>
        <v>5</v>
      </c>
      <c r="C17" s="129">
        <f>C16</f>
        <v>25</v>
      </c>
      <c r="D17" s="130">
        <v>10</v>
      </c>
      <c r="E17" s="130">
        <v>2</v>
      </c>
      <c r="F17" s="131">
        <v>0.7</v>
      </c>
      <c r="G17" s="125">
        <f>IF(AND($H$29&lt;=I17,$H$29&gt;H17),10,0)</f>
        <v>0</v>
      </c>
      <c r="H17" s="129">
        <f>H16</f>
        <v>10</v>
      </c>
      <c r="I17" s="129">
        <f>I16</f>
        <v>100</v>
      </c>
      <c r="J17" s="130">
        <v>10</v>
      </c>
      <c r="K17" s="130">
        <v>2</v>
      </c>
      <c r="L17" s="131">
        <v>1</v>
      </c>
    </row>
    <row r="18" spans="1:12" x14ac:dyDescent="0.3">
      <c r="A18">
        <f>IF(AND($B$29&lt;=C18,$B$29&gt;B18),100,0)</f>
        <v>0</v>
      </c>
      <c r="B18" s="122">
        <v>25</v>
      </c>
      <c r="C18" s="122">
        <v>50</v>
      </c>
      <c r="D18" s="123">
        <v>100</v>
      </c>
      <c r="E18" s="123">
        <v>0.2</v>
      </c>
      <c r="F18" s="124">
        <v>0.05</v>
      </c>
      <c r="G18" s="125">
        <f>IF(AND($H$29&lt;=I18,$H$29&gt;H18),100,0)</f>
        <v>0</v>
      </c>
      <c r="H18" s="164"/>
      <c r="I18" s="164"/>
      <c r="J18" s="165"/>
      <c r="K18" s="165"/>
      <c r="L18" s="166"/>
    </row>
    <row r="19" spans="1:12" x14ac:dyDescent="0.3">
      <c r="A19">
        <f>IF(AND($B$29&lt;=C19,$B$29&gt;B19),50,0)</f>
        <v>0</v>
      </c>
      <c r="B19" s="126">
        <f>B18</f>
        <v>25</v>
      </c>
      <c r="C19" s="126">
        <f>C18</f>
        <v>50</v>
      </c>
      <c r="D19" s="127">
        <v>50</v>
      </c>
      <c r="E19" s="127">
        <v>0.4</v>
      </c>
      <c r="F19" s="128">
        <v>0.1</v>
      </c>
      <c r="G19" s="125">
        <f>IF(AND($H$29&lt;=I19,$H$29&gt;H19),50,0)</f>
        <v>0</v>
      </c>
      <c r="H19" s="167"/>
      <c r="I19" s="167"/>
      <c r="J19" s="168"/>
      <c r="K19" s="168"/>
      <c r="L19" s="169"/>
    </row>
    <row r="20" spans="1:12" ht="15" thickBot="1" x14ac:dyDescent="0.35">
      <c r="A20">
        <f>IF(AND($B$29&lt;=C20,$B$29&gt;B20),10,0)</f>
        <v>0</v>
      </c>
      <c r="B20" s="129">
        <f>B19</f>
        <v>25</v>
      </c>
      <c r="C20" s="129">
        <f>C19</f>
        <v>50</v>
      </c>
      <c r="D20" s="130">
        <v>10</v>
      </c>
      <c r="E20" s="130">
        <v>2</v>
      </c>
      <c r="F20" s="131">
        <v>0.5</v>
      </c>
      <c r="G20" s="125">
        <f>IF(AND($H$29&lt;=I20,$H$29&gt;H20),10,0)</f>
        <v>0</v>
      </c>
      <c r="H20" s="170"/>
      <c r="I20" s="170"/>
      <c r="J20" s="171"/>
      <c r="K20" s="171"/>
      <c r="L20" s="172"/>
    </row>
    <row r="21" spans="1:12" x14ac:dyDescent="0.3">
      <c r="A21">
        <f>IF(AND($B$29&lt;=C21,$B$29&gt;B21),100,0)</f>
        <v>0</v>
      </c>
      <c r="B21" s="122">
        <v>50</v>
      </c>
      <c r="C21" s="122">
        <v>100</v>
      </c>
      <c r="D21" s="123">
        <v>100</v>
      </c>
      <c r="E21" s="123">
        <v>0.2</v>
      </c>
      <c r="F21" s="124">
        <v>0.03</v>
      </c>
      <c r="G21" s="125">
        <f>IF(AND($H$29&lt;=I21,$H$29&gt;H21),100,0)</f>
        <v>0</v>
      </c>
      <c r="H21" s="173"/>
      <c r="I21" s="173"/>
      <c r="J21" s="174"/>
      <c r="K21" s="174"/>
      <c r="L21" s="175"/>
    </row>
    <row r="22" spans="1:12" x14ac:dyDescent="0.3">
      <c r="A22">
        <f>IF(AND($B$29&lt;=C22,$B$29&gt;B22),50,0)</f>
        <v>0</v>
      </c>
      <c r="B22" s="126">
        <f>B21</f>
        <v>50</v>
      </c>
      <c r="C22" s="126">
        <f>C21</f>
        <v>100</v>
      </c>
      <c r="D22" s="127">
        <v>50</v>
      </c>
      <c r="E22" s="127">
        <v>0.4</v>
      </c>
      <c r="F22" s="128">
        <v>0.06</v>
      </c>
      <c r="G22" s="125">
        <f>IF(AND($H$29&lt;=I22,$H$29&gt;H22),50,0)</f>
        <v>0</v>
      </c>
      <c r="H22" s="167"/>
      <c r="I22" s="167"/>
      <c r="J22" s="168"/>
      <c r="K22" s="168"/>
      <c r="L22" s="169"/>
    </row>
    <row r="23" spans="1:12" ht="15" thickBot="1" x14ac:dyDescent="0.35">
      <c r="A23">
        <f>IF(AND($B$29&lt;=C23,$B$29&gt;B23),10,0)</f>
        <v>0</v>
      </c>
      <c r="B23" s="129">
        <f>B22</f>
        <v>50</v>
      </c>
      <c r="C23" s="129">
        <f>C22</f>
        <v>100</v>
      </c>
      <c r="D23" s="130">
        <v>10</v>
      </c>
      <c r="E23" s="130">
        <v>2</v>
      </c>
      <c r="F23" s="131">
        <v>0.3</v>
      </c>
      <c r="G23" s="125">
        <f>IF(AND($H$29&lt;=I23,$H$29&gt;H23),10,0)</f>
        <v>0</v>
      </c>
      <c r="H23" s="167"/>
      <c r="I23" s="167"/>
      <c r="J23" s="168"/>
      <c r="K23" s="168"/>
      <c r="L23" s="169"/>
    </row>
    <row r="24" spans="1:12" ht="15" hidden="1" thickBot="1" x14ac:dyDescent="0.35">
      <c r="A24">
        <v>1</v>
      </c>
      <c r="B24" s="119">
        <v>2</v>
      </c>
      <c r="C24">
        <v>3</v>
      </c>
      <c r="D24" s="119">
        <v>4</v>
      </c>
      <c r="E24">
        <v>5</v>
      </c>
      <c r="F24" s="119">
        <v>6</v>
      </c>
      <c r="G24" s="119">
        <v>1</v>
      </c>
      <c r="H24">
        <v>2</v>
      </c>
      <c r="I24" s="119">
        <v>3</v>
      </c>
      <c r="J24">
        <v>4</v>
      </c>
      <c r="K24" s="119">
        <v>5</v>
      </c>
      <c r="L24">
        <v>6</v>
      </c>
    </row>
    <row r="25" spans="1:12" ht="15" thickBot="1" x14ac:dyDescent="0.35">
      <c r="B25" s="492" t="s">
        <v>465</v>
      </c>
      <c r="C25" s="493"/>
      <c r="D25" s="493"/>
      <c r="E25" s="494"/>
      <c r="H25" s="492" t="s">
        <v>466</v>
      </c>
      <c r="I25" s="493"/>
      <c r="J25" s="493"/>
      <c r="K25" s="494"/>
      <c r="L25"/>
    </row>
    <row r="26" spans="1:12" x14ac:dyDescent="0.3">
      <c r="B26" s="132" t="s">
        <v>257</v>
      </c>
      <c r="C26"/>
      <c r="E26"/>
      <c r="H26" s="132" t="s">
        <v>257</v>
      </c>
      <c r="I26"/>
      <c r="K26"/>
      <c r="L26"/>
    </row>
    <row r="27" spans="1:12" ht="15" thickBot="1" x14ac:dyDescent="0.35">
      <c r="B27" s="176" t="s">
        <v>444</v>
      </c>
      <c r="C27"/>
      <c r="E27"/>
      <c r="H27" s="176" t="s">
        <v>444</v>
      </c>
      <c r="I27"/>
      <c r="K27"/>
      <c r="L27"/>
    </row>
    <row r="28" spans="1:12" ht="15" thickBot="1" x14ac:dyDescent="0.35">
      <c r="B28" s="134" t="s">
        <v>464</v>
      </c>
      <c r="C28" s="135" t="str">
        <f>IF(B27="Fixo","N/A","Ponto 1")</f>
        <v>Ponto 1</v>
      </c>
      <c r="D28" s="135" t="str">
        <f>IF(B27="Fixo","N/A","Ponto 2")</f>
        <v>Ponto 2</v>
      </c>
      <c r="E28" s="136" t="str">
        <f>IF(B27="Fixo","Ponto Fixo","Ponto 3")</f>
        <v>Ponto 3</v>
      </c>
      <c r="H28" s="134" t="s">
        <v>464</v>
      </c>
      <c r="I28" s="135" t="str">
        <f>IF(H27="Fixo","N/A","Ponto 1")</f>
        <v>Ponto 1</v>
      </c>
      <c r="J28" s="135" t="str">
        <f>IF(H27="Fixo","N/A","Ponto 2")</f>
        <v>Ponto 2</v>
      </c>
      <c r="K28" s="136" t="str">
        <f>IF(H27="Fixo","Ponto Fixo","Ponto 3")</f>
        <v>Ponto 3</v>
      </c>
    </row>
    <row r="29" spans="1:12" ht="15" thickBot="1" x14ac:dyDescent="0.35">
      <c r="B29" s="137">
        <f>B62</f>
        <v>1</v>
      </c>
      <c r="C29" s="138">
        <f>IF(B27="Fixo","N/A",B29*0.1)</f>
        <v>0.1</v>
      </c>
      <c r="D29" s="139">
        <f>IF(B27="Fixo","N/A",B29*0.5)</f>
        <v>0.5</v>
      </c>
      <c r="E29" s="140">
        <f>B29*1</f>
        <v>1</v>
      </c>
      <c r="H29" s="141">
        <f>B29</f>
        <v>1</v>
      </c>
      <c r="I29" s="142">
        <f>IF(H27="Fixo","N/A",H29*0.1)</f>
        <v>0.1</v>
      </c>
      <c r="J29" s="139">
        <f>IF(H27="Fixo","N/A",H29*0.5)</f>
        <v>0.5</v>
      </c>
      <c r="K29" s="140">
        <f>H29*1</f>
        <v>1</v>
      </c>
    </row>
    <row r="30" spans="1:12" ht="29.4" thickBot="1" x14ac:dyDescent="0.35">
      <c r="B30" s="143" t="s">
        <v>445</v>
      </c>
      <c r="C30" s="139">
        <f>IF(B27="Fixo","N/A",10)</f>
        <v>10</v>
      </c>
      <c r="D30" s="139">
        <f>IF(B27="Fixo","N/A",50)</f>
        <v>50</v>
      </c>
      <c r="E30" s="140">
        <v>100</v>
      </c>
      <c r="H30" s="143" t="s">
        <v>445</v>
      </c>
      <c r="I30" s="139">
        <f>IF(H27="Fixo","N/A",10)</f>
        <v>10</v>
      </c>
      <c r="J30" s="139">
        <f>IF(H27="Fixo","N/A",50)</f>
        <v>50</v>
      </c>
      <c r="K30" s="140">
        <v>100</v>
      </c>
    </row>
    <row r="31" spans="1:12" ht="28.8" x14ac:dyDescent="0.3">
      <c r="B31" s="144" t="s">
        <v>446</v>
      </c>
      <c r="C31" s="145">
        <f>IF(B27="Fixo","N/A",VLOOKUP(C30,$A$6:$F$23,$E$24,FALSE))</f>
        <v>6</v>
      </c>
      <c r="D31" s="145">
        <f>IF(B27="Fixo","N/A",VLOOKUP(D30,$A$6:$F$23,$E$24,FALSE))</f>
        <v>1.2</v>
      </c>
      <c r="E31" s="146">
        <f>VLOOKUP(E30,$A$6:$F$23,$E$24,FALSE)</f>
        <v>0.6</v>
      </c>
      <c r="H31" s="144" t="s">
        <v>446</v>
      </c>
      <c r="I31" s="145">
        <f>IF($H$27="Fixo","N/A",VLOOKUP(I30,$G$6:$L$23,$K$24,FALSE))</f>
        <v>6</v>
      </c>
      <c r="J31" s="145">
        <f>IF($H$27="Fixo","N/A",VLOOKUP(J30,$G$6:$L$23,$K$24,FALSE))</f>
        <v>1.2</v>
      </c>
      <c r="K31" s="146">
        <f>IF($H$27="Fixo","N/A",VLOOKUP(K30,$G$6:$L$23,$K$24,FALSE))</f>
        <v>0.6</v>
      </c>
    </row>
    <row r="32" spans="1:12" ht="36.6" thickBot="1" x14ac:dyDescent="0.35">
      <c r="B32" s="147" t="s">
        <v>467</v>
      </c>
      <c r="C32" s="148">
        <f>IF(B27="Fixo","N/A",C29*C31%)</f>
        <v>6.0000000000000001E-3</v>
      </c>
      <c r="D32" s="148">
        <f>IF(B27="Fixo","N/A",D29*D31%)</f>
        <v>6.0000000000000001E-3</v>
      </c>
      <c r="E32" s="149">
        <f>E29*E31%</f>
        <v>6.0000000000000001E-3</v>
      </c>
      <c r="H32" s="147" t="s">
        <v>467</v>
      </c>
      <c r="I32" s="148">
        <f>IF(H27="Fixo","N/A",I29*I31%)</f>
        <v>6.0000000000000001E-3</v>
      </c>
      <c r="J32" s="148">
        <f>IF(H27="Fixo","N/A",J29*J31%)</f>
        <v>6.0000000000000001E-3</v>
      </c>
      <c r="K32" s="149">
        <f>K29*K31%</f>
        <v>6.0000000000000001E-3</v>
      </c>
    </row>
    <row r="33" spans="1:12" ht="28.8" x14ac:dyDescent="0.3">
      <c r="B33" s="144" t="s">
        <v>448</v>
      </c>
      <c r="C33" s="145">
        <f>IF(B27="Fixo","N/A",VLOOKUP(C30,$A$6:$F$23,$F$24,FALSE))</f>
        <v>1</v>
      </c>
      <c r="D33" s="145">
        <f>IF(B27="Fixo","N/A",VLOOKUP(D30,$A$6:$F$23,$F$24,FALSE))</f>
        <v>0.2</v>
      </c>
      <c r="E33" s="146">
        <f>VLOOKUP(E30,$A$6:$F$23,$F$24,FALSE)</f>
        <v>0.1</v>
      </c>
      <c r="H33" s="144" t="s">
        <v>448</v>
      </c>
      <c r="I33" s="145">
        <f>IF($H$27="Fixo","N/A",VLOOKUP(I30,$G$6:$L$23,$L$24,FALSE))</f>
        <v>1</v>
      </c>
      <c r="J33" s="145">
        <f>IF($H$27="Fixo","N/A",VLOOKUP(J30,$G$6:$L$23,$L$24,FALSE))</f>
        <v>0.2</v>
      </c>
      <c r="K33" s="146">
        <f>IF($H$27="Fixo","N/A",VLOOKUP(K30,$G$6:$L$23,$L$24,FALSE))</f>
        <v>0.1</v>
      </c>
    </row>
    <row r="34" spans="1:12" ht="36.6" thickBot="1" x14ac:dyDescent="0.35">
      <c r="B34" s="147" t="s">
        <v>468</v>
      </c>
      <c r="C34" s="148">
        <f>IF(B27="Fixo","N/A",C29*C33%)</f>
        <v>1E-3</v>
      </c>
      <c r="D34" s="148">
        <f>IF(B27="Fixo","N/A",D29*D33%)</f>
        <v>1E-3</v>
      </c>
      <c r="E34" s="149">
        <f>E29*E33%</f>
        <v>1E-3</v>
      </c>
      <c r="H34" s="147" t="s">
        <v>468</v>
      </c>
      <c r="I34" s="148">
        <f>IF(H27="Fixo","N/A",I29*I33%)</f>
        <v>1E-3</v>
      </c>
      <c r="J34" s="148">
        <f>IF(H27="Fixo","N/A",J29*J33%)</f>
        <v>1E-3</v>
      </c>
      <c r="K34" s="149">
        <f>K29*K33%</f>
        <v>1E-3</v>
      </c>
    </row>
    <row r="35" spans="1:12" ht="15" thickBot="1" x14ac:dyDescent="0.35"/>
    <row r="36" spans="1:12" ht="24" thickBot="1" x14ac:dyDescent="0.5">
      <c r="A36" s="497" t="s">
        <v>450</v>
      </c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9"/>
    </row>
    <row r="37" spans="1:12" ht="15" thickBot="1" x14ac:dyDescent="0.35">
      <c r="B37" s="500" t="s">
        <v>462</v>
      </c>
      <c r="C37" s="501"/>
      <c r="D37" s="501"/>
      <c r="E37" s="501"/>
      <c r="F37" s="502"/>
      <c r="G37"/>
      <c r="H37" s="500" t="s">
        <v>463</v>
      </c>
      <c r="I37" s="501"/>
      <c r="J37" s="501"/>
      <c r="K37" s="501"/>
      <c r="L37" s="502"/>
    </row>
    <row r="38" spans="1:12" ht="43.8" thickBot="1" x14ac:dyDescent="0.35">
      <c r="B38" s="503" t="s">
        <v>464</v>
      </c>
      <c r="C38" s="504"/>
      <c r="D38" s="120" t="s">
        <v>439</v>
      </c>
      <c r="E38" s="120" t="s">
        <v>440</v>
      </c>
      <c r="F38" s="121" t="s">
        <v>441</v>
      </c>
      <c r="G38"/>
      <c r="H38" s="503" t="s">
        <v>464</v>
      </c>
      <c r="I38" s="504"/>
      <c r="J38" s="120" t="s">
        <v>439</v>
      </c>
      <c r="K38" s="120" t="s">
        <v>440</v>
      </c>
      <c r="L38" s="121" t="s">
        <v>441</v>
      </c>
    </row>
    <row r="39" spans="1:12" x14ac:dyDescent="0.3">
      <c r="A39">
        <f>IF(AND($B$62&lt;=C39,$B$62&gt;=B39),100,0)</f>
        <v>100</v>
      </c>
      <c r="B39" s="122">
        <v>0</v>
      </c>
      <c r="C39" s="122">
        <v>1</v>
      </c>
      <c r="D39" s="123">
        <v>100</v>
      </c>
      <c r="E39" s="123">
        <v>0.6</v>
      </c>
      <c r="F39" s="124">
        <v>0.1</v>
      </c>
      <c r="G39" s="125">
        <f>IF(AND($H$62&lt;=I39,$H$62&gt;=H39),100,0)</f>
        <v>100</v>
      </c>
      <c r="H39" s="122">
        <v>0</v>
      </c>
      <c r="I39" s="122">
        <v>1</v>
      </c>
      <c r="J39" s="123">
        <v>100</v>
      </c>
      <c r="K39" s="123">
        <v>0.6</v>
      </c>
      <c r="L39" s="124">
        <v>0.1</v>
      </c>
    </row>
    <row r="40" spans="1:12" x14ac:dyDescent="0.3">
      <c r="A40">
        <f>IF(AND($B$62&lt;=C40,$B$62&gt;=B40),50,0)</f>
        <v>50</v>
      </c>
      <c r="B40" s="126">
        <v>0</v>
      </c>
      <c r="C40" s="126">
        <v>1</v>
      </c>
      <c r="D40" s="127">
        <v>50</v>
      </c>
      <c r="E40" s="127">
        <v>1.2</v>
      </c>
      <c r="F40" s="128">
        <v>0.2</v>
      </c>
      <c r="G40" s="125">
        <f>IF(AND($H$62&lt;=I40,$H$62&gt;=H40),50,0)</f>
        <v>50</v>
      </c>
      <c r="H40" s="126">
        <f>H39</f>
        <v>0</v>
      </c>
      <c r="I40" s="126">
        <f>I39</f>
        <v>1</v>
      </c>
      <c r="J40" s="127">
        <v>50</v>
      </c>
      <c r="K40" s="127">
        <v>1.2</v>
      </c>
      <c r="L40" s="128">
        <v>0.2</v>
      </c>
    </row>
    <row r="41" spans="1:12" ht="15" thickBot="1" x14ac:dyDescent="0.35">
      <c r="A41">
        <f>IF(AND($B$62&lt;=C41,$B$62&gt;=B41),10,0)</f>
        <v>10</v>
      </c>
      <c r="B41" s="129">
        <v>0</v>
      </c>
      <c r="C41" s="129">
        <v>1</v>
      </c>
      <c r="D41" s="130">
        <v>10</v>
      </c>
      <c r="E41" s="130">
        <v>6</v>
      </c>
      <c r="F41" s="131">
        <v>1</v>
      </c>
      <c r="G41" s="125">
        <f>IF(AND($H$62&lt;=I41,$H$62&gt;=H41),10,0)</f>
        <v>10</v>
      </c>
      <c r="H41" s="129">
        <f>H40</f>
        <v>0</v>
      </c>
      <c r="I41" s="129">
        <f>I40</f>
        <v>1</v>
      </c>
      <c r="J41" s="130">
        <v>10</v>
      </c>
      <c r="K41" s="130">
        <v>6</v>
      </c>
      <c r="L41" s="131">
        <v>1</v>
      </c>
    </row>
    <row r="42" spans="1:12" x14ac:dyDescent="0.3">
      <c r="A42">
        <f>IF(AND($B$62&lt;=C42,$B$62&gt;B42),100,0)</f>
        <v>0</v>
      </c>
      <c r="B42" s="122">
        <v>1</v>
      </c>
      <c r="C42" s="122">
        <v>2</v>
      </c>
      <c r="D42" s="123">
        <v>100</v>
      </c>
      <c r="E42" s="123">
        <v>0.5</v>
      </c>
      <c r="F42" s="124">
        <v>0.1</v>
      </c>
      <c r="G42" s="125">
        <f t="shared" ref="G42" si="0">IF(AND($H$62&lt;=I42,$H$62&gt;=H42),100,0)</f>
        <v>100</v>
      </c>
      <c r="H42" s="122">
        <v>1</v>
      </c>
      <c r="I42" s="122">
        <v>2</v>
      </c>
      <c r="J42" s="123">
        <v>100</v>
      </c>
      <c r="K42" s="123">
        <v>0.5</v>
      </c>
      <c r="L42" s="124">
        <v>0.1</v>
      </c>
    </row>
    <row r="43" spans="1:12" x14ac:dyDescent="0.3">
      <c r="A43">
        <f>IF(AND($B$62&lt;=C43,$B$62&gt;B43),50,0)</f>
        <v>0</v>
      </c>
      <c r="B43" s="126">
        <f>B42</f>
        <v>1</v>
      </c>
      <c r="C43" s="126">
        <f>C42</f>
        <v>2</v>
      </c>
      <c r="D43" s="127">
        <v>50</v>
      </c>
      <c r="E43" s="127">
        <v>1</v>
      </c>
      <c r="F43" s="128">
        <v>0.2</v>
      </c>
      <c r="G43" s="125">
        <f t="shared" ref="G43" si="1">IF(AND($H$62&lt;=I43,$H$62&gt;=H43),50,0)</f>
        <v>50</v>
      </c>
      <c r="H43" s="126">
        <f>H42</f>
        <v>1</v>
      </c>
      <c r="I43" s="126">
        <f>I42</f>
        <v>2</v>
      </c>
      <c r="J43" s="127">
        <v>50</v>
      </c>
      <c r="K43" s="127">
        <v>1</v>
      </c>
      <c r="L43" s="128">
        <v>0.2</v>
      </c>
    </row>
    <row r="44" spans="1:12" ht="15" thickBot="1" x14ac:dyDescent="0.35">
      <c r="A44">
        <f>IF(AND($B$62&lt;=C44,$B$62&gt;B44),10,0)</f>
        <v>0</v>
      </c>
      <c r="B44" s="129">
        <f>B43</f>
        <v>1</v>
      </c>
      <c r="C44" s="129">
        <f>C43</f>
        <v>2</v>
      </c>
      <c r="D44" s="130">
        <v>10</v>
      </c>
      <c r="E44" s="130">
        <v>5</v>
      </c>
      <c r="F44" s="131">
        <v>1</v>
      </c>
      <c r="G44" s="125">
        <f t="shared" ref="G44" si="2">IF(AND($H$62&lt;=I44,$H$62&gt;=H44),10,0)</f>
        <v>10</v>
      </c>
      <c r="H44" s="129">
        <f>H43</f>
        <v>1</v>
      </c>
      <c r="I44" s="129">
        <f>I43</f>
        <v>2</v>
      </c>
      <c r="J44" s="130">
        <v>10</v>
      </c>
      <c r="K44" s="130">
        <v>5</v>
      </c>
      <c r="L44" s="131">
        <v>1</v>
      </c>
    </row>
    <row r="45" spans="1:12" x14ac:dyDescent="0.3">
      <c r="A45">
        <f>IF(AND($B$62&lt;=C45,$B$62&gt;B45),100,0)</f>
        <v>0</v>
      </c>
      <c r="B45" s="122">
        <v>2</v>
      </c>
      <c r="C45" s="122">
        <v>5</v>
      </c>
      <c r="D45" s="123">
        <v>100</v>
      </c>
      <c r="E45" s="123">
        <v>0.3</v>
      </c>
      <c r="F45" s="124">
        <v>0.1</v>
      </c>
      <c r="G45" s="125">
        <f t="shared" ref="G45" si="3">IF(AND($H$62&lt;=I45,$H$62&gt;=H45),100,0)</f>
        <v>0</v>
      </c>
      <c r="H45" s="122">
        <v>2</v>
      </c>
      <c r="I45" s="122">
        <v>10</v>
      </c>
      <c r="J45" s="123">
        <v>100</v>
      </c>
      <c r="K45" s="123">
        <v>0.3</v>
      </c>
      <c r="L45" s="124">
        <v>0.1</v>
      </c>
    </row>
    <row r="46" spans="1:12" x14ac:dyDescent="0.3">
      <c r="A46">
        <f>IF(AND($B$62&lt;=C46,$B$62&gt;B46),50,0)</f>
        <v>0</v>
      </c>
      <c r="B46" s="126">
        <f>B45</f>
        <v>2</v>
      </c>
      <c r="C46" s="126">
        <f>C45</f>
        <v>5</v>
      </c>
      <c r="D46" s="127">
        <v>50</v>
      </c>
      <c r="E46" s="127">
        <v>0.6</v>
      </c>
      <c r="F46" s="128">
        <v>0.2</v>
      </c>
      <c r="G46" s="125">
        <f t="shared" ref="G46" si="4">IF(AND($H$62&lt;=I46,$H$62&gt;=H46),50,0)</f>
        <v>0</v>
      </c>
      <c r="H46" s="126">
        <f>H45</f>
        <v>2</v>
      </c>
      <c r="I46" s="126">
        <f>I45</f>
        <v>10</v>
      </c>
      <c r="J46" s="127">
        <v>50</v>
      </c>
      <c r="K46" s="127">
        <v>0.6</v>
      </c>
      <c r="L46" s="128">
        <v>0.2</v>
      </c>
    </row>
    <row r="47" spans="1:12" ht="15" thickBot="1" x14ac:dyDescent="0.35">
      <c r="A47">
        <f>IF(AND($B$62&lt;=C47,$B$62&gt;B47),10,0)</f>
        <v>0</v>
      </c>
      <c r="B47" s="129">
        <f>B46</f>
        <v>2</v>
      </c>
      <c r="C47" s="129">
        <f>C46</f>
        <v>5</v>
      </c>
      <c r="D47" s="130">
        <v>10</v>
      </c>
      <c r="E47" s="130">
        <v>3</v>
      </c>
      <c r="F47" s="131">
        <v>1</v>
      </c>
      <c r="G47" s="125">
        <f t="shared" ref="G47" si="5">IF(AND($H$62&lt;=I47,$H$62&gt;=H47),10,0)</f>
        <v>0</v>
      </c>
      <c r="H47" s="129">
        <f>H46</f>
        <v>2</v>
      </c>
      <c r="I47" s="129">
        <f>I46</f>
        <v>10</v>
      </c>
      <c r="J47" s="130">
        <v>10</v>
      </c>
      <c r="K47" s="130">
        <v>3</v>
      </c>
      <c r="L47" s="131">
        <v>1</v>
      </c>
    </row>
    <row r="48" spans="1:12" x14ac:dyDescent="0.3">
      <c r="A48">
        <f>IF(AND($B$62&lt;=C48,$B$62&gt;B48),100,0)</f>
        <v>0</v>
      </c>
      <c r="B48" s="122">
        <v>5</v>
      </c>
      <c r="C48" s="122">
        <v>25</v>
      </c>
      <c r="D48" s="123">
        <v>100</v>
      </c>
      <c r="E48" s="123">
        <v>0.2</v>
      </c>
      <c r="F48" s="124">
        <v>7.0000000000000007E-2</v>
      </c>
      <c r="G48" s="125">
        <f t="shared" ref="G48" si="6">IF(AND($H$62&lt;=I48,$H$62&gt;=H48),100,0)</f>
        <v>0</v>
      </c>
      <c r="H48" s="122">
        <v>10</v>
      </c>
      <c r="I48" s="122">
        <v>100</v>
      </c>
      <c r="J48" s="123">
        <v>100</v>
      </c>
      <c r="K48" s="123">
        <v>0.2</v>
      </c>
      <c r="L48" s="124">
        <v>0.1</v>
      </c>
    </row>
    <row r="49" spans="1:12" x14ac:dyDescent="0.3">
      <c r="A49">
        <f>IF(AND($B$62&lt;=C49,$B$62&gt;B49),50,0)</f>
        <v>0</v>
      </c>
      <c r="B49" s="126">
        <f>B48</f>
        <v>5</v>
      </c>
      <c r="C49" s="126">
        <f>C48</f>
        <v>25</v>
      </c>
      <c r="D49" s="127">
        <v>50</v>
      </c>
      <c r="E49" s="127">
        <v>0.4</v>
      </c>
      <c r="F49" s="128">
        <v>0.14000000000000001</v>
      </c>
      <c r="G49" s="125">
        <f t="shared" ref="G49" si="7">IF(AND($H$62&lt;=I49,$H$62&gt;=H49),50,0)</f>
        <v>0</v>
      </c>
      <c r="H49" s="126">
        <f>H48</f>
        <v>10</v>
      </c>
      <c r="I49" s="126">
        <f>I48</f>
        <v>100</v>
      </c>
      <c r="J49" s="127">
        <v>50</v>
      </c>
      <c r="K49" s="127">
        <v>0.4</v>
      </c>
      <c r="L49" s="128">
        <v>0.2</v>
      </c>
    </row>
    <row r="50" spans="1:12" ht="15" thickBot="1" x14ac:dyDescent="0.35">
      <c r="A50">
        <f>IF(AND($B$62&lt;=C50,$B$62&gt;B50),10,0)</f>
        <v>0</v>
      </c>
      <c r="B50" s="129">
        <f>B49</f>
        <v>5</v>
      </c>
      <c r="C50" s="129">
        <f>C49</f>
        <v>25</v>
      </c>
      <c r="D50" s="130">
        <v>10</v>
      </c>
      <c r="E50" s="130">
        <v>2</v>
      </c>
      <c r="F50" s="131">
        <v>0.7</v>
      </c>
      <c r="G50" s="125">
        <f t="shared" ref="G50" si="8">IF(AND($H$62&lt;=I50,$H$62&gt;=H50),10,0)</f>
        <v>0</v>
      </c>
      <c r="H50" s="129">
        <f>H49</f>
        <v>10</v>
      </c>
      <c r="I50" s="129">
        <f>I49</f>
        <v>100</v>
      </c>
      <c r="J50" s="130">
        <v>10</v>
      </c>
      <c r="K50" s="130">
        <v>2</v>
      </c>
      <c r="L50" s="131">
        <v>1</v>
      </c>
    </row>
    <row r="51" spans="1:12" x14ac:dyDescent="0.3">
      <c r="A51">
        <f>IF(AND($B$62&lt;=C51,$B$62&gt;B51),100,0)</f>
        <v>0</v>
      </c>
      <c r="B51" s="122">
        <v>25</v>
      </c>
      <c r="C51" s="122">
        <v>50</v>
      </c>
      <c r="D51" s="123">
        <v>100</v>
      </c>
      <c r="E51" s="123">
        <v>0.2</v>
      </c>
      <c r="F51" s="124">
        <v>0.05</v>
      </c>
      <c r="G51" s="125">
        <f t="shared" ref="G51" si="9">IF(AND($H$62&lt;=I51,$H$62&gt;=H51),100,0)</f>
        <v>0</v>
      </c>
      <c r="H51" s="164"/>
      <c r="I51" s="164"/>
      <c r="J51" s="165"/>
      <c r="K51" s="165"/>
      <c r="L51" s="166"/>
    </row>
    <row r="52" spans="1:12" x14ac:dyDescent="0.3">
      <c r="A52">
        <f>IF(AND($B$62&lt;=C52,$B$62&gt;B52),50,0)</f>
        <v>0</v>
      </c>
      <c r="B52" s="126">
        <f>B51</f>
        <v>25</v>
      </c>
      <c r="C52" s="126">
        <f>C51</f>
        <v>50</v>
      </c>
      <c r="D52" s="127">
        <v>50</v>
      </c>
      <c r="E52" s="127">
        <v>0.4</v>
      </c>
      <c r="F52" s="128">
        <v>0.1</v>
      </c>
      <c r="G52" s="125">
        <f t="shared" ref="G52" si="10">IF(AND($H$62&lt;=I52,$H$62&gt;=H52),50,0)</f>
        <v>0</v>
      </c>
      <c r="H52" s="167"/>
      <c r="I52" s="167"/>
      <c r="J52" s="168"/>
      <c r="K52" s="168"/>
      <c r="L52" s="169"/>
    </row>
    <row r="53" spans="1:12" ht="15" thickBot="1" x14ac:dyDescent="0.35">
      <c r="A53">
        <f>IF(AND($B$62&lt;=C53,$B$62&gt;B53),10,0)</f>
        <v>0</v>
      </c>
      <c r="B53" s="129">
        <f>B52</f>
        <v>25</v>
      </c>
      <c r="C53" s="129">
        <f>C52</f>
        <v>50</v>
      </c>
      <c r="D53" s="130">
        <v>10</v>
      </c>
      <c r="E53" s="130">
        <v>2</v>
      </c>
      <c r="F53" s="131">
        <v>0.5</v>
      </c>
      <c r="G53" s="125">
        <f t="shared" ref="G53" si="11">IF(AND($H$62&lt;=I53,$H$62&gt;=H53),10,0)</f>
        <v>0</v>
      </c>
      <c r="H53" s="170"/>
      <c r="I53" s="170"/>
      <c r="J53" s="171"/>
      <c r="K53" s="171"/>
      <c r="L53" s="172"/>
    </row>
    <row r="54" spans="1:12" x14ac:dyDescent="0.3">
      <c r="A54">
        <f>IF(AND($B$62&lt;=C54,$B$62&gt;B54),100,0)</f>
        <v>0</v>
      </c>
      <c r="B54" s="122">
        <v>50</v>
      </c>
      <c r="C54" s="122">
        <v>100</v>
      </c>
      <c r="D54" s="123">
        <v>100</v>
      </c>
      <c r="E54" s="123">
        <v>0.2</v>
      </c>
      <c r="F54" s="124">
        <v>0.03</v>
      </c>
      <c r="G54" s="125">
        <f t="shared" ref="G54" si="12">IF(AND($H$62&lt;=I54,$H$62&gt;=H54),100,0)</f>
        <v>0</v>
      </c>
      <c r="H54" s="173"/>
      <c r="I54" s="173"/>
      <c r="J54" s="174"/>
      <c r="K54" s="174"/>
      <c r="L54" s="175"/>
    </row>
    <row r="55" spans="1:12" x14ac:dyDescent="0.3">
      <c r="A55">
        <f>IF(AND($B$62&lt;=C55,$B$62&gt;B55),50,0)</f>
        <v>0</v>
      </c>
      <c r="B55" s="126">
        <f>B54</f>
        <v>50</v>
      </c>
      <c r="C55" s="126">
        <f>C54</f>
        <v>100</v>
      </c>
      <c r="D55" s="127">
        <v>50</v>
      </c>
      <c r="E55" s="127">
        <v>0.4</v>
      </c>
      <c r="F55" s="128">
        <v>0.06</v>
      </c>
      <c r="G55" s="125">
        <f t="shared" ref="G55" si="13">IF(AND($H$62&lt;=I55,$H$62&gt;=H55),50,0)</f>
        <v>0</v>
      </c>
      <c r="H55" s="167"/>
      <c r="I55" s="167"/>
      <c r="J55" s="168"/>
      <c r="K55" s="168"/>
      <c r="L55" s="169"/>
    </row>
    <row r="56" spans="1:12" ht="15" thickBot="1" x14ac:dyDescent="0.35">
      <c r="A56">
        <f>IF(AND($B$62&lt;=C56,$B$62&gt;B56),10,0)</f>
        <v>0</v>
      </c>
      <c r="B56" s="129">
        <f>B55</f>
        <v>50</v>
      </c>
      <c r="C56" s="129">
        <f>C55</f>
        <v>100</v>
      </c>
      <c r="D56" s="130">
        <v>10</v>
      </c>
      <c r="E56" s="130">
        <v>2</v>
      </c>
      <c r="F56" s="131">
        <v>0.3</v>
      </c>
      <c r="G56" s="125">
        <f t="shared" ref="G56" si="14">IF(AND($H$62&lt;=I56,$H$62&gt;=H56),10,0)</f>
        <v>0</v>
      </c>
      <c r="H56" s="167"/>
      <c r="I56" s="167"/>
      <c r="J56" s="168"/>
      <c r="K56" s="168"/>
      <c r="L56" s="169"/>
    </row>
    <row r="57" spans="1:12" ht="15.75" hidden="1" customHeight="1" thickBot="1" x14ac:dyDescent="0.35">
      <c r="A57">
        <v>1</v>
      </c>
      <c r="B57" s="119">
        <v>2</v>
      </c>
      <c r="C57">
        <v>3</v>
      </c>
      <c r="D57" s="119">
        <v>4</v>
      </c>
      <c r="E57">
        <v>5</v>
      </c>
      <c r="F57" s="119">
        <v>6</v>
      </c>
      <c r="G57" s="119">
        <v>1</v>
      </c>
      <c r="H57">
        <v>2</v>
      </c>
      <c r="I57" s="119">
        <v>3</v>
      </c>
      <c r="J57">
        <v>4</v>
      </c>
      <c r="K57" s="119">
        <v>5</v>
      </c>
      <c r="L57">
        <v>6</v>
      </c>
    </row>
    <row r="58" spans="1:12" ht="30.75" customHeight="1" thickBot="1" x14ac:dyDescent="0.35">
      <c r="B58" s="492" t="s">
        <v>465</v>
      </c>
      <c r="C58" s="493"/>
      <c r="D58" s="493"/>
      <c r="E58" s="494"/>
      <c r="H58" s="492" t="s">
        <v>466</v>
      </c>
      <c r="I58" s="493"/>
      <c r="J58" s="493"/>
      <c r="K58" s="494"/>
      <c r="L58"/>
    </row>
    <row r="59" spans="1:12" x14ac:dyDescent="0.3">
      <c r="B59" s="132" t="s">
        <v>257</v>
      </c>
      <c r="C59"/>
      <c r="E59"/>
      <c r="H59" s="132" t="s">
        <v>257</v>
      </c>
      <c r="I59"/>
      <c r="K59"/>
      <c r="L59"/>
    </row>
    <row r="60" spans="1:12" ht="15" thickBot="1" x14ac:dyDescent="0.35">
      <c r="B60" s="176" t="s">
        <v>444</v>
      </c>
      <c r="C60"/>
      <c r="E60"/>
      <c r="H60" s="176" t="s">
        <v>444</v>
      </c>
      <c r="I60"/>
      <c r="K60"/>
      <c r="L60"/>
    </row>
    <row r="61" spans="1:12" ht="45" thickBot="1" x14ac:dyDescent="0.35">
      <c r="B61" s="143" t="s">
        <v>469</v>
      </c>
      <c r="C61" s="160" t="s">
        <v>470</v>
      </c>
      <c r="E61"/>
      <c r="H61" s="143" t="s">
        <v>469</v>
      </c>
      <c r="I61" s="160" t="s">
        <v>470</v>
      </c>
      <c r="K61"/>
    </row>
    <row r="62" spans="1:12" ht="15" thickBot="1" x14ac:dyDescent="0.35">
      <c r="B62" s="137">
        <f>$B$77</f>
        <v>1</v>
      </c>
      <c r="C62" s="141">
        <v>100</v>
      </c>
      <c r="E62"/>
      <c r="H62" s="137">
        <f>B62</f>
        <v>1</v>
      </c>
      <c r="I62" s="141">
        <v>10</v>
      </c>
      <c r="K62"/>
    </row>
    <row r="63" spans="1:12" ht="43.8" thickBot="1" x14ac:dyDescent="0.35">
      <c r="B63" s="143" t="s">
        <v>455</v>
      </c>
      <c r="C63" s="161">
        <f>IF(C62/B62&lt;0.1,"Valor Abaixo de 10% - Não Válido",B62/B62*100)</f>
        <v>100</v>
      </c>
      <c r="E63"/>
      <c r="H63" s="143" t="s">
        <v>455</v>
      </c>
      <c r="I63" s="161">
        <f>IF(I62/H62&lt;0.1,"Valor Abaixo de 10% - Não Válido",H62/H62*100)</f>
        <v>100</v>
      </c>
      <c r="K63"/>
    </row>
    <row r="64" spans="1:12" ht="45" thickBot="1" x14ac:dyDescent="0.35">
      <c r="B64" s="144" t="s">
        <v>456</v>
      </c>
      <c r="C64" s="146">
        <f>VLOOKUP(C63,$A$39:$F$56,$E$57,FALSE)</f>
        <v>0.6</v>
      </c>
      <c r="E64"/>
      <c r="H64" s="144" t="s">
        <v>456</v>
      </c>
      <c r="I64" s="146">
        <f>VLOOKUP(I63,$G$39:$L$56,$K$57,FALSE)</f>
        <v>0.6</v>
      </c>
      <c r="K64"/>
    </row>
    <row r="65" spans="1:34" ht="45" thickBot="1" x14ac:dyDescent="0.35">
      <c r="B65" s="144" t="s">
        <v>457</v>
      </c>
      <c r="C65" s="177">
        <f>B62/C62*C64</f>
        <v>6.0000000000000001E-3</v>
      </c>
      <c r="E65"/>
      <c r="H65" s="144" t="s">
        <v>457</v>
      </c>
      <c r="I65" s="177">
        <f>H62/I62*I64</f>
        <v>0.06</v>
      </c>
      <c r="K65"/>
    </row>
    <row r="66" spans="1:34" ht="77.400000000000006" thickBot="1" x14ac:dyDescent="0.35">
      <c r="B66" s="178" t="s">
        <v>458</v>
      </c>
      <c r="C66" s="179">
        <f>C62*C65%</f>
        <v>6.0000000000000001E-3</v>
      </c>
      <c r="D66" s="180" t="s">
        <v>471</v>
      </c>
      <c r="E66" s="181">
        <f>C66/C62%</f>
        <v>6.0000000000000001E-3</v>
      </c>
      <c r="H66" s="178" t="s">
        <v>458</v>
      </c>
      <c r="I66" s="179">
        <f>I62*I65%</f>
        <v>5.9999999999999993E-3</v>
      </c>
      <c r="J66" s="180" t="s">
        <v>471</v>
      </c>
      <c r="K66" s="181">
        <f>I66/I62%</f>
        <v>5.9999999999999991E-2</v>
      </c>
    </row>
    <row r="67" spans="1:34" ht="30.6" thickBot="1" x14ac:dyDescent="0.35">
      <c r="B67" s="144" t="s">
        <v>459</v>
      </c>
      <c r="C67" s="146">
        <f>VLOOKUP(C63,$A$39:$F$56,$F$57,FALSE)</f>
        <v>0.1</v>
      </c>
      <c r="E67"/>
      <c r="H67" s="144" t="s">
        <v>459</v>
      </c>
      <c r="I67" s="146">
        <f>VLOOKUP(I63,$G$39:$L$56,$L$57,FALSE)</f>
        <v>0.1</v>
      </c>
      <c r="K67"/>
    </row>
    <row r="68" spans="1:34" ht="30.6" thickBot="1" x14ac:dyDescent="0.35">
      <c r="B68" s="144" t="s">
        <v>460</v>
      </c>
      <c r="C68" s="146">
        <f>B62/C62*C67</f>
        <v>1E-3</v>
      </c>
      <c r="E68"/>
      <c r="H68" s="144" t="s">
        <v>460</v>
      </c>
      <c r="I68" s="146">
        <f>H62/I62*I67</f>
        <v>1.0000000000000002E-2</v>
      </c>
      <c r="K68"/>
    </row>
    <row r="69" spans="1:34" ht="77.400000000000006" thickBot="1" x14ac:dyDescent="0.35">
      <c r="B69" s="147" t="s">
        <v>449</v>
      </c>
      <c r="C69" s="149">
        <f>C62*C68%</f>
        <v>1E-3</v>
      </c>
      <c r="D69" s="180" t="s">
        <v>471</v>
      </c>
      <c r="E69" s="181">
        <f>C69/C62%</f>
        <v>1E-3</v>
      </c>
      <c r="H69" s="163" t="s">
        <v>449</v>
      </c>
      <c r="I69" s="149">
        <f>I62*I68%</f>
        <v>1.0000000000000002E-3</v>
      </c>
      <c r="J69" s="180" t="s">
        <v>471</v>
      </c>
      <c r="K69" s="181">
        <f>I69/I62%</f>
        <v>1.0000000000000002E-2</v>
      </c>
    </row>
    <row r="73" spans="1:34" x14ac:dyDescent="0.3">
      <c r="B73" s="119">
        <f>Dados!$U$12</f>
        <v>1000</v>
      </c>
      <c r="C73" s="119" t="str">
        <f>Dados!$W$12</f>
        <v>µL</v>
      </c>
      <c r="D73" s="119">
        <f>VLOOKUP($C$73,'Unidades de medida'!$A$2:$B$9,2,FALSE)</f>
        <v>1000</v>
      </c>
    </row>
    <row r="75" spans="1:34" ht="15.75" customHeight="1" thickBot="1" x14ac:dyDescent="0.35">
      <c r="B75" s="495" t="s">
        <v>465</v>
      </c>
      <c r="C75" s="496"/>
      <c r="D75" s="496"/>
      <c r="E75" s="496"/>
      <c r="F75" s="496"/>
      <c r="G75" s="496"/>
      <c r="H75" s="496"/>
      <c r="I75" s="496"/>
      <c r="J75" s="496"/>
      <c r="K75" s="496"/>
      <c r="L75" s="496"/>
      <c r="M75" s="496"/>
      <c r="O75" s="495" t="s">
        <v>466</v>
      </c>
      <c r="P75" s="496"/>
      <c r="Q75" s="496"/>
      <c r="R75" s="496"/>
      <c r="S75" s="496"/>
      <c r="T75" s="496"/>
      <c r="U75" s="496"/>
      <c r="V75" s="496"/>
      <c r="W75" s="496"/>
      <c r="X75" s="496"/>
      <c r="Y75" s="496"/>
    </row>
    <row r="76" spans="1:34" ht="74.25" customHeight="1" thickBot="1" x14ac:dyDescent="0.35">
      <c r="B76" s="143" t="s">
        <v>469</v>
      </c>
      <c r="C76" s="160" t="s">
        <v>470</v>
      </c>
      <c r="D76" s="143" t="s">
        <v>455</v>
      </c>
      <c r="E76" s="144" t="s">
        <v>456</v>
      </c>
      <c r="F76" s="144" t="s">
        <v>457</v>
      </c>
      <c r="H76" s="178" t="s">
        <v>458</v>
      </c>
      <c r="I76" s="144" t="s">
        <v>459</v>
      </c>
      <c r="J76" s="144" t="s">
        <v>460</v>
      </c>
      <c r="K76" s="147" t="s">
        <v>449</v>
      </c>
      <c r="L76" s="162" t="str">
        <f>CONCATENATE("Tolerância Erro Sistemático Selecionado - evs (",$C$73,")")</f>
        <v>Tolerância Erro Sistemático Selecionado - evs (µL)</v>
      </c>
      <c r="M76" s="147" t="str">
        <f>CONCATENATE("Tolerância Erro Randômico (",$C$73,")")</f>
        <v>Tolerância Erro Randômico (µL)</v>
      </c>
      <c r="O76" s="143" t="s">
        <v>469</v>
      </c>
      <c r="P76" s="160" t="s">
        <v>470</v>
      </c>
      <c r="Q76" s="143" t="s">
        <v>455</v>
      </c>
      <c r="R76" s="144" t="s">
        <v>456</v>
      </c>
      <c r="S76" s="144" t="s">
        <v>457</v>
      </c>
      <c r="T76" s="178" t="s">
        <v>458</v>
      </c>
      <c r="U76" s="144" t="s">
        <v>459</v>
      </c>
      <c r="V76" s="144" t="s">
        <v>460</v>
      </c>
      <c r="W76" s="163" t="s">
        <v>449</v>
      </c>
      <c r="X76" s="162" t="str">
        <f>CONCATENATE("Tolerância Erro Sistemático Selecionado - evs (",$C$73,")")</f>
        <v>Tolerância Erro Sistemático Selecionado - evs (µL)</v>
      </c>
      <c r="Y76" s="147" t="str">
        <f>CONCATENATE("Tolerância Erro Randômico (",$C$73,")")</f>
        <v>Tolerância Erro Randômico (µL)</v>
      </c>
    </row>
    <row r="77" spans="1:34" ht="18.600000000000001" thickBot="1" x14ac:dyDescent="0.35">
      <c r="A77" t="str">
        <f t="shared" ref="A77:A83" si="15">CONCATENATE(AG77,".",AH77)</f>
        <v>1.1</v>
      </c>
      <c r="B77" s="137">
        <f>$B$73/$D$73</f>
        <v>1</v>
      </c>
      <c r="C77" s="141">
        <f>VLOOKUP(CONCATENATE(AH77,".",3),'Resultados - 1'!$A$10:$G$156,5,FALSE)/$D$73</f>
        <v>0.1</v>
      </c>
      <c r="D77" s="161">
        <f>IF(C77/B77&lt;0.1,"Valor Abaixo de 10% - Não Válido",C77/B77*100)</f>
        <v>10</v>
      </c>
      <c r="E77" s="146">
        <f>IFERROR(VLOOKUP(D77,$A$39:$F$56,$E$57,FALSE),VLOOKUP(100,$A$39:$F$56,$E$57,FALSE))</f>
        <v>6</v>
      </c>
      <c r="F77" s="177">
        <f>B77/C77*E77</f>
        <v>60</v>
      </c>
      <c r="H77" s="149">
        <f>IF(OR(D77=10,D77=50,D77=100),C77*E77%,C77*F77%)</f>
        <v>6.0000000000000001E-3</v>
      </c>
      <c r="I77" s="146">
        <f>VLOOKUP(D77,$A$39:$F$56,$F$57,FALSE)</f>
        <v>1</v>
      </c>
      <c r="J77" s="146">
        <f>B77/C77*I77</f>
        <v>10</v>
      </c>
      <c r="K77" s="149">
        <f>IF(OR(D77=10,D77=50,D77=100),C77*I77%,C77*J77%)</f>
        <v>1E-3</v>
      </c>
      <c r="L77" s="149">
        <f>H77*$D$73</f>
        <v>6</v>
      </c>
      <c r="M77" s="149">
        <f>K77*$D$73</f>
        <v>1</v>
      </c>
      <c r="O77" s="137">
        <f>B77</f>
        <v>1</v>
      </c>
      <c r="P77" s="141">
        <f>C77</f>
        <v>0.1</v>
      </c>
      <c r="Q77" s="161">
        <f>IF(P77/O77&lt;0.1,"Valor Abaixo de 10% - Não Válido",O77/O77*100)</f>
        <v>100</v>
      </c>
      <c r="R77" s="146">
        <f>VLOOKUP(Q77,$G$39:$L$56,$K$57,FALSE)</f>
        <v>0.6</v>
      </c>
      <c r="S77" s="177">
        <f>O77/P77*R77</f>
        <v>6</v>
      </c>
      <c r="T77" s="149">
        <f>IF(OR(Q77=10,Q77=50,Q77=100),O77*R77%,O77*S77%)</f>
        <v>6.0000000000000001E-3</v>
      </c>
      <c r="U77" s="146">
        <f>VLOOKUP(Q77,$G$39:$L$56,$L$57,FALSE)</f>
        <v>0.1</v>
      </c>
      <c r="V77" s="146">
        <f>O77/P77*U77</f>
        <v>1</v>
      </c>
      <c r="W77" s="149">
        <f>IF(OR(Q77=10,Q77=50,Q77=100),O77*U77%,O77*V77%)</f>
        <v>1E-3</v>
      </c>
      <c r="X77" s="149">
        <f>T77*$D$73</f>
        <v>6</v>
      </c>
      <c r="Y77" s="149">
        <f>W77*$D$73</f>
        <v>1</v>
      </c>
      <c r="AG77">
        <v>1</v>
      </c>
      <c r="AH77">
        <v>1</v>
      </c>
    </row>
    <row r="78" spans="1:34" ht="18.600000000000001" thickBot="1" x14ac:dyDescent="0.35">
      <c r="A78" t="str">
        <f t="shared" si="15"/>
        <v>1.2</v>
      </c>
      <c r="B78" s="137">
        <f t="shared" ref="B78:B83" si="16">$B$73/$D$73</f>
        <v>1</v>
      </c>
      <c r="C78" s="141">
        <f>VLOOKUP(CONCATENATE(AH78,".",3),'Resultados - 1'!$A$10:$G$156,5,FALSE)/$D$73</f>
        <v>0.5</v>
      </c>
      <c r="D78" s="161">
        <f t="shared" ref="D78:D83" si="17">IF(C78/B78&lt;0.1,"Valor Abaixo de 10% - Não Válido",C78/B78*100)</f>
        <v>50</v>
      </c>
      <c r="E78" s="146">
        <f t="shared" ref="E78:E83" si="18">IFERROR(VLOOKUP(D78,$A$39:$F$56,$E$57,FALSE),VLOOKUP(100,$A$39:$F$56,$E$57,FALSE))</f>
        <v>1.2</v>
      </c>
      <c r="F78" s="177">
        <f t="shared" ref="F78:F83" si="19">B78/C78*E78</f>
        <v>2.4</v>
      </c>
      <c r="H78" s="149">
        <f t="shared" ref="H78:H83" si="20">IF(OR(D78=10,D78=50,D78=100),C78*E78%,C78*F78%)</f>
        <v>6.0000000000000001E-3</v>
      </c>
      <c r="I78" s="146">
        <f t="shared" ref="I78:I83" si="21">VLOOKUP(D78,$A$39:$F$56,$F$57,FALSE)</f>
        <v>0.2</v>
      </c>
      <c r="J78" s="146">
        <f t="shared" ref="J78:J83" si="22">B78/C78*I78</f>
        <v>0.4</v>
      </c>
      <c r="K78" s="149">
        <f t="shared" ref="K78:K83" si="23">IF(OR(D78=10,D78=50,D78=100),C78*I78%,C78*J78%)</f>
        <v>1E-3</v>
      </c>
      <c r="L78" s="149">
        <f t="shared" ref="L78:L83" si="24">H78*$D$73</f>
        <v>6</v>
      </c>
      <c r="M78" s="149">
        <f t="shared" ref="M78:M83" si="25">K78*$D$73</f>
        <v>1</v>
      </c>
      <c r="O78" s="137">
        <f t="shared" ref="O78:O83" si="26">B78</f>
        <v>1</v>
      </c>
      <c r="P78" s="141">
        <f t="shared" ref="P78:P83" si="27">C78</f>
        <v>0.5</v>
      </c>
      <c r="Q78" s="161">
        <f t="shared" ref="Q78:Q83" si="28">IF(P78/O78&lt;0.1,"Valor Abaixo de 10% - Não Válido",O78/O78*100)</f>
        <v>100</v>
      </c>
      <c r="R78" s="146">
        <f t="shared" ref="R78:R83" si="29">VLOOKUP(Q78,$G$39:$L$56,$K$57,FALSE)</f>
        <v>0.6</v>
      </c>
      <c r="S78" s="177">
        <f t="shared" ref="S78:S83" si="30">O78/P78*R78</f>
        <v>1.2</v>
      </c>
      <c r="T78" s="149">
        <f t="shared" ref="T78:T83" si="31">IF(OR(Q78=10,Q78=50,Q78=100),O78*R78%,O78*S78%)</f>
        <v>6.0000000000000001E-3</v>
      </c>
      <c r="U78" s="146">
        <f t="shared" ref="U78:U83" si="32">VLOOKUP(Q78,$G$39:$L$56,$L$57,FALSE)</f>
        <v>0.1</v>
      </c>
      <c r="V78" s="146">
        <f t="shared" ref="V78:V83" si="33">O78/P78*U78</f>
        <v>0.2</v>
      </c>
      <c r="W78" s="149">
        <f t="shared" ref="W78:W83" si="34">IF(OR(Q78=10,Q78=50,Q78=100),O78*U78%,O78*V78%)</f>
        <v>1E-3</v>
      </c>
      <c r="X78" s="149">
        <f t="shared" ref="X78:X83" si="35">T78*$D$73</f>
        <v>6</v>
      </c>
      <c r="Y78" s="149">
        <f t="shared" ref="Y78:Y83" si="36">W78*$D$73</f>
        <v>1</v>
      </c>
      <c r="AG78">
        <f t="shared" ref="AG78:AG83" si="37">AG77</f>
        <v>1</v>
      </c>
      <c r="AH78">
        <v>2</v>
      </c>
    </row>
    <row r="79" spans="1:34" ht="18.600000000000001" thickBot="1" x14ac:dyDescent="0.35">
      <c r="A79" t="str">
        <f t="shared" si="15"/>
        <v>1.3</v>
      </c>
      <c r="B79" s="137">
        <f t="shared" si="16"/>
        <v>1</v>
      </c>
      <c r="C79" s="141">
        <f>VLOOKUP(CONCATENATE(AH79,".",3),'Resultados - 1'!$A$10:$G$156,5,FALSE)/$D$73</f>
        <v>1</v>
      </c>
      <c r="D79" s="161">
        <f t="shared" si="17"/>
        <v>100</v>
      </c>
      <c r="E79" s="146">
        <f t="shared" si="18"/>
        <v>0.6</v>
      </c>
      <c r="F79" s="177">
        <f t="shared" si="19"/>
        <v>0.6</v>
      </c>
      <c r="H79" s="149">
        <f t="shared" si="20"/>
        <v>6.0000000000000001E-3</v>
      </c>
      <c r="I79" s="146">
        <f t="shared" si="21"/>
        <v>0.1</v>
      </c>
      <c r="J79" s="146">
        <f t="shared" si="22"/>
        <v>0.1</v>
      </c>
      <c r="K79" s="149">
        <f t="shared" si="23"/>
        <v>1E-3</v>
      </c>
      <c r="L79" s="149">
        <f t="shared" si="24"/>
        <v>6</v>
      </c>
      <c r="M79" s="149">
        <f t="shared" si="25"/>
        <v>1</v>
      </c>
      <c r="O79" s="137">
        <f t="shared" si="26"/>
        <v>1</v>
      </c>
      <c r="P79" s="141">
        <f t="shared" si="27"/>
        <v>1</v>
      </c>
      <c r="Q79" s="161">
        <f t="shared" si="28"/>
        <v>100</v>
      </c>
      <c r="R79" s="146">
        <f t="shared" si="29"/>
        <v>0.6</v>
      </c>
      <c r="S79" s="177">
        <f t="shared" si="30"/>
        <v>0.6</v>
      </c>
      <c r="T79" s="149">
        <f t="shared" si="31"/>
        <v>6.0000000000000001E-3</v>
      </c>
      <c r="U79" s="146">
        <f t="shared" si="32"/>
        <v>0.1</v>
      </c>
      <c r="V79" s="146">
        <f t="shared" si="33"/>
        <v>0.1</v>
      </c>
      <c r="W79" s="149">
        <f t="shared" si="34"/>
        <v>1E-3</v>
      </c>
      <c r="X79" s="149">
        <f t="shared" si="35"/>
        <v>6</v>
      </c>
      <c r="Y79" s="149">
        <f t="shared" si="36"/>
        <v>1</v>
      </c>
      <c r="AG79">
        <f t="shared" si="37"/>
        <v>1</v>
      </c>
      <c r="AH79">
        <v>3</v>
      </c>
    </row>
    <row r="80" spans="1:34" ht="18.600000000000001" thickBot="1" x14ac:dyDescent="0.35">
      <c r="A80" t="str">
        <f t="shared" si="15"/>
        <v>1.4</v>
      </c>
      <c r="B80" s="137">
        <f t="shared" si="16"/>
        <v>1</v>
      </c>
      <c r="C80" s="141" t="e">
        <f>VLOOKUP(CONCATENATE(AH80,".",3),'Resultados - 1'!$A$10:$G$156,5,FALSE)/$D$73</f>
        <v>#VALUE!</v>
      </c>
      <c r="D80" s="161" t="e">
        <f t="shared" si="17"/>
        <v>#VALUE!</v>
      </c>
      <c r="E80" s="146">
        <f t="shared" si="18"/>
        <v>0.6</v>
      </c>
      <c r="F80" s="177" t="e">
        <f t="shared" si="19"/>
        <v>#VALUE!</v>
      </c>
      <c r="H80" s="149" t="e">
        <f t="shared" si="20"/>
        <v>#VALUE!</v>
      </c>
      <c r="I80" s="146" t="e">
        <f t="shared" si="21"/>
        <v>#VALUE!</v>
      </c>
      <c r="J80" s="146" t="e">
        <f t="shared" si="22"/>
        <v>#VALUE!</v>
      </c>
      <c r="K80" s="149" t="e">
        <f t="shared" si="23"/>
        <v>#VALUE!</v>
      </c>
      <c r="L80" s="149" t="e">
        <f t="shared" si="24"/>
        <v>#VALUE!</v>
      </c>
      <c r="M80" s="149" t="e">
        <f t="shared" si="25"/>
        <v>#VALUE!</v>
      </c>
      <c r="O80" s="137">
        <f t="shared" si="26"/>
        <v>1</v>
      </c>
      <c r="P80" s="141" t="e">
        <f t="shared" si="27"/>
        <v>#VALUE!</v>
      </c>
      <c r="Q80" s="161" t="e">
        <f t="shared" si="28"/>
        <v>#VALUE!</v>
      </c>
      <c r="R80" s="146" t="e">
        <f t="shared" si="29"/>
        <v>#VALUE!</v>
      </c>
      <c r="S80" s="177" t="e">
        <f t="shared" si="30"/>
        <v>#VALUE!</v>
      </c>
      <c r="T80" s="149" t="e">
        <f t="shared" si="31"/>
        <v>#VALUE!</v>
      </c>
      <c r="U80" s="146" t="e">
        <f t="shared" si="32"/>
        <v>#VALUE!</v>
      </c>
      <c r="V80" s="146" t="e">
        <f t="shared" si="33"/>
        <v>#VALUE!</v>
      </c>
      <c r="W80" s="149" t="e">
        <f t="shared" si="34"/>
        <v>#VALUE!</v>
      </c>
      <c r="X80" s="149" t="e">
        <f t="shared" si="35"/>
        <v>#VALUE!</v>
      </c>
      <c r="Y80" s="149" t="e">
        <f t="shared" si="36"/>
        <v>#VALUE!</v>
      </c>
      <c r="AG80">
        <f t="shared" si="37"/>
        <v>1</v>
      </c>
      <c r="AH80">
        <v>4</v>
      </c>
    </row>
    <row r="81" spans="1:34" ht="18.600000000000001" thickBot="1" x14ac:dyDescent="0.35">
      <c r="A81" t="str">
        <f t="shared" si="15"/>
        <v>1.5</v>
      </c>
      <c r="B81" s="137">
        <f t="shared" si="16"/>
        <v>1</v>
      </c>
      <c r="C81" s="141" t="e">
        <f>VLOOKUP(CONCATENATE(AH81,".",3),'Resultados - 1'!$A$10:$G$156,5,FALSE)/$D$73</f>
        <v>#VALUE!</v>
      </c>
      <c r="D81" s="161" t="e">
        <f t="shared" si="17"/>
        <v>#VALUE!</v>
      </c>
      <c r="E81" s="146">
        <f t="shared" si="18"/>
        <v>0.6</v>
      </c>
      <c r="F81" s="177" t="e">
        <f t="shared" si="19"/>
        <v>#VALUE!</v>
      </c>
      <c r="H81" s="149" t="e">
        <f t="shared" si="20"/>
        <v>#VALUE!</v>
      </c>
      <c r="I81" s="146" t="e">
        <f t="shared" si="21"/>
        <v>#VALUE!</v>
      </c>
      <c r="J81" s="146" t="e">
        <f t="shared" si="22"/>
        <v>#VALUE!</v>
      </c>
      <c r="K81" s="149" t="e">
        <f t="shared" si="23"/>
        <v>#VALUE!</v>
      </c>
      <c r="L81" s="149" t="e">
        <f t="shared" si="24"/>
        <v>#VALUE!</v>
      </c>
      <c r="M81" s="149" t="e">
        <f t="shared" si="25"/>
        <v>#VALUE!</v>
      </c>
      <c r="O81" s="137">
        <f t="shared" si="26"/>
        <v>1</v>
      </c>
      <c r="P81" s="141" t="e">
        <f t="shared" si="27"/>
        <v>#VALUE!</v>
      </c>
      <c r="Q81" s="161" t="e">
        <f t="shared" si="28"/>
        <v>#VALUE!</v>
      </c>
      <c r="R81" s="146" t="e">
        <f t="shared" si="29"/>
        <v>#VALUE!</v>
      </c>
      <c r="S81" s="177" t="e">
        <f t="shared" si="30"/>
        <v>#VALUE!</v>
      </c>
      <c r="T81" s="149" t="e">
        <f t="shared" si="31"/>
        <v>#VALUE!</v>
      </c>
      <c r="U81" s="146" t="e">
        <f t="shared" si="32"/>
        <v>#VALUE!</v>
      </c>
      <c r="V81" s="146" t="e">
        <f t="shared" si="33"/>
        <v>#VALUE!</v>
      </c>
      <c r="W81" s="149" t="e">
        <f t="shared" si="34"/>
        <v>#VALUE!</v>
      </c>
      <c r="X81" s="149" t="e">
        <f t="shared" si="35"/>
        <v>#VALUE!</v>
      </c>
      <c r="Y81" s="149" t="e">
        <f t="shared" si="36"/>
        <v>#VALUE!</v>
      </c>
      <c r="AG81">
        <f t="shared" si="37"/>
        <v>1</v>
      </c>
      <c r="AH81">
        <v>5</v>
      </c>
    </row>
    <row r="82" spans="1:34" ht="18.600000000000001" thickBot="1" x14ac:dyDescent="0.35">
      <c r="A82" t="str">
        <f t="shared" si="15"/>
        <v>1.6</v>
      </c>
      <c r="B82" s="137">
        <f t="shared" si="16"/>
        <v>1</v>
      </c>
      <c r="C82" s="141" t="e">
        <f>VLOOKUP(CONCATENATE(AH82,".",3),'Resultados - 1'!$A$10:$G$156,5,FALSE)/$D$73</f>
        <v>#VALUE!</v>
      </c>
      <c r="D82" s="161" t="e">
        <f t="shared" si="17"/>
        <v>#VALUE!</v>
      </c>
      <c r="E82" s="146">
        <f t="shared" si="18"/>
        <v>0.6</v>
      </c>
      <c r="F82" s="177" t="e">
        <f t="shared" si="19"/>
        <v>#VALUE!</v>
      </c>
      <c r="H82" s="149" t="e">
        <f t="shared" si="20"/>
        <v>#VALUE!</v>
      </c>
      <c r="I82" s="146" t="e">
        <f t="shared" si="21"/>
        <v>#VALUE!</v>
      </c>
      <c r="J82" s="146" t="e">
        <f t="shared" si="22"/>
        <v>#VALUE!</v>
      </c>
      <c r="K82" s="149" t="e">
        <f t="shared" si="23"/>
        <v>#VALUE!</v>
      </c>
      <c r="L82" s="149" t="e">
        <f t="shared" si="24"/>
        <v>#VALUE!</v>
      </c>
      <c r="M82" s="149" t="e">
        <f t="shared" si="25"/>
        <v>#VALUE!</v>
      </c>
      <c r="O82" s="137">
        <f t="shared" si="26"/>
        <v>1</v>
      </c>
      <c r="P82" s="141" t="e">
        <f t="shared" si="27"/>
        <v>#VALUE!</v>
      </c>
      <c r="Q82" s="161" t="e">
        <f t="shared" si="28"/>
        <v>#VALUE!</v>
      </c>
      <c r="R82" s="146" t="e">
        <f t="shared" si="29"/>
        <v>#VALUE!</v>
      </c>
      <c r="S82" s="177" t="e">
        <f t="shared" si="30"/>
        <v>#VALUE!</v>
      </c>
      <c r="T82" s="149" t="e">
        <f t="shared" si="31"/>
        <v>#VALUE!</v>
      </c>
      <c r="U82" s="146" t="e">
        <f t="shared" si="32"/>
        <v>#VALUE!</v>
      </c>
      <c r="V82" s="146" t="e">
        <f t="shared" si="33"/>
        <v>#VALUE!</v>
      </c>
      <c r="W82" s="149" t="e">
        <f t="shared" si="34"/>
        <v>#VALUE!</v>
      </c>
      <c r="X82" s="149" t="e">
        <f t="shared" si="35"/>
        <v>#VALUE!</v>
      </c>
      <c r="Y82" s="149" t="e">
        <f t="shared" si="36"/>
        <v>#VALUE!</v>
      </c>
      <c r="AG82">
        <f t="shared" si="37"/>
        <v>1</v>
      </c>
      <c r="AH82">
        <v>6</v>
      </c>
    </row>
    <row r="83" spans="1:34" ht="18.600000000000001" thickBot="1" x14ac:dyDescent="0.35">
      <c r="A83" t="str">
        <f t="shared" si="15"/>
        <v>1.7</v>
      </c>
      <c r="B83" s="137">
        <f t="shared" si="16"/>
        <v>1</v>
      </c>
      <c r="C83" s="141" t="e">
        <f>VLOOKUP(CONCATENATE(AH83,".",3),'Resultados - 1'!$A$10:$G$156,5,FALSE)/$D$73</f>
        <v>#VALUE!</v>
      </c>
      <c r="D83" s="161" t="e">
        <f t="shared" si="17"/>
        <v>#VALUE!</v>
      </c>
      <c r="E83" s="146">
        <f t="shared" si="18"/>
        <v>0.6</v>
      </c>
      <c r="F83" s="177" t="e">
        <f t="shared" si="19"/>
        <v>#VALUE!</v>
      </c>
      <c r="H83" s="149" t="e">
        <f t="shared" si="20"/>
        <v>#VALUE!</v>
      </c>
      <c r="I83" s="146" t="e">
        <f t="shared" si="21"/>
        <v>#VALUE!</v>
      </c>
      <c r="J83" s="146" t="e">
        <f t="shared" si="22"/>
        <v>#VALUE!</v>
      </c>
      <c r="K83" s="149" t="e">
        <f t="shared" si="23"/>
        <v>#VALUE!</v>
      </c>
      <c r="L83" s="149" t="e">
        <f t="shared" si="24"/>
        <v>#VALUE!</v>
      </c>
      <c r="M83" s="149" t="e">
        <f t="shared" si="25"/>
        <v>#VALUE!</v>
      </c>
      <c r="O83" s="137">
        <f t="shared" si="26"/>
        <v>1</v>
      </c>
      <c r="P83" s="141" t="e">
        <f t="shared" si="27"/>
        <v>#VALUE!</v>
      </c>
      <c r="Q83" s="161" t="e">
        <f t="shared" si="28"/>
        <v>#VALUE!</v>
      </c>
      <c r="R83" s="146" t="e">
        <f t="shared" si="29"/>
        <v>#VALUE!</v>
      </c>
      <c r="S83" s="177" t="e">
        <f t="shared" si="30"/>
        <v>#VALUE!</v>
      </c>
      <c r="T83" s="149" t="e">
        <f t="shared" si="31"/>
        <v>#VALUE!</v>
      </c>
      <c r="U83" s="146" t="e">
        <f t="shared" si="32"/>
        <v>#VALUE!</v>
      </c>
      <c r="V83" s="146" t="e">
        <f t="shared" si="33"/>
        <v>#VALUE!</v>
      </c>
      <c r="W83" s="149" t="e">
        <f t="shared" si="34"/>
        <v>#VALUE!</v>
      </c>
      <c r="X83" s="149" t="e">
        <f t="shared" si="35"/>
        <v>#VALUE!</v>
      </c>
      <c r="Y83" s="149" t="e">
        <f t="shared" si="36"/>
        <v>#VALUE!</v>
      </c>
      <c r="AG83">
        <f t="shared" si="37"/>
        <v>1</v>
      </c>
      <c r="AH83">
        <v>7</v>
      </c>
    </row>
    <row r="84" spans="1:34" ht="18.600000000000001" thickBot="1" x14ac:dyDescent="0.35">
      <c r="A84" s="182"/>
      <c r="B84" s="183"/>
      <c r="C84" s="184"/>
      <c r="D84" s="185"/>
      <c r="E84" s="186"/>
      <c r="F84" s="186"/>
      <c r="G84" s="187"/>
      <c r="H84" s="188"/>
      <c r="I84" s="186"/>
      <c r="J84" s="186"/>
      <c r="K84" s="188"/>
      <c r="L84" s="188"/>
      <c r="M84" s="188"/>
      <c r="N84" s="182"/>
      <c r="O84" s="183"/>
      <c r="P84" s="184"/>
      <c r="Q84" s="185"/>
      <c r="R84" s="186"/>
      <c r="S84" s="186"/>
      <c r="T84" s="188"/>
      <c r="U84" s="186"/>
      <c r="V84" s="186"/>
      <c r="W84" s="188"/>
      <c r="X84" s="188"/>
      <c r="Y84" s="188"/>
    </row>
    <row r="85" spans="1:34" ht="18.600000000000001" thickBot="1" x14ac:dyDescent="0.35">
      <c r="A85" t="str">
        <f t="shared" ref="A85:A91" si="38">CONCATENATE(AG85,".",AH85)</f>
        <v>2.1</v>
      </c>
      <c r="B85" s="137">
        <f>$B$73/$D$73</f>
        <v>1</v>
      </c>
      <c r="C85" s="141">
        <f>VLOOKUP(CONCATENATE(AH85,".",3),'Resultados - 2'!$A$10:$G$156,5,FALSE)/$D$73</f>
        <v>0.1</v>
      </c>
      <c r="D85" s="161">
        <f>IF(C85/B85&lt;0.1,"Valor Abaixo de 10% - Não Válido",C85/B85*100)</f>
        <v>10</v>
      </c>
      <c r="E85" s="146">
        <f>IFERROR(VLOOKUP(D85,$A$39:$F$56,$E$57,FALSE),VLOOKUP(100,$A$39:$F$56,$E$57,FALSE))</f>
        <v>6</v>
      </c>
      <c r="F85" s="177">
        <f>B85/C85*E85</f>
        <v>60</v>
      </c>
      <c r="H85" s="149">
        <f>IF(OR(D85=10,D85=50,D85=100),C85*E85%,C85*F85%)</f>
        <v>6.0000000000000001E-3</v>
      </c>
      <c r="I85" s="146">
        <f>VLOOKUP(D85,$A$39:$F$56,$F$57,FALSE)</f>
        <v>1</v>
      </c>
      <c r="J85" s="146">
        <f>B85/C85*I85</f>
        <v>10</v>
      </c>
      <c r="K85" s="149">
        <f>IF(OR(D85=10,D85=50,D85=100),C85*I85%,C85*J85%)</f>
        <v>1E-3</v>
      </c>
      <c r="L85" s="149">
        <f>H85*$D$73</f>
        <v>6</v>
      </c>
      <c r="M85" s="149">
        <f>K85*$D$73</f>
        <v>1</v>
      </c>
      <c r="O85" s="137">
        <f>B85</f>
        <v>1</v>
      </c>
      <c r="P85" s="141">
        <f>C85</f>
        <v>0.1</v>
      </c>
      <c r="Q85" s="161">
        <f>IF(P85/O85&lt;0.1,"Valor Abaixo de 10% - Não Válido",O85/O85*100)</f>
        <v>100</v>
      </c>
      <c r="R85" s="146">
        <f>VLOOKUP(Q85,$G$39:$L$56,$K$57,FALSE)</f>
        <v>0.6</v>
      </c>
      <c r="S85" s="177">
        <f>O85/P85*R85</f>
        <v>6</v>
      </c>
      <c r="T85" s="149">
        <f>IF(OR(Q85=10,Q85=50,Q85=100),O85*R85%,O85*S85%)</f>
        <v>6.0000000000000001E-3</v>
      </c>
      <c r="U85" s="146">
        <f>VLOOKUP(Q85,$G$39:$L$56,$L$57,FALSE)</f>
        <v>0.1</v>
      </c>
      <c r="V85" s="146">
        <f>O85/P85*U85</f>
        <v>1</v>
      </c>
      <c r="W85" s="149">
        <f>IF(OR(Q85=10,Q85=50,Q85=100),O85*U85%,O85*V85%)</f>
        <v>1E-3</v>
      </c>
      <c r="X85" s="149">
        <f>T85*$D$73</f>
        <v>6</v>
      </c>
      <c r="Y85" s="149">
        <f>W85*$D$73</f>
        <v>1</v>
      </c>
      <c r="AG85">
        <f>AG83+1</f>
        <v>2</v>
      </c>
      <c r="AH85">
        <v>1</v>
      </c>
    </row>
    <row r="86" spans="1:34" ht="18.600000000000001" thickBot="1" x14ac:dyDescent="0.35">
      <c r="A86" t="str">
        <f t="shared" si="38"/>
        <v>2.2</v>
      </c>
      <c r="B86" s="137">
        <f t="shared" ref="B86:B91" si="39">$B$73/$D$73</f>
        <v>1</v>
      </c>
      <c r="C86" s="141">
        <f>VLOOKUP(CONCATENATE(AH86,".",3),'Resultados - 2'!$A$10:$G$156,5,FALSE)/$D$73</f>
        <v>0.5</v>
      </c>
      <c r="D86" s="161">
        <f t="shared" ref="D86:D91" si="40">IF(C86/B86&lt;0.1,"Valor Abaixo de 10% - Não Válido",C86/B86*100)</f>
        <v>50</v>
      </c>
      <c r="E86" s="146">
        <f t="shared" ref="E86:E91" si="41">IFERROR(VLOOKUP(D86,$A$39:$F$56,$E$57,FALSE),VLOOKUP(100,$A$39:$F$56,$E$57,FALSE))</f>
        <v>1.2</v>
      </c>
      <c r="F86" s="177">
        <f t="shared" ref="F86:F91" si="42">B86/C86*E86</f>
        <v>2.4</v>
      </c>
      <c r="H86" s="149">
        <f t="shared" ref="H86:H91" si="43">IF(OR(D86=10,D86=50,D86=100),C86*E86%,C86*F86%)</f>
        <v>6.0000000000000001E-3</v>
      </c>
      <c r="I86" s="146">
        <f t="shared" ref="I86:I91" si="44">VLOOKUP(D86,$A$39:$F$56,$F$57,FALSE)</f>
        <v>0.2</v>
      </c>
      <c r="J86" s="146">
        <f t="shared" ref="J86:J91" si="45">B86/C86*I86</f>
        <v>0.4</v>
      </c>
      <c r="K86" s="149">
        <f t="shared" ref="K86:K91" si="46">IF(OR(D86=10,D86=50,D86=100),C86*I86%,C86*J86%)</f>
        <v>1E-3</v>
      </c>
      <c r="L86" s="149">
        <f t="shared" ref="L86:L91" si="47">H86*$D$73</f>
        <v>6</v>
      </c>
      <c r="M86" s="149">
        <f t="shared" ref="M86:M91" si="48">K86*$D$73</f>
        <v>1</v>
      </c>
      <c r="O86" s="137">
        <f t="shared" ref="O86:O91" si="49">B86</f>
        <v>1</v>
      </c>
      <c r="P86" s="141">
        <f t="shared" ref="P86:P91" si="50">C86</f>
        <v>0.5</v>
      </c>
      <c r="Q86" s="161">
        <f t="shared" ref="Q86:Q91" si="51">IF(P86/O86&lt;0.1,"Valor Abaixo de 10% - Não Válido",O86/O86*100)</f>
        <v>100</v>
      </c>
      <c r="R86" s="146">
        <f t="shared" ref="R86:R91" si="52">VLOOKUP(Q86,$G$39:$L$56,$K$57,FALSE)</f>
        <v>0.6</v>
      </c>
      <c r="S86" s="177">
        <f t="shared" ref="S86:S91" si="53">O86/P86*R86</f>
        <v>1.2</v>
      </c>
      <c r="T86" s="149">
        <f t="shared" ref="T86:T91" si="54">IF(OR(Q86=10,Q86=50,Q86=100),O86*R86%,O86*S86%)</f>
        <v>6.0000000000000001E-3</v>
      </c>
      <c r="U86" s="146">
        <f t="shared" ref="U86:U91" si="55">VLOOKUP(Q86,$G$39:$L$56,$L$57,FALSE)</f>
        <v>0.1</v>
      </c>
      <c r="V86" s="146">
        <f t="shared" ref="V86:V91" si="56">O86/P86*U86</f>
        <v>0.2</v>
      </c>
      <c r="W86" s="149">
        <f t="shared" ref="W86:W91" si="57">IF(OR(Q86=10,Q86=50,Q86=100),O86*U86%,O86*V86%)</f>
        <v>1E-3</v>
      </c>
      <c r="X86" s="149">
        <f t="shared" ref="X86:X91" si="58">T86*$D$73</f>
        <v>6</v>
      </c>
      <c r="Y86" s="149">
        <f t="shared" ref="Y86:Y91" si="59">W86*$D$73</f>
        <v>1</v>
      </c>
      <c r="AG86">
        <f t="shared" ref="AG86:AG91" si="60">AG85</f>
        <v>2</v>
      </c>
      <c r="AH86">
        <v>2</v>
      </c>
    </row>
    <row r="87" spans="1:34" ht="18.600000000000001" thickBot="1" x14ac:dyDescent="0.35">
      <c r="A87" t="str">
        <f t="shared" si="38"/>
        <v>2.3</v>
      </c>
      <c r="B87" s="137">
        <f t="shared" si="39"/>
        <v>1</v>
      </c>
      <c r="C87" s="141">
        <f>VLOOKUP(CONCATENATE(AH87,".",3),'Resultados - 2'!$A$10:$G$156,5,FALSE)/$D$73</f>
        <v>1</v>
      </c>
      <c r="D87" s="161">
        <f t="shared" si="40"/>
        <v>100</v>
      </c>
      <c r="E87" s="146">
        <f t="shared" si="41"/>
        <v>0.6</v>
      </c>
      <c r="F87" s="177">
        <f t="shared" si="42"/>
        <v>0.6</v>
      </c>
      <c r="H87" s="149">
        <f t="shared" si="43"/>
        <v>6.0000000000000001E-3</v>
      </c>
      <c r="I87" s="146">
        <f t="shared" si="44"/>
        <v>0.1</v>
      </c>
      <c r="J87" s="146">
        <f t="shared" si="45"/>
        <v>0.1</v>
      </c>
      <c r="K87" s="149">
        <f t="shared" si="46"/>
        <v>1E-3</v>
      </c>
      <c r="L87" s="149">
        <f t="shared" si="47"/>
        <v>6</v>
      </c>
      <c r="M87" s="149">
        <f t="shared" si="48"/>
        <v>1</v>
      </c>
      <c r="O87" s="137">
        <f t="shared" si="49"/>
        <v>1</v>
      </c>
      <c r="P87" s="141">
        <f t="shared" si="50"/>
        <v>1</v>
      </c>
      <c r="Q87" s="161">
        <f t="shared" si="51"/>
        <v>100</v>
      </c>
      <c r="R87" s="146">
        <f t="shared" si="52"/>
        <v>0.6</v>
      </c>
      <c r="S87" s="177">
        <f t="shared" si="53"/>
        <v>0.6</v>
      </c>
      <c r="T87" s="149">
        <f t="shared" si="54"/>
        <v>6.0000000000000001E-3</v>
      </c>
      <c r="U87" s="146">
        <f t="shared" si="55"/>
        <v>0.1</v>
      </c>
      <c r="V87" s="146">
        <f t="shared" si="56"/>
        <v>0.1</v>
      </c>
      <c r="W87" s="149">
        <f t="shared" si="57"/>
        <v>1E-3</v>
      </c>
      <c r="X87" s="149">
        <f t="shared" si="58"/>
        <v>6</v>
      </c>
      <c r="Y87" s="149">
        <f t="shared" si="59"/>
        <v>1</v>
      </c>
      <c r="AG87">
        <f t="shared" si="60"/>
        <v>2</v>
      </c>
      <c r="AH87">
        <v>3</v>
      </c>
    </row>
    <row r="88" spans="1:34" ht="18.600000000000001" thickBot="1" x14ac:dyDescent="0.35">
      <c r="A88" t="str">
        <f t="shared" si="38"/>
        <v>2.4</v>
      </c>
      <c r="B88" s="137">
        <f t="shared" si="39"/>
        <v>1</v>
      </c>
      <c r="C88" s="141" t="e">
        <f>VLOOKUP(CONCATENATE(AH88,".",3),'Resultados - 2'!$A$10:$G$156,5,FALSE)/$D$73</f>
        <v>#VALUE!</v>
      </c>
      <c r="D88" s="161" t="e">
        <f t="shared" si="40"/>
        <v>#VALUE!</v>
      </c>
      <c r="E88" s="146">
        <f t="shared" si="41"/>
        <v>0.6</v>
      </c>
      <c r="F88" s="177" t="e">
        <f t="shared" si="42"/>
        <v>#VALUE!</v>
      </c>
      <c r="H88" s="149" t="e">
        <f t="shared" si="43"/>
        <v>#VALUE!</v>
      </c>
      <c r="I88" s="146" t="e">
        <f t="shared" si="44"/>
        <v>#VALUE!</v>
      </c>
      <c r="J88" s="146" t="e">
        <f t="shared" si="45"/>
        <v>#VALUE!</v>
      </c>
      <c r="K88" s="149" t="e">
        <f t="shared" si="46"/>
        <v>#VALUE!</v>
      </c>
      <c r="L88" s="149" t="e">
        <f t="shared" si="47"/>
        <v>#VALUE!</v>
      </c>
      <c r="M88" s="149" t="e">
        <f t="shared" si="48"/>
        <v>#VALUE!</v>
      </c>
      <c r="O88" s="137">
        <f t="shared" si="49"/>
        <v>1</v>
      </c>
      <c r="P88" s="141" t="e">
        <f t="shared" si="50"/>
        <v>#VALUE!</v>
      </c>
      <c r="Q88" s="161" t="e">
        <f t="shared" si="51"/>
        <v>#VALUE!</v>
      </c>
      <c r="R88" s="146" t="e">
        <f t="shared" si="52"/>
        <v>#VALUE!</v>
      </c>
      <c r="S88" s="177" t="e">
        <f t="shared" si="53"/>
        <v>#VALUE!</v>
      </c>
      <c r="T88" s="149" t="e">
        <f t="shared" si="54"/>
        <v>#VALUE!</v>
      </c>
      <c r="U88" s="146" t="e">
        <f t="shared" si="55"/>
        <v>#VALUE!</v>
      </c>
      <c r="V88" s="146" t="e">
        <f t="shared" si="56"/>
        <v>#VALUE!</v>
      </c>
      <c r="W88" s="149" t="e">
        <f t="shared" si="57"/>
        <v>#VALUE!</v>
      </c>
      <c r="X88" s="149" t="e">
        <f t="shared" si="58"/>
        <v>#VALUE!</v>
      </c>
      <c r="Y88" s="149" t="e">
        <f t="shared" si="59"/>
        <v>#VALUE!</v>
      </c>
      <c r="AG88">
        <f t="shared" si="60"/>
        <v>2</v>
      </c>
      <c r="AH88">
        <v>4</v>
      </c>
    </row>
    <row r="89" spans="1:34" ht="18.600000000000001" thickBot="1" x14ac:dyDescent="0.35">
      <c r="A89" t="str">
        <f t="shared" si="38"/>
        <v>2.5</v>
      </c>
      <c r="B89" s="137">
        <f t="shared" si="39"/>
        <v>1</v>
      </c>
      <c r="C89" s="141" t="e">
        <f>VLOOKUP(CONCATENATE(AH89,".",3),'Resultados - 2'!$A$10:$G$156,5,FALSE)/$D$73</f>
        <v>#VALUE!</v>
      </c>
      <c r="D89" s="161" t="e">
        <f t="shared" si="40"/>
        <v>#VALUE!</v>
      </c>
      <c r="E89" s="146">
        <f t="shared" si="41"/>
        <v>0.6</v>
      </c>
      <c r="F89" s="177" t="e">
        <f t="shared" si="42"/>
        <v>#VALUE!</v>
      </c>
      <c r="H89" s="149" t="e">
        <f t="shared" si="43"/>
        <v>#VALUE!</v>
      </c>
      <c r="I89" s="146" t="e">
        <f t="shared" si="44"/>
        <v>#VALUE!</v>
      </c>
      <c r="J89" s="146" t="e">
        <f t="shared" si="45"/>
        <v>#VALUE!</v>
      </c>
      <c r="K89" s="149" t="e">
        <f t="shared" si="46"/>
        <v>#VALUE!</v>
      </c>
      <c r="L89" s="149" t="e">
        <f t="shared" si="47"/>
        <v>#VALUE!</v>
      </c>
      <c r="M89" s="149" t="e">
        <f t="shared" si="48"/>
        <v>#VALUE!</v>
      </c>
      <c r="O89" s="137">
        <f t="shared" si="49"/>
        <v>1</v>
      </c>
      <c r="P89" s="141" t="e">
        <f t="shared" si="50"/>
        <v>#VALUE!</v>
      </c>
      <c r="Q89" s="161" t="e">
        <f t="shared" si="51"/>
        <v>#VALUE!</v>
      </c>
      <c r="R89" s="146" t="e">
        <f t="shared" si="52"/>
        <v>#VALUE!</v>
      </c>
      <c r="S89" s="177" t="e">
        <f t="shared" si="53"/>
        <v>#VALUE!</v>
      </c>
      <c r="T89" s="149" t="e">
        <f t="shared" si="54"/>
        <v>#VALUE!</v>
      </c>
      <c r="U89" s="146" t="e">
        <f t="shared" si="55"/>
        <v>#VALUE!</v>
      </c>
      <c r="V89" s="146" t="e">
        <f t="shared" si="56"/>
        <v>#VALUE!</v>
      </c>
      <c r="W89" s="149" t="e">
        <f t="shared" si="57"/>
        <v>#VALUE!</v>
      </c>
      <c r="X89" s="149" t="e">
        <f t="shared" si="58"/>
        <v>#VALUE!</v>
      </c>
      <c r="Y89" s="149" t="e">
        <f t="shared" si="59"/>
        <v>#VALUE!</v>
      </c>
      <c r="AG89">
        <f t="shared" si="60"/>
        <v>2</v>
      </c>
      <c r="AH89">
        <v>5</v>
      </c>
    </row>
    <row r="90" spans="1:34" ht="18.600000000000001" thickBot="1" x14ac:dyDescent="0.35">
      <c r="A90" t="str">
        <f t="shared" si="38"/>
        <v>2.6</v>
      </c>
      <c r="B90" s="137">
        <f t="shared" si="39"/>
        <v>1</v>
      </c>
      <c r="C90" s="141" t="e">
        <f>VLOOKUP(CONCATENATE(AH90,".",3),'Resultados - 2'!$A$10:$G$156,5,FALSE)/$D$73</f>
        <v>#VALUE!</v>
      </c>
      <c r="D90" s="161" t="e">
        <f t="shared" si="40"/>
        <v>#VALUE!</v>
      </c>
      <c r="E90" s="146">
        <f t="shared" si="41"/>
        <v>0.6</v>
      </c>
      <c r="F90" s="177" t="e">
        <f t="shared" si="42"/>
        <v>#VALUE!</v>
      </c>
      <c r="H90" s="149" t="e">
        <f t="shared" si="43"/>
        <v>#VALUE!</v>
      </c>
      <c r="I90" s="146" t="e">
        <f t="shared" si="44"/>
        <v>#VALUE!</v>
      </c>
      <c r="J90" s="146" t="e">
        <f t="shared" si="45"/>
        <v>#VALUE!</v>
      </c>
      <c r="K90" s="149" t="e">
        <f t="shared" si="46"/>
        <v>#VALUE!</v>
      </c>
      <c r="L90" s="149" t="e">
        <f t="shared" si="47"/>
        <v>#VALUE!</v>
      </c>
      <c r="M90" s="149" t="e">
        <f t="shared" si="48"/>
        <v>#VALUE!</v>
      </c>
      <c r="O90" s="137">
        <f t="shared" si="49"/>
        <v>1</v>
      </c>
      <c r="P90" s="141" t="e">
        <f t="shared" si="50"/>
        <v>#VALUE!</v>
      </c>
      <c r="Q90" s="161" t="e">
        <f t="shared" si="51"/>
        <v>#VALUE!</v>
      </c>
      <c r="R90" s="146" t="e">
        <f t="shared" si="52"/>
        <v>#VALUE!</v>
      </c>
      <c r="S90" s="177" t="e">
        <f t="shared" si="53"/>
        <v>#VALUE!</v>
      </c>
      <c r="T90" s="149" t="e">
        <f t="shared" si="54"/>
        <v>#VALUE!</v>
      </c>
      <c r="U90" s="146" t="e">
        <f t="shared" si="55"/>
        <v>#VALUE!</v>
      </c>
      <c r="V90" s="146" t="e">
        <f t="shared" si="56"/>
        <v>#VALUE!</v>
      </c>
      <c r="W90" s="149" t="e">
        <f t="shared" si="57"/>
        <v>#VALUE!</v>
      </c>
      <c r="X90" s="149" t="e">
        <f t="shared" si="58"/>
        <v>#VALUE!</v>
      </c>
      <c r="Y90" s="149" t="e">
        <f t="shared" si="59"/>
        <v>#VALUE!</v>
      </c>
      <c r="AG90">
        <f t="shared" si="60"/>
        <v>2</v>
      </c>
      <c r="AH90">
        <v>6</v>
      </c>
    </row>
    <row r="91" spans="1:34" ht="18.600000000000001" thickBot="1" x14ac:dyDescent="0.35">
      <c r="A91" t="str">
        <f t="shared" si="38"/>
        <v>2.7</v>
      </c>
      <c r="B91" s="137">
        <f t="shared" si="39"/>
        <v>1</v>
      </c>
      <c r="C91" s="141" t="e">
        <f>VLOOKUP(CONCATENATE(AH91,".",3),'Resultados - 2'!$A$10:$G$156,5,FALSE)/$D$73</f>
        <v>#VALUE!</v>
      </c>
      <c r="D91" s="161" t="e">
        <f t="shared" si="40"/>
        <v>#VALUE!</v>
      </c>
      <c r="E91" s="146">
        <f t="shared" si="41"/>
        <v>0.6</v>
      </c>
      <c r="F91" s="177" t="e">
        <f t="shared" si="42"/>
        <v>#VALUE!</v>
      </c>
      <c r="H91" s="149" t="e">
        <f t="shared" si="43"/>
        <v>#VALUE!</v>
      </c>
      <c r="I91" s="146" t="e">
        <f t="shared" si="44"/>
        <v>#VALUE!</v>
      </c>
      <c r="J91" s="146" t="e">
        <f t="shared" si="45"/>
        <v>#VALUE!</v>
      </c>
      <c r="K91" s="149" t="e">
        <f t="shared" si="46"/>
        <v>#VALUE!</v>
      </c>
      <c r="L91" s="149" t="e">
        <f t="shared" si="47"/>
        <v>#VALUE!</v>
      </c>
      <c r="M91" s="149" t="e">
        <f t="shared" si="48"/>
        <v>#VALUE!</v>
      </c>
      <c r="O91" s="137">
        <f t="shared" si="49"/>
        <v>1</v>
      </c>
      <c r="P91" s="141" t="e">
        <f t="shared" si="50"/>
        <v>#VALUE!</v>
      </c>
      <c r="Q91" s="161" t="e">
        <f t="shared" si="51"/>
        <v>#VALUE!</v>
      </c>
      <c r="R91" s="146" t="e">
        <f t="shared" si="52"/>
        <v>#VALUE!</v>
      </c>
      <c r="S91" s="177" t="e">
        <f t="shared" si="53"/>
        <v>#VALUE!</v>
      </c>
      <c r="T91" s="149" t="e">
        <f t="shared" si="54"/>
        <v>#VALUE!</v>
      </c>
      <c r="U91" s="146" t="e">
        <f t="shared" si="55"/>
        <v>#VALUE!</v>
      </c>
      <c r="V91" s="146" t="e">
        <f t="shared" si="56"/>
        <v>#VALUE!</v>
      </c>
      <c r="W91" s="149" t="e">
        <f t="shared" si="57"/>
        <v>#VALUE!</v>
      </c>
      <c r="X91" s="149" t="e">
        <f t="shared" si="58"/>
        <v>#VALUE!</v>
      </c>
      <c r="Y91" s="149" t="e">
        <f t="shared" si="59"/>
        <v>#VALUE!</v>
      </c>
      <c r="AG91">
        <f t="shared" si="60"/>
        <v>2</v>
      </c>
      <c r="AH91">
        <v>7</v>
      </c>
    </row>
    <row r="92" spans="1:34" ht="18.600000000000001" thickBot="1" x14ac:dyDescent="0.35">
      <c r="A92" s="182"/>
      <c r="B92" s="183"/>
      <c r="C92" s="184"/>
      <c r="D92" s="185"/>
      <c r="E92" s="186"/>
      <c r="F92" s="186"/>
      <c r="G92" s="187"/>
      <c r="H92" s="188"/>
      <c r="I92" s="186"/>
      <c r="J92" s="186"/>
      <c r="K92" s="188"/>
      <c r="L92" s="188"/>
      <c r="M92" s="188"/>
      <c r="N92" s="182"/>
      <c r="O92" s="183"/>
      <c r="P92" s="184"/>
      <c r="Q92" s="185"/>
      <c r="R92" s="186"/>
      <c r="S92" s="186"/>
      <c r="T92" s="188"/>
      <c r="U92" s="186"/>
      <c r="V92" s="186"/>
      <c r="W92" s="188"/>
      <c r="X92" s="188"/>
      <c r="Y92" s="188"/>
    </row>
    <row r="93" spans="1:34" ht="18.600000000000001" thickBot="1" x14ac:dyDescent="0.35">
      <c r="A93" t="str">
        <f t="shared" ref="A93:A99" si="61">CONCATENATE(AG93,".",AH93)</f>
        <v>3.1</v>
      </c>
      <c r="B93" s="137">
        <f>$B$73/$D$73</f>
        <v>1</v>
      </c>
      <c r="C93" s="141">
        <f>VLOOKUP(CONCATENATE(AH93,".",3),'Resultados - 3'!$A$10:$G$156,5,FALSE)/$D$73</f>
        <v>0.1</v>
      </c>
      <c r="D93" s="161">
        <f>IF(C93/B93&lt;0.1,"Valor Abaixo de 10% - Não Válido",C93/B93*100)</f>
        <v>10</v>
      </c>
      <c r="E93" s="146">
        <f>IFERROR(VLOOKUP(D93,$A$39:$F$56,$E$57,FALSE),VLOOKUP(100,$A$39:$F$56,$E$57,FALSE))</f>
        <v>6</v>
      </c>
      <c r="F93" s="177">
        <f>B93/C93*E93</f>
        <v>60</v>
      </c>
      <c r="H93" s="149">
        <f>IF(OR(D93=10,D93=50,D93=100),C93*E93%,C93*F93%)</f>
        <v>6.0000000000000001E-3</v>
      </c>
      <c r="I93" s="146">
        <f>VLOOKUP(D93,$A$39:$F$56,$F$57,FALSE)</f>
        <v>1</v>
      </c>
      <c r="J93" s="146">
        <f>B93/C93*I93</f>
        <v>10</v>
      </c>
      <c r="K93" s="149">
        <f>IF(OR(D93=10,D93=50,D93=100),C93*I93%,C93*J93%)</f>
        <v>1E-3</v>
      </c>
      <c r="L93" s="149">
        <f>H93*$D$73</f>
        <v>6</v>
      </c>
      <c r="M93" s="149">
        <f>K93*$D$73</f>
        <v>1</v>
      </c>
      <c r="O93" s="137">
        <f>B93</f>
        <v>1</v>
      </c>
      <c r="P93" s="141">
        <f>C93</f>
        <v>0.1</v>
      </c>
      <c r="Q93" s="161">
        <f>IF(P93/O93&lt;0.1,"Valor Abaixo de 10% - Não Válido",O93/O93*100)</f>
        <v>100</v>
      </c>
      <c r="R93" s="146">
        <f>VLOOKUP(Q93,$G$39:$L$56,$K$57,FALSE)</f>
        <v>0.6</v>
      </c>
      <c r="S93" s="177">
        <f>O93/P93*R93</f>
        <v>6</v>
      </c>
      <c r="T93" s="149">
        <f>IF(OR(Q93=10,Q93=50,Q93=100),O93*R93%,O93*S93%)</f>
        <v>6.0000000000000001E-3</v>
      </c>
      <c r="U93" s="146">
        <f>VLOOKUP(Q93,$G$39:$L$56,$L$57,FALSE)</f>
        <v>0.1</v>
      </c>
      <c r="V93" s="146">
        <f>O93/P93*U93</f>
        <v>1</v>
      </c>
      <c r="W93" s="149">
        <f>IF(OR(Q93=10,Q93=50,Q93=100),O93*U93%,O93*V93%)</f>
        <v>1E-3</v>
      </c>
      <c r="X93" s="149">
        <f>T93*$D$73</f>
        <v>6</v>
      </c>
      <c r="Y93" s="149">
        <f>W93*$D$73</f>
        <v>1</v>
      </c>
      <c r="AG93">
        <f>AG91+1</f>
        <v>3</v>
      </c>
      <c r="AH93">
        <v>1</v>
      </c>
    </row>
    <row r="94" spans="1:34" ht="18.600000000000001" thickBot="1" x14ac:dyDescent="0.35">
      <c r="A94" t="str">
        <f t="shared" si="61"/>
        <v>3.2</v>
      </c>
      <c r="B94" s="137">
        <f t="shared" ref="B94:B99" si="62">$B$73/$D$73</f>
        <v>1</v>
      </c>
      <c r="C94" s="141">
        <f>VLOOKUP(CONCATENATE(AH94,".",3),'Resultados - 3'!$A$10:$G$156,5,FALSE)/$D$73</f>
        <v>0.5</v>
      </c>
      <c r="D94" s="161">
        <f t="shared" ref="D94:D99" si="63">IF(C94/B94&lt;0.1,"Valor Abaixo de 10% - Não Válido",C94/B94*100)</f>
        <v>50</v>
      </c>
      <c r="E94" s="146">
        <f t="shared" ref="E94:E99" si="64">IFERROR(VLOOKUP(D94,$A$39:$F$56,$E$57,FALSE),VLOOKUP(100,$A$39:$F$56,$E$57,FALSE))</f>
        <v>1.2</v>
      </c>
      <c r="F94" s="177">
        <f t="shared" ref="F94:F99" si="65">B94/C94*E94</f>
        <v>2.4</v>
      </c>
      <c r="H94" s="149">
        <f t="shared" ref="H94:H99" si="66">IF(OR(D94=10,D94=50,D94=100),C94*E94%,C94*F94%)</f>
        <v>6.0000000000000001E-3</v>
      </c>
      <c r="I94" s="146">
        <f t="shared" ref="I94:I99" si="67">VLOOKUP(D94,$A$39:$F$56,$F$57,FALSE)</f>
        <v>0.2</v>
      </c>
      <c r="J94" s="146">
        <f t="shared" ref="J94:J99" si="68">B94/C94*I94</f>
        <v>0.4</v>
      </c>
      <c r="K94" s="149">
        <f t="shared" ref="K94:K99" si="69">IF(OR(D94=10,D94=50,D94=100),C94*I94%,C94*J94%)</f>
        <v>1E-3</v>
      </c>
      <c r="L94" s="149">
        <f t="shared" ref="L94:L99" si="70">H94*$D$73</f>
        <v>6</v>
      </c>
      <c r="M94" s="149">
        <f t="shared" ref="M94:M99" si="71">K94*$D$73</f>
        <v>1</v>
      </c>
      <c r="O94" s="137">
        <f t="shared" ref="O94:O99" si="72">B94</f>
        <v>1</v>
      </c>
      <c r="P94" s="141">
        <f t="shared" ref="P94:P99" si="73">C94</f>
        <v>0.5</v>
      </c>
      <c r="Q94" s="161">
        <f t="shared" ref="Q94:Q99" si="74">IF(P94/O94&lt;0.1,"Valor Abaixo de 10% - Não Válido",O94/O94*100)</f>
        <v>100</v>
      </c>
      <c r="R94" s="146">
        <f t="shared" ref="R94:R99" si="75">VLOOKUP(Q94,$G$39:$L$56,$K$57,FALSE)</f>
        <v>0.6</v>
      </c>
      <c r="S94" s="177">
        <f t="shared" ref="S94:S99" si="76">O94/P94*R94</f>
        <v>1.2</v>
      </c>
      <c r="T94" s="149">
        <f t="shared" ref="T94:T99" si="77">IF(OR(Q94=10,Q94=50,Q94=100),O94*R94%,O94*S94%)</f>
        <v>6.0000000000000001E-3</v>
      </c>
      <c r="U94" s="146">
        <f t="shared" ref="U94:U99" si="78">VLOOKUP(Q94,$G$39:$L$56,$L$57,FALSE)</f>
        <v>0.1</v>
      </c>
      <c r="V94" s="146">
        <f t="shared" ref="V94:V99" si="79">O94/P94*U94</f>
        <v>0.2</v>
      </c>
      <c r="W94" s="149">
        <f t="shared" ref="W94:W99" si="80">IF(OR(Q94=10,Q94=50,Q94=100),O94*U94%,O94*V94%)</f>
        <v>1E-3</v>
      </c>
      <c r="X94" s="149">
        <f t="shared" ref="X94:X99" si="81">T94*$D$73</f>
        <v>6</v>
      </c>
      <c r="Y94" s="149">
        <f t="shared" ref="Y94:Y99" si="82">W94*$D$73</f>
        <v>1</v>
      </c>
      <c r="AG94">
        <f t="shared" ref="AG94:AG99" si="83">AG93</f>
        <v>3</v>
      </c>
      <c r="AH94">
        <v>2</v>
      </c>
    </row>
    <row r="95" spans="1:34" ht="18.600000000000001" thickBot="1" x14ac:dyDescent="0.35">
      <c r="A95" t="str">
        <f t="shared" si="61"/>
        <v>3.3</v>
      </c>
      <c r="B95" s="137">
        <f t="shared" si="62"/>
        <v>1</v>
      </c>
      <c r="C95" s="141">
        <f>VLOOKUP(CONCATENATE(AH95,".",3),'Resultados - 3'!$A$10:$G$156,5,FALSE)/$D$73</f>
        <v>1</v>
      </c>
      <c r="D95" s="161">
        <f t="shared" si="63"/>
        <v>100</v>
      </c>
      <c r="E95" s="146">
        <f t="shared" si="64"/>
        <v>0.6</v>
      </c>
      <c r="F95" s="177">
        <f t="shared" si="65"/>
        <v>0.6</v>
      </c>
      <c r="H95" s="149">
        <f t="shared" si="66"/>
        <v>6.0000000000000001E-3</v>
      </c>
      <c r="I95" s="146">
        <f t="shared" si="67"/>
        <v>0.1</v>
      </c>
      <c r="J95" s="146">
        <f t="shared" si="68"/>
        <v>0.1</v>
      </c>
      <c r="K95" s="149">
        <f t="shared" si="69"/>
        <v>1E-3</v>
      </c>
      <c r="L95" s="149">
        <f t="shared" si="70"/>
        <v>6</v>
      </c>
      <c r="M95" s="149">
        <f t="shared" si="71"/>
        <v>1</v>
      </c>
      <c r="O95" s="137">
        <f t="shared" si="72"/>
        <v>1</v>
      </c>
      <c r="P95" s="141">
        <f t="shared" si="73"/>
        <v>1</v>
      </c>
      <c r="Q95" s="161">
        <f t="shared" si="74"/>
        <v>100</v>
      </c>
      <c r="R95" s="146">
        <f t="shared" si="75"/>
        <v>0.6</v>
      </c>
      <c r="S95" s="177">
        <f t="shared" si="76"/>
        <v>0.6</v>
      </c>
      <c r="T95" s="149">
        <f t="shared" si="77"/>
        <v>6.0000000000000001E-3</v>
      </c>
      <c r="U95" s="146">
        <f t="shared" si="78"/>
        <v>0.1</v>
      </c>
      <c r="V95" s="146">
        <f t="shared" si="79"/>
        <v>0.1</v>
      </c>
      <c r="W95" s="149">
        <f t="shared" si="80"/>
        <v>1E-3</v>
      </c>
      <c r="X95" s="149">
        <f t="shared" si="81"/>
        <v>6</v>
      </c>
      <c r="Y95" s="149">
        <f t="shared" si="82"/>
        <v>1</v>
      </c>
      <c r="AG95">
        <f t="shared" si="83"/>
        <v>3</v>
      </c>
      <c r="AH95">
        <v>3</v>
      </c>
    </row>
    <row r="96" spans="1:34" ht="18.600000000000001" thickBot="1" x14ac:dyDescent="0.35">
      <c r="A96" t="str">
        <f t="shared" si="61"/>
        <v>3.4</v>
      </c>
      <c r="B96" s="137">
        <f t="shared" si="62"/>
        <v>1</v>
      </c>
      <c r="C96" s="141" t="e">
        <f>VLOOKUP(CONCATENATE(AH96,".",3),'Resultados - 3'!$A$10:$G$156,5,FALSE)/$D$73</f>
        <v>#VALUE!</v>
      </c>
      <c r="D96" s="161" t="e">
        <f t="shared" si="63"/>
        <v>#VALUE!</v>
      </c>
      <c r="E96" s="146">
        <f t="shared" si="64"/>
        <v>0.6</v>
      </c>
      <c r="F96" s="177" t="e">
        <f t="shared" si="65"/>
        <v>#VALUE!</v>
      </c>
      <c r="H96" s="149" t="e">
        <f t="shared" si="66"/>
        <v>#VALUE!</v>
      </c>
      <c r="I96" s="146" t="e">
        <f t="shared" si="67"/>
        <v>#VALUE!</v>
      </c>
      <c r="J96" s="146" t="e">
        <f t="shared" si="68"/>
        <v>#VALUE!</v>
      </c>
      <c r="K96" s="149" t="e">
        <f t="shared" si="69"/>
        <v>#VALUE!</v>
      </c>
      <c r="L96" s="149" t="e">
        <f t="shared" si="70"/>
        <v>#VALUE!</v>
      </c>
      <c r="M96" s="149" t="e">
        <f t="shared" si="71"/>
        <v>#VALUE!</v>
      </c>
      <c r="O96" s="137">
        <f t="shared" si="72"/>
        <v>1</v>
      </c>
      <c r="P96" s="141" t="e">
        <f t="shared" si="73"/>
        <v>#VALUE!</v>
      </c>
      <c r="Q96" s="161" t="e">
        <f t="shared" si="74"/>
        <v>#VALUE!</v>
      </c>
      <c r="R96" s="146" t="e">
        <f t="shared" si="75"/>
        <v>#VALUE!</v>
      </c>
      <c r="S96" s="177" t="e">
        <f t="shared" si="76"/>
        <v>#VALUE!</v>
      </c>
      <c r="T96" s="149" t="e">
        <f t="shared" si="77"/>
        <v>#VALUE!</v>
      </c>
      <c r="U96" s="146" t="e">
        <f t="shared" si="78"/>
        <v>#VALUE!</v>
      </c>
      <c r="V96" s="146" t="e">
        <f t="shared" si="79"/>
        <v>#VALUE!</v>
      </c>
      <c r="W96" s="149" t="e">
        <f t="shared" si="80"/>
        <v>#VALUE!</v>
      </c>
      <c r="X96" s="149" t="e">
        <f t="shared" si="81"/>
        <v>#VALUE!</v>
      </c>
      <c r="Y96" s="149" t="e">
        <f t="shared" si="82"/>
        <v>#VALUE!</v>
      </c>
      <c r="AG96">
        <f t="shared" si="83"/>
        <v>3</v>
      </c>
      <c r="AH96">
        <v>4</v>
      </c>
    </row>
    <row r="97" spans="1:34" ht="18.600000000000001" thickBot="1" x14ac:dyDescent="0.35">
      <c r="A97" t="str">
        <f t="shared" si="61"/>
        <v>3.5</v>
      </c>
      <c r="B97" s="137">
        <f t="shared" si="62"/>
        <v>1</v>
      </c>
      <c r="C97" s="141" t="e">
        <f>VLOOKUP(CONCATENATE(AH97,".",3),'Resultados - 3'!$A$10:$G$156,5,FALSE)/$D$73</f>
        <v>#VALUE!</v>
      </c>
      <c r="D97" s="161" t="e">
        <f t="shared" si="63"/>
        <v>#VALUE!</v>
      </c>
      <c r="E97" s="146">
        <f t="shared" si="64"/>
        <v>0.6</v>
      </c>
      <c r="F97" s="177" t="e">
        <f t="shared" si="65"/>
        <v>#VALUE!</v>
      </c>
      <c r="H97" s="149" t="e">
        <f t="shared" si="66"/>
        <v>#VALUE!</v>
      </c>
      <c r="I97" s="146" t="e">
        <f t="shared" si="67"/>
        <v>#VALUE!</v>
      </c>
      <c r="J97" s="146" t="e">
        <f t="shared" si="68"/>
        <v>#VALUE!</v>
      </c>
      <c r="K97" s="149" t="e">
        <f t="shared" si="69"/>
        <v>#VALUE!</v>
      </c>
      <c r="L97" s="149" t="e">
        <f t="shared" si="70"/>
        <v>#VALUE!</v>
      </c>
      <c r="M97" s="149" t="e">
        <f t="shared" si="71"/>
        <v>#VALUE!</v>
      </c>
      <c r="O97" s="137">
        <f t="shared" si="72"/>
        <v>1</v>
      </c>
      <c r="P97" s="141" t="e">
        <f t="shared" si="73"/>
        <v>#VALUE!</v>
      </c>
      <c r="Q97" s="161" t="e">
        <f t="shared" si="74"/>
        <v>#VALUE!</v>
      </c>
      <c r="R97" s="146" t="e">
        <f t="shared" si="75"/>
        <v>#VALUE!</v>
      </c>
      <c r="S97" s="177" t="e">
        <f t="shared" si="76"/>
        <v>#VALUE!</v>
      </c>
      <c r="T97" s="149" t="e">
        <f t="shared" si="77"/>
        <v>#VALUE!</v>
      </c>
      <c r="U97" s="146" t="e">
        <f t="shared" si="78"/>
        <v>#VALUE!</v>
      </c>
      <c r="V97" s="146" t="e">
        <f t="shared" si="79"/>
        <v>#VALUE!</v>
      </c>
      <c r="W97" s="149" t="e">
        <f t="shared" si="80"/>
        <v>#VALUE!</v>
      </c>
      <c r="X97" s="149" t="e">
        <f t="shared" si="81"/>
        <v>#VALUE!</v>
      </c>
      <c r="Y97" s="149" t="e">
        <f t="shared" si="82"/>
        <v>#VALUE!</v>
      </c>
      <c r="AG97">
        <f t="shared" si="83"/>
        <v>3</v>
      </c>
      <c r="AH97">
        <v>5</v>
      </c>
    </row>
    <row r="98" spans="1:34" ht="18.600000000000001" thickBot="1" x14ac:dyDescent="0.35">
      <c r="A98" t="str">
        <f t="shared" si="61"/>
        <v>3.6</v>
      </c>
      <c r="B98" s="137">
        <f t="shared" si="62"/>
        <v>1</v>
      </c>
      <c r="C98" s="141" t="e">
        <f>VLOOKUP(CONCATENATE(AH98,".",3),'Resultados - 3'!$A$10:$G$156,5,FALSE)/$D$73</f>
        <v>#VALUE!</v>
      </c>
      <c r="D98" s="161" t="e">
        <f t="shared" si="63"/>
        <v>#VALUE!</v>
      </c>
      <c r="E98" s="146">
        <f t="shared" si="64"/>
        <v>0.6</v>
      </c>
      <c r="F98" s="177" t="e">
        <f t="shared" si="65"/>
        <v>#VALUE!</v>
      </c>
      <c r="H98" s="149" t="e">
        <f t="shared" si="66"/>
        <v>#VALUE!</v>
      </c>
      <c r="I98" s="146" t="e">
        <f t="shared" si="67"/>
        <v>#VALUE!</v>
      </c>
      <c r="J98" s="146" t="e">
        <f t="shared" si="68"/>
        <v>#VALUE!</v>
      </c>
      <c r="K98" s="149" t="e">
        <f t="shared" si="69"/>
        <v>#VALUE!</v>
      </c>
      <c r="L98" s="149" t="e">
        <f t="shared" si="70"/>
        <v>#VALUE!</v>
      </c>
      <c r="M98" s="149" t="e">
        <f t="shared" si="71"/>
        <v>#VALUE!</v>
      </c>
      <c r="O98" s="137">
        <f t="shared" si="72"/>
        <v>1</v>
      </c>
      <c r="P98" s="141" t="e">
        <f t="shared" si="73"/>
        <v>#VALUE!</v>
      </c>
      <c r="Q98" s="161" t="e">
        <f t="shared" si="74"/>
        <v>#VALUE!</v>
      </c>
      <c r="R98" s="146" t="e">
        <f t="shared" si="75"/>
        <v>#VALUE!</v>
      </c>
      <c r="S98" s="177" t="e">
        <f t="shared" si="76"/>
        <v>#VALUE!</v>
      </c>
      <c r="T98" s="149" t="e">
        <f t="shared" si="77"/>
        <v>#VALUE!</v>
      </c>
      <c r="U98" s="146" t="e">
        <f t="shared" si="78"/>
        <v>#VALUE!</v>
      </c>
      <c r="V98" s="146" t="e">
        <f t="shared" si="79"/>
        <v>#VALUE!</v>
      </c>
      <c r="W98" s="149" t="e">
        <f t="shared" si="80"/>
        <v>#VALUE!</v>
      </c>
      <c r="X98" s="149" t="e">
        <f t="shared" si="81"/>
        <v>#VALUE!</v>
      </c>
      <c r="Y98" s="149" t="e">
        <f t="shared" si="82"/>
        <v>#VALUE!</v>
      </c>
      <c r="AG98">
        <f t="shared" si="83"/>
        <v>3</v>
      </c>
      <c r="AH98">
        <v>6</v>
      </c>
    </row>
    <row r="99" spans="1:34" ht="18.600000000000001" thickBot="1" x14ac:dyDescent="0.35">
      <c r="A99" t="str">
        <f t="shared" si="61"/>
        <v>3.7</v>
      </c>
      <c r="B99" s="137">
        <f t="shared" si="62"/>
        <v>1</v>
      </c>
      <c r="C99" s="141" t="e">
        <f>VLOOKUP(CONCATENATE(AH99,".",3),'Resultados - 3'!$A$10:$G$156,5,FALSE)/$D$73</f>
        <v>#VALUE!</v>
      </c>
      <c r="D99" s="161" t="e">
        <f t="shared" si="63"/>
        <v>#VALUE!</v>
      </c>
      <c r="E99" s="146">
        <f t="shared" si="64"/>
        <v>0.6</v>
      </c>
      <c r="F99" s="177" t="e">
        <f t="shared" si="65"/>
        <v>#VALUE!</v>
      </c>
      <c r="H99" s="149" t="e">
        <f t="shared" si="66"/>
        <v>#VALUE!</v>
      </c>
      <c r="I99" s="146" t="e">
        <f t="shared" si="67"/>
        <v>#VALUE!</v>
      </c>
      <c r="J99" s="146" t="e">
        <f t="shared" si="68"/>
        <v>#VALUE!</v>
      </c>
      <c r="K99" s="149" t="e">
        <f t="shared" si="69"/>
        <v>#VALUE!</v>
      </c>
      <c r="L99" s="149" t="e">
        <f t="shared" si="70"/>
        <v>#VALUE!</v>
      </c>
      <c r="M99" s="149" t="e">
        <f t="shared" si="71"/>
        <v>#VALUE!</v>
      </c>
      <c r="O99" s="137">
        <f t="shared" si="72"/>
        <v>1</v>
      </c>
      <c r="P99" s="141" t="e">
        <f t="shared" si="73"/>
        <v>#VALUE!</v>
      </c>
      <c r="Q99" s="161" t="e">
        <f t="shared" si="74"/>
        <v>#VALUE!</v>
      </c>
      <c r="R99" s="146" t="e">
        <f t="shared" si="75"/>
        <v>#VALUE!</v>
      </c>
      <c r="S99" s="177" t="e">
        <f t="shared" si="76"/>
        <v>#VALUE!</v>
      </c>
      <c r="T99" s="149" t="e">
        <f t="shared" si="77"/>
        <v>#VALUE!</v>
      </c>
      <c r="U99" s="146" t="e">
        <f t="shared" si="78"/>
        <v>#VALUE!</v>
      </c>
      <c r="V99" s="146" t="e">
        <f t="shared" si="79"/>
        <v>#VALUE!</v>
      </c>
      <c r="W99" s="149" t="e">
        <f t="shared" si="80"/>
        <v>#VALUE!</v>
      </c>
      <c r="X99" s="149" t="e">
        <f t="shared" si="81"/>
        <v>#VALUE!</v>
      </c>
      <c r="Y99" s="149" t="e">
        <f t="shared" si="82"/>
        <v>#VALUE!</v>
      </c>
      <c r="AG99">
        <f t="shared" si="83"/>
        <v>3</v>
      </c>
      <c r="AH99">
        <v>7</v>
      </c>
    </row>
    <row r="100" spans="1:34" ht="18.600000000000001" thickBot="1" x14ac:dyDescent="0.35">
      <c r="A100" s="182"/>
      <c r="B100" s="183"/>
      <c r="C100" s="184"/>
      <c r="D100" s="185"/>
      <c r="E100" s="186"/>
      <c r="F100" s="186"/>
      <c r="G100" s="187"/>
      <c r="H100" s="188"/>
      <c r="I100" s="186"/>
      <c r="J100" s="186"/>
      <c r="K100" s="188"/>
      <c r="L100" s="188"/>
      <c r="M100" s="188"/>
      <c r="N100" s="182"/>
      <c r="O100" s="183"/>
      <c r="P100" s="184"/>
      <c r="Q100" s="185"/>
      <c r="R100" s="186"/>
      <c r="S100" s="186"/>
      <c r="T100" s="188"/>
      <c r="U100" s="186"/>
      <c r="V100" s="186"/>
      <c r="W100" s="188"/>
      <c r="X100" s="188"/>
      <c r="Y100" s="188"/>
    </row>
    <row r="101" spans="1:34" ht="18.600000000000001" thickBot="1" x14ac:dyDescent="0.35">
      <c r="A101" t="str">
        <f t="shared" ref="A101:A107" si="84">CONCATENATE(AG101,".",AH101)</f>
        <v>4.1</v>
      </c>
      <c r="B101" s="137">
        <f>$B$73/$D$73</f>
        <v>1</v>
      </c>
      <c r="C101" s="141">
        <f>VLOOKUP(CONCATENATE(AH101,".",3),'Resultados - 4'!$A$10:$G$156,5,FALSE)/$D$73</f>
        <v>0.1</v>
      </c>
      <c r="D101" s="161">
        <f>IF(C101/B101&lt;0.1,"Valor Abaixo de 10% - Não Válido",C101/B101*100)</f>
        <v>10</v>
      </c>
      <c r="E101" s="146">
        <f>IFERROR(VLOOKUP(D101,$A$39:$F$56,$E$57,FALSE),VLOOKUP(100,$A$39:$F$56,$E$57,FALSE))</f>
        <v>6</v>
      </c>
      <c r="F101" s="177">
        <f>B101/C101*E101</f>
        <v>60</v>
      </c>
      <c r="H101" s="149">
        <f>IF(OR(D101=10,D101=50,D101=100),C101*E101%,C101*F101%)</f>
        <v>6.0000000000000001E-3</v>
      </c>
      <c r="I101" s="146">
        <f>VLOOKUP(D101,$A$39:$F$56,$F$57,FALSE)</f>
        <v>1</v>
      </c>
      <c r="J101" s="146">
        <f>B101/C101*I101</f>
        <v>10</v>
      </c>
      <c r="K101" s="149">
        <f>IF(OR(D101=10,D101=50,D101=100),C101*I101%,C101*J101%)</f>
        <v>1E-3</v>
      </c>
      <c r="L101" s="149">
        <f>H101*$D$73</f>
        <v>6</v>
      </c>
      <c r="M101" s="149">
        <f>K101*$D$73</f>
        <v>1</v>
      </c>
      <c r="O101" s="137">
        <f>B101</f>
        <v>1</v>
      </c>
      <c r="P101" s="141">
        <f>C101</f>
        <v>0.1</v>
      </c>
      <c r="Q101" s="161">
        <f>IF(P101/O101&lt;0.1,"Valor Abaixo de 10% - Não Válido",O101/O101*100)</f>
        <v>100</v>
      </c>
      <c r="R101" s="146">
        <f>VLOOKUP(Q101,$G$39:$L$56,$K$57,FALSE)</f>
        <v>0.6</v>
      </c>
      <c r="S101" s="177">
        <f>O101/P101*R101</f>
        <v>6</v>
      </c>
      <c r="T101" s="149">
        <f>IF(OR(Q101=10,Q101=50,Q101=100),O101*R101%,O101*S101%)</f>
        <v>6.0000000000000001E-3</v>
      </c>
      <c r="U101" s="146">
        <f>VLOOKUP(Q101,$G$39:$L$56,$L$57,FALSE)</f>
        <v>0.1</v>
      </c>
      <c r="V101" s="146">
        <f>O101/P101*U101</f>
        <v>1</v>
      </c>
      <c r="W101" s="149">
        <f>IF(OR(Q101=10,Q101=50,Q101=100),O101*U101%,O101*V101%)</f>
        <v>1E-3</v>
      </c>
      <c r="X101" s="149">
        <f>T101*$D$73</f>
        <v>6</v>
      </c>
      <c r="Y101" s="149">
        <f>W101*$D$73</f>
        <v>1</v>
      </c>
      <c r="AG101">
        <f>AG99+1</f>
        <v>4</v>
      </c>
      <c r="AH101">
        <v>1</v>
      </c>
    </row>
    <row r="102" spans="1:34" ht="18.600000000000001" thickBot="1" x14ac:dyDescent="0.35">
      <c r="A102" t="str">
        <f t="shared" si="84"/>
        <v>4.2</v>
      </c>
      <c r="B102" s="137">
        <f t="shared" ref="B102:B107" si="85">$B$73/$D$73</f>
        <v>1</v>
      </c>
      <c r="C102" s="141">
        <f>VLOOKUP(CONCATENATE(AH102,".",3),'Resultados - 4'!$A$10:$G$156,5,FALSE)/$D$73</f>
        <v>0.5</v>
      </c>
      <c r="D102" s="161">
        <f t="shared" ref="D102:D107" si="86">IF(C102/B102&lt;0.1,"Valor Abaixo de 10% - Não Válido",C102/B102*100)</f>
        <v>50</v>
      </c>
      <c r="E102" s="146">
        <f t="shared" ref="E102:E107" si="87">IFERROR(VLOOKUP(D102,$A$39:$F$56,$E$57,FALSE),VLOOKUP(100,$A$39:$F$56,$E$57,FALSE))</f>
        <v>1.2</v>
      </c>
      <c r="F102" s="177">
        <f t="shared" ref="F102:F107" si="88">B102/C102*E102</f>
        <v>2.4</v>
      </c>
      <c r="H102" s="149">
        <f t="shared" ref="H102:H107" si="89">IF(OR(D102=10,D102=50,D102=100),C102*E102%,C102*F102%)</f>
        <v>6.0000000000000001E-3</v>
      </c>
      <c r="I102" s="146">
        <f t="shared" ref="I102:I107" si="90">VLOOKUP(D102,$A$39:$F$56,$F$57,FALSE)</f>
        <v>0.2</v>
      </c>
      <c r="J102" s="146">
        <f t="shared" ref="J102:J107" si="91">B102/C102*I102</f>
        <v>0.4</v>
      </c>
      <c r="K102" s="149">
        <f t="shared" ref="K102:K107" si="92">IF(OR(D102=10,D102=50,D102=100),C102*I102%,C102*J102%)</f>
        <v>1E-3</v>
      </c>
      <c r="L102" s="149">
        <f t="shared" ref="L102:L107" si="93">H102*$D$73</f>
        <v>6</v>
      </c>
      <c r="M102" s="149">
        <f t="shared" ref="M102:M107" si="94">K102*$D$73</f>
        <v>1</v>
      </c>
      <c r="O102" s="137">
        <f t="shared" ref="O102:O107" si="95">B102</f>
        <v>1</v>
      </c>
      <c r="P102" s="141">
        <f t="shared" ref="P102:P107" si="96">C102</f>
        <v>0.5</v>
      </c>
      <c r="Q102" s="161">
        <f t="shared" ref="Q102:Q107" si="97">IF(P102/O102&lt;0.1,"Valor Abaixo de 10% - Não Válido",O102/O102*100)</f>
        <v>100</v>
      </c>
      <c r="R102" s="146">
        <f t="shared" ref="R102:R107" si="98">VLOOKUP(Q102,$G$39:$L$56,$K$57,FALSE)</f>
        <v>0.6</v>
      </c>
      <c r="S102" s="177">
        <f t="shared" ref="S102:S107" si="99">O102/P102*R102</f>
        <v>1.2</v>
      </c>
      <c r="T102" s="149">
        <f t="shared" ref="T102:T107" si="100">IF(OR(Q102=10,Q102=50,Q102=100),O102*R102%,O102*S102%)</f>
        <v>6.0000000000000001E-3</v>
      </c>
      <c r="U102" s="146">
        <f t="shared" ref="U102:U107" si="101">VLOOKUP(Q102,$G$39:$L$56,$L$57,FALSE)</f>
        <v>0.1</v>
      </c>
      <c r="V102" s="146">
        <f t="shared" ref="V102:V107" si="102">O102/P102*U102</f>
        <v>0.2</v>
      </c>
      <c r="W102" s="149">
        <f t="shared" ref="W102:W107" si="103">IF(OR(Q102=10,Q102=50,Q102=100),O102*U102%,O102*V102%)</f>
        <v>1E-3</v>
      </c>
      <c r="X102" s="149">
        <f t="shared" ref="X102:X107" si="104">T102*$D$73</f>
        <v>6</v>
      </c>
      <c r="Y102" s="149">
        <f t="shared" ref="Y102:Y107" si="105">W102*$D$73</f>
        <v>1</v>
      </c>
      <c r="AG102">
        <f t="shared" ref="AG102:AG107" si="106">AG101</f>
        <v>4</v>
      </c>
      <c r="AH102">
        <v>2</v>
      </c>
    </row>
    <row r="103" spans="1:34" ht="18.600000000000001" thickBot="1" x14ac:dyDescent="0.35">
      <c r="A103" t="str">
        <f t="shared" si="84"/>
        <v>4.3</v>
      </c>
      <c r="B103" s="137">
        <f t="shared" si="85"/>
        <v>1</v>
      </c>
      <c r="C103" s="141">
        <f>VLOOKUP(CONCATENATE(AH103,".",3),'Resultados - 4'!$A$10:$G$156,5,FALSE)/$D$73</f>
        <v>1</v>
      </c>
      <c r="D103" s="161">
        <f t="shared" si="86"/>
        <v>100</v>
      </c>
      <c r="E103" s="146">
        <f t="shared" si="87"/>
        <v>0.6</v>
      </c>
      <c r="F103" s="177">
        <f t="shared" si="88"/>
        <v>0.6</v>
      </c>
      <c r="H103" s="149">
        <f t="shared" si="89"/>
        <v>6.0000000000000001E-3</v>
      </c>
      <c r="I103" s="146">
        <f t="shared" si="90"/>
        <v>0.1</v>
      </c>
      <c r="J103" s="146">
        <f t="shared" si="91"/>
        <v>0.1</v>
      </c>
      <c r="K103" s="149">
        <f t="shared" si="92"/>
        <v>1E-3</v>
      </c>
      <c r="L103" s="149">
        <f t="shared" si="93"/>
        <v>6</v>
      </c>
      <c r="M103" s="149">
        <f t="shared" si="94"/>
        <v>1</v>
      </c>
      <c r="O103" s="137">
        <f t="shared" si="95"/>
        <v>1</v>
      </c>
      <c r="P103" s="141">
        <f t="shared" si="96"/>
        <v>1</v>
      </c>
      <c r="Q103" s="161">
        <f t="shared" si="97"/>
        <v>100</v>
      </c>
      <c r="R103" s="146">
        <f t="shared" si="98"/>
        <v>0.6</v>
      </c>
      <c r="S103" s="177">
        <f t="shared" si="99"/>
        <v>0.6</v>
      </c>
      <c r="T103" s="149">
        <f t="shared" si="100"/>
        <v>6.0000000000000001E-3</v>
      </c>
      <c r="U103" s="146">
        <f t="shared" si="101"/>
        <v>0.1</v>
      </c>
      <c r="V103" s="146">
        <f t="shared" si="102"/>
        <v>0.1</v>
      </c>
      <c r="W103" s="149">
        <f t="shared" si="103"/>
        <v>1E-3</v>
      </c>
      <c r="X103" s="149">
        <f t="shared" si="104"/>
        <v>6</v>
      </c>
      <c r="Y103" s="149">
        <f t="shared" si="105"/>
        <v>1</v>
      </c>
      <c r="AG103">
        <f t="shared" si="106"/>
        <v>4</v>
      </c>
      <c r="AH103">
        <v>3</v>
      </c>
    </row>
    <row r="104" spans="1:34" ht="18.600000000000001" thickBot="1" x14ac:dyDescent="0.35">
      <c r="A104" t="str">
        <f t="shared" si="84"/>
        <v>4.4</v>
      </c>
      <c r="B104" s="137">
        <f t="shared" si="85"/>
        <v>1</v>
      </c>
      <c r="C104" s="141" t="e">
        <f>VLOOKUP(CONCATENATE(AH104,".",3),'Resultados - 4'!$A$10:$G$156,5,FALSE)/$D$73</f>
        <v>#VALUE!</v>
      </c>
      <c r="D104" s="161" t="e">
        <f t="shared" si="86"/>
        <v>#VALUE!</v>
      </c>
      <c r="E104" s="146">
        <f t="shared" si="87"/>
        <v>0.6</v>
      </c>
      <c r="F104" s="177" t="e">
        <f t="shared" si="88"/>
        <v>#VALUE!</v>
      </c>
      <c r="H104" s="149" t="e">
        <f t="shared" si="89"/>
        <v>#VALUE!</v>
      </c>
      <c r="I104" s="146" t="e">
        <f t="shared" si="90"/>
        <v>#VALUE!</v>
      </c>
      <c r="J104" s="146" t="e">
        <f t="shared" si="91"/>
        <v>#VALUE!</v>
      </c>
      <c r="K104" s="149" t="e">
        <f t="shared" si="92"/>
        <v>#VALUE!</v>
      </c>
      <c r="L104" s="149" t="e">
        <f t="shared" si="93"/>
        <v>#VALUE!</v>
      </c>
      <c r="M104" s="149" t="e">
        <f t="shared" si="94"/>
        <v>#VALUE!</v>
      </c>
      <c r="O104" s="137">
        <f t="shared" si="95"/>
        <v>1</v>
      </c>
      <c r="P104" s="141" t="e">
        <f t="shared" si="96"/>
        <v>#VALUE!</v>
      </c>
      <c r="Q104" s="161" t="e">
        <f t="shared" si="97"/>
        <v>#VALUE!</v>
      </c>
      <c r="R104" s="146" t="e">
        <f t="shared" si="98"/>
        <v>#VALUE!</v>
      </c>
      <c r="S104" s="177" t="e">
        <f t="shared" si="99"/>
        <v>#VALUE!</v>
      </c>
      <c r="T104" s="149" t="e">
        <f t="shared" si="100"/>
        <v>#VALUE!</v>
      </c>
      <c r="U104" s="146" t="e">
        <f t="shared" si="101"/>
        <v>#VALUE!</v>
      </c>
      <c r="V104" s="146" t="e">
        <f t="shared" si="102"/>
        <v>#VALUE!</v>
      </c>
      <c r="W104" s="149" t="e">
        <f t="shared" si="103"/>
        <v>#VALUE!</v>
      </c>
      <c r="X104" s="149" t="e">
        <f t="shared" si="104"/>
        <v>#VALUE!</v>
      </c>
      <c r="Y104" s="149" t="e">
        <f t="shared" si="105"/>
        <v>#VALUE!</v>
      </c>
      <c r="AG104">
        <f t="shared" si="106"/>
        <v>4</v>
      </c>
      <c r="AH104">
        <v>4</v>
      </c>
    </row>
    <row r="105" spans="1:34" ht="18.600000000000001" thickBot="1" x14ac:dyDescent="0.35">
      <c r="A105" t="str">
        <f t="shared" si="84"/>
        <v>4.5</v>
      </c>
      <c r="B105" s="137">
        <f t="shared" si="85"/>
        <v>1</v>
      </c>
      <c r="C105" s="141" t="e">
        <f>VLOOKUP(CONCATENATE(AH105,".",3),'Resultados - 4'!$A$10:$G$156,5,FALSE)/$D$73</f>
        <v>#VALUE!</v>
      </c>
      <c r="D105" s="161" t="e">
        <f t="shared" si="86"/>
        <v>#VALUE!</v>
      </c>
      <c r="E105" s="146">
        <f t="shared" si="87"/>
        <v>0.6</v>
      </c>
      <c r="F105" s="177" t="e">
        <f t="shared" si="88"/>
        <v>#VALUE!</v>
      </c>
      <c r="H105" s="149" t="e">
        <f t="shared" si="89"/>
        <v>#VALUE!</v>
      </c>
      <c r="I105" s="146" t="e">
        <f t="shared" si="90"/>
        <v>#VALUE!</v>
      </c>
      <c r="J105" s="146" t="e">
        <f t="shared" si="91"/>
        <v>#VALUE!</v>
      </c>
      <c r="K105" s="149" t="e">
        <f t="shared" si="92"/>
        <v>#VALUE!</v>
      </c>
      <c r="L105" s="149" t="e">
        <f t="shared" si="93"/>
        <v>#VALUE!</v>
      </c>
      <c r="M105" s="149" t="e">
        <f t="shared" si="94"/>
        <v>#VALUE!</v>
      </c>
      <c r="O105" s="137">
        <f t="shared" si="95"/>
        <v>1</v>
      </c>
      <c r="P105" s="141" t="e">
        <f t="shared" si="96"/>
        <v>#VALUE!</v>
      </c>
      <c r="Q105" s="161" t="e">
        <f t="shared" si="97"/>
        <v>#VALUE!</v>
      </c>
      <c r="R105" s="146" t="e">
        <f t="shared" si="98"/>
        <v>#VALUE!</v>
      </c>
      <c r="S105" s="177" t="e">
        <f t="shared" si="99"/>
        <v>#VALUE!</v>
      </c>
      <c r="T105" s="149" t="e">
        <f t="shared" si="100"/>
        <v>#VALUE!</v>
      </c>
      <c r="U105" s="146" t="e">
        <f t="shared" si="101"/>
        <v>#VALUE!</v>
      </c>
      <c r="V105" s="146" t="e">
        <f t="shared" si="102"/>
        <v>#VALUE!</v>
      </c>
      <c r="W105" s="149" t="e">
        <f t="shared" si="103"/>
        <v>#VALUE!</v>
      </c>
      <c r="X105" s="149" t="e">
        <f t="shared" si="104"/>
        <v>#VALUE!</v>
      </c>
      <c r="Y105" s="149" t="e">
        <f t="shared" si="105"/>
        <v>#VALUE!</v>
      </c>
      <c r="AG105">
        <f t="shared" si="106"/>
        <v>4</v>
      </c>
      <c r="AH105">
        <v>5</v>
      </c>
    </row>
    <row r="106" spans="1:34" ht="18.600000000000001" thickBot="1" x14ac:dyDescent="0.35">
      <c r="A106" t="str">
        <f t="shared" si="84"/>
        <v>4.6</v>
      </c>
      <c r="B106" s="137">
        <f t="shared" si="85"/>
        <v>1</v>
      </c>
      <c r="C106" s="141" t="e">
        <f>VLOOKUP(CONCATENATE(AH106,".",3),'Resultados - 4'!$A$10:$G$156,5,FALSE)/$D$73</f>
        <v>#VALUE!</v>
      </c>
      <c r="D106" s="161" t="e">
        <f t="shared" si="86"/>
        <v>#VALUE!</v>
      </c>
      <c r="E106" s="146">
        <f t="shared" si="87"/>
        <v>0.6</v>
      </c>
      <c r="F106" s="177" t="e">
        <f t="shared" si="88"/>
        <v>#VALUE!</v>
      </c>
      <c r="H106" s="149" t="e">
        <f t="shared" si="89"/>
        <v>#VALUE!</v>
      </c>
      <c r="I106" s="146" t="e">
        <f t="shared" si="90"/>
        <v>#VALUE!</v>
      </c>
      <c r="J106" s="146" t="e">
        <f t="shared" si="91"/>
        <v>#VALUE!</v>
      </c>
      <c r="K106" s="149" t="e">
        <f t="shared" si="92"/>
        <v>#VALUE!</v>
      </c>
      <c r="L106" s="149" t="e">
        <f t="shared" si="93"/>
        <v>#VALUE!</v>
      </c>
      <c r="M106" s="149" t="e">
        <f t="shared" si="94"/>
        <v>#VALUE!</v>
      </c>
      <c r="O106" s="137">
        <f t="shared" si="95"/>
        <v>1</v>
      </c>
      <c r="P106" s="141" t="e">
        <f t="shared" si="96"/>
        <v>#VALUE!</v>
      </c>
      <c r="Q106" s="161" t="e">
        <f t="shared" si="97"/>
        <v>#VALUE!</v>
      </c>
      <c r="R106" s="146" t="e">
        <f t="shared" si="98"/>
        <v>#VALUE!</v>
      </c>
      <c r="S106" s="177" t="e">
        <f t="shared" si="99"/>
        <v>#VALUE!</v>
      </c>
      <c r="T106" s="149" t="e">
        <f t="shared" si="100"/>
        <v>#VALUE!</v>
      </c>
      <c r="U106" s="146" t="e">
        <f t="shared" si="101"/>
        <v>#VALUE!</v>
      </c>
      <c r="V106" s="146" t="e">
        <f t="shared" si="102"/>
        <v>#VALUE!</v>
      </c>
      <c r="W106" s="149" t="e">
        <f t="shared" si="103"/>
        <v>#VALUE!</v>
      </c>
      <c r="X106" s="149" t="e">
        <f t="shared" si="104"/>
        <v>#VALUE!</v>
      </c>
      <c r="Y106" s="149" t="e">
        <f t="shared" si="105"/>
        <v>#VALUE!</v>
      </c>
      <c r="AG106">
        <f t="shared" si="106"/>
        <v>4</v>
      </c>
      <c r="AH106">
        <v>6</v>
      </c>
    </row>
    <row r="107" spans="1:34" ht="18.600000000000001" thickBot="1" x14ac:dyDescent="0.35">
      <c r="A107" t="str">
        <f t="shared" si="84"/>
        <v>4.7</v>
      </c>
      <c r="B107" s="137">
        <f t="shared" si="85"/>
        <v>1</v>
      </c>
      <c r="C107" s="141" t="e">
        <f>VLOOKUP(CONCATENATE(AH107,".",3),'Resultados - 4'!$A$10:$G$156,5,FALSE)/$D$73</f>
        <v>#VALUE!</v>
      </c>
      <c r="D107" s="161" t="e">
        <f t="shared" si="86"/>
        <v>#VALUE!</v>
      </c>
      <c r="E107" s="146">
        <f t="shared" si="87"/>
        <v>0.6</v>
      </c>
      <c r="F107" s="177" t="e">
        <f t="shared" si="88"/>
        <v>#VALUE!</v>
      </c>
      <c r="H107" s="149" t="e">
        <f t="shared" si="89"/>
        <v>#VALUE!</v>
      </c>
      <c r="I107" s="146" t="e">
        <f t="shared" si="90"/>
        <v>#VALUE!</v>
      </c>
      <c r="J107" s="146" t="e">
        <f t="shared" si="91"/>
        <v>#VALUE!</v>
      </c>
      <c r="K107" s="149" t="e">
        <f t="shared" si="92"/>
        <v>#VALUE!</v>
      </c>
      <c r="L107" s="149" t="e">
        <f t="shared" si="93"/>
        <v>#VALUE!</v>
      </c>
      <c r="M107" s="149" t="e">
        <f t="shared" si="94"/>
        <v>#VALUE!</v>
      </c>
      <c r="O107" s="137">
        <f t="shared" si="95"/>
        <v>1</v>
      </c>
      <c r="P107" s="141" t="e">
        <f t="shared" si="96"/>
        <v>#VALUE!</v>
      </c>
      <c r="Q107" s="161" t="e">
        <f t="shared" si="97"/>
        <v>#VALUE!</v>
      </c>
      <c r="R107" s="146" t="e">
        <f t="shared" si="98"/>
        <v>#VALUE!</v>
      </c>
      <c r="S107" s="177" t="e">
        <f t="shared" si="99"/>
        <v>#VALUE!</v>
      </c>
      <c r="T107" s="149" t="e">
        <f t="shared" si="100"/>
        <v>#VALUE!</v>
      </c>
      <c r="U107" s="146" t="e">
        <f t="shared" si="101"/>
        <v>#VALUE!</v>
      </c>
      <c r="V107" s="146" t="e">
        <f t="shared" si="102"/>
        <v>#VALUE!</v>
      </c>
      <c r="W107" s="149" t="e">
        <f t="shared" si="103"/>
        <v>#VALUE!</v>
      </c>
      <c r="X107" s="149" t="e">
        <f t="shared" si="104"/>
        <v>#VALUE!</v>
      </c>
      <c r="Y107" s="149" t="e">
        <f t="shared" si="105"/>
        <v>#VALUE!</v>
      </c>
      <c r="AG107">
        <f t="shared" si="106"/>
        <v>4</v>
      </c>
      <c r="AH107">
        <v>7</v>
      </c>
    </row>
    <row r="108" spans="1:34" ht="18.600000000000001" thickBot="1" x14ac:dyDescent="0.35">
      <c r="A108" s="182"/>
      <c r="B108" s="183"/>
      <c r="C108" s="184"/>
      <c r="D108" s="185"/>
      <c r="E108" s="186"/>
      <c r="F108" s="186"/>
      <c r="G108" s="187"/>
      <c r="H108" s="188"/>
      <c r="I108" s="186"/>
      <c r="J108" s="186"/>
      <c r="K108" s="188"/>
      <c r="L108" s="188"/>
      <c r="M108" s="188"/>
      <c r="N108" s="182"/>
      <c r="O108" s="183"/>
      <c r="P108" s="184"/>
      <c r="Q108" s="185"/>
      <c r="R108" s="186"/>
      <c r="S108" s="186"/>
      <c r="T108" s="188"/>
      <c r="U108" s="186"/>
      <c r="V108" s="186"/>
      <c r="W108" s="188"/>
      <c r="X108" s="188"/>
      <c r="Y108" s="188"/>
    </row>
    <row r="109" spans="1:34" ht="18.600000000000001" thickBot="1" x14ac:dyDescent="0.35">
      <c r="A109" t="str">
        <f t="shared" ref="A109:A115" si="107">CONCATENATE(AG109,".",AH109)</f>
        <v>5.1</v>
      </c>
      <c r="B109" s="137">
        <f>$B$73/$D$73</f>
        <v>1</v>
      </c>
      <c r="C109" s="141">
        <f>VLOOKUP(CONCATENATE(AH109,".",3),'Resultados - 5'!$A$10:$G$156,5,FALSE)/$D$73</f>
        <v>0.1</v>
      </c>
      <c r="D109" s="161">
        <f>IF(C109/B109&lt;0.1,"Valor Abaixo de 10% - Não Válido",C109/B109*100)</f>
        <v>10</v>
      </c>
      <c r="E109" s="146">
        <f>IFERROR(VLOOKUP(D109,$A$39:$F$56,$E$57,FALSE),VLOOKUP(100,$A$39:$F$56,$E$57,FALSE))</f>
        <v>6</v>
      </c>
      <c r="F109" s="177">
        <f>B109/C109*E109</f>
        <v>60</v>
      </c>
      <c r="H109" s="149">
        <f>IF(OR(D109=10,D109=50,D109=100),C109*E109%,C109*F109%)</f>
        <v>6.0000000000000001E-3</v>
      </c>
      <c r="I109" s="146">
        <f>VLOOKUP(D109,$A$39:$F$56,$F$57,FALSE)</f>
        <v>1</v>
      </c>
      <c r="J109" s="146">
        <f>B109/C109*I109</f>
        <v>10</v>
      </c>
      <c r="K109" s="149">
        <f>IF(OR(D109=10,D109=50,D109=100),C109*I109%,C109*J109%)</f>
        <v>1E-3</v>
      </c>
      <c r="L109" s="149">
        <f>H109*$D$73</f>
        <v>6</v>
      </c>
      <c r="M109" s="149">
        <f>K109*$D$73</f>
        <v>1</v>
      </c>
      <c r="O109" s="137">
        <f>B109</f>
        <v>1</v>
      </c>
      <c r="P109" s="141">
        <f>C109</f>
        <v>0.1</v>
      </c>
      <c r="Q109" s="161">
        <f>IF(P109/O109&lt;0.1,"Valor Abaixo de 10% - Não Válido",O109/O109*100)</f>
        <v>100</v>
      </c>
      <c r="R109" s="146">
        <f>VLOOKUP(Q109,$G$39:$L$56,$K$57,FALSE)</f>
        <v>0.6</v>
      </c>
      <c r="S109" s="177">
        <f>O109/P109*R109</f>
        <v>6</v>
      </c>
      <c r="T109" s="149">
        <f>IF(OR(Q109=10,Q109=50,Q109=100),O109*R109%,O109*S109%)</f>
        <v>6.0000000000000001E-3</v>
      </c>
      <c r="U109" s="146">
        <f>VLOOKUP(Q109,$G$39:$L$56,$L$57,FALSE)</f>
        <v>0.1</v>
      </c>
      <c r="V109" s="146">
        <f>O109/P109*U109</f>
        <v>1</v>
      </c>
      <c r="W109" s="149">
        <f>IF(OR(Q109=10,Q109=50,Q109=100),O109*U109%,O109*V109%)</f>
        <v>1E-3</v>
      </c>
      <c r="X109" s="149">
        <f>T109*$D$73</f>
        <v>6</v>
      </c>
      <c r="Y109" s="149">
        <f>W109*$D$73</f>
        <v>1</v>
      </c>
      <c r="AG109">
        <f>AG107+1</f>
        <v>5</v>
      </c>
      <c r="AH109">
        <v>1</v>
      </c>
    </row>
    <row r="110" spans="1:34" ht="18.600000000000001" thickBot="1" x14ac:dyDescent="0.35">
      <c r="A110" t="str">
        <f t="shared" si="107"/>
        <v>5.2</v>
      </c>
      <c r="B110" s="137">
        <f t="shared" ref="B110:B115" si="108">$B$73/$D$73</f>
        <v>1</v>
      </c>
      <c r="C110" s="141">
        <f>VLOOKUP(CONCATENATE(AH110,".",3),'Resultados - 5'!$A$10:$G$156,5,FALSE)/$D$73</f>
        <v>0.5</v>
      </c>
      <c r="D110" s="161">
        <f t="shared" ref="D110:D115" si="109">IF(C110/B110&lt;0.1,"Valor Abaixo de 10% - Não Válido",C110/B110*100)</f>
        <v>50</v>
      </c>
      <c r="E110" s="146">
        <f t="shared" ref="E110:E115" si="110">IFERROR(VLOOKUP(D110,$A$39:$F$56,$E$57,FALSE),VLOOKUP(100,$A$39:$F$56,$E$57,FALSE))</f>
        <v>1.2</v>
      </c>
      <c r="F110" s="177">
        <f t="shared" ref="F110:F115" si="111">B110/C110*E110</f>
        <v>2.4</v>
      </c>
      <c r="H110" s="149">
        <f t="shared" ref="H110:H115" si="112">IF(OR(D110=10,D110=50,D110=100),C110*E110%,C110*F110%)</f>
        <v>6.0000000000000001E-3</v>
      </c>
      <c r="I110" s="146">
        <f t="shared" ref="I110:I115" si="113">VLOOKUP(D110,$A$39:$F$56,$F$57,FALSE)</f>
        <v>0.2</v>
      </c>
      <c r="J110" s="146">
        <f t="shared" ref="J110:J115" si="114">B110/C110*I110</f>
        <v>0.4</v>
      </c>
      <c r="K110" s="149">
        <f t="shared" ref="K110:K115" si="115">IF(OR(D110=10,D110=50,D110=100),C110*I110%,C110*J110%)</f>
        <v>1E-3</v>
      </c>
      <c r="L110" s="149">
        <f t="shared" ref="L110:L115" si="116">H110*$D$73</f>
        <v>6</v>
      </c>
      <c r="M110" s="149">
        <f t="shared" ref="M110:M115" si="117">K110*$D$73</f>
        <v>1</v>
      </c>
      <c r="O110" s="137">
        <f t="shared" ref="O110:O115" si="118">B110</f>
        <v>1</v>
      </c>
      <c r="P110" s="141">
        <f t="shared" ref="P110:P115" si="119">C110</f>
        <v>0.5</v>
      </c>
      <c r="Q110" s="161">
        <f t="shared" ref="Q110:Q115" si="120">IF(P110/O110&lt;0.1,"Valor Abaixo de 10% - Não Válido",O110/O110*100)</f>
        <v>100</v>
      </c>
      <c r="R110" s="146">
        <f t="shared" ref="R110:R115" si="121">VLOOKUP(Q110,$G$39:$L$56,$K$57,FALSE)</f>
        <v>0.6</v>
      </c>
      <c r="S110" s="177">
        <f t="shared" ref="S110:S115" si="122">O110/P110*R110</f>
        <v>1.2</v>
      </c>
      <c r="T110" s="149">
        <f t="shared" ref="T110:T115" si="123">IF(OR(Q110=10,Q110=50,Q110=100),O110*R110%,O110*S110%)</f>
        <v>6.0000000000000001E-3</v>
      </c>
      <c r="U110" s="146">
        <f t="shared" ref="U110:U115" si="124">VLOOKUP(Q110,$G$39:$L$56,$L$57,FALSE)</f>
        <v>0.1</v>
      </c>
      <c r="V110" s="146">
        <f t="shared" ref="V110:V115" si="125">O110/P110*U110</f>
        <v>0.2</v>
      </c>
      <c r="W110" s="149">
        <f t="shared" ref="W110:W115" si="126">IF(OR(Q110=10,Q110=50,Q110=100),O110*U110%,O110*V110%)</f>
        <v>1E-3</v>
      </c>
      <c r="X110" s="149">
        <f t="shared" ref="X110:X115" si="127">T110*$D$73</f>
        <v>6</v>
      </c>
      <c r="Y110" s="149">
        <f t="shared" ref="Y110:Y115" si="128">W110*$D$73</f>
        <v>1</v>
      </c>
      <c r="AG110">
        <f t="shared" ref="AG110:AG115" si="129">AG109</f>
        <v>5</v>
      </c>
      <c r="AH110">
        <v>2</v>
      </c>
    </row>
    <row r="111" spans="1:34" ht="18.600000000000001" thickBot="1" x14ac:dyDescent="0.35">
      <c r="A111" t="str">
        <f t="shared" si="107"/>
        <v>5.3</v>
      </c>
      <c r="B111" s="137">
        <f t="shared" si="108"/>
        <v>1</v>
      </c>
      <c r="C111" s="141">
        <f>VLOOKUP(CONCATENATE(AH111,".",3),'Resultados - 5'!$A$10:$G$156,5,FALSE)/$D$73</f>
        <v>1</v>
      </c>
      <c r="D111" s="161">
        <f t="shared" si="109"/>
        <v>100</v>
      </c>
      <c r="E111" s="146">
        <f t="shared" si="110"/>
        <v>0.6</v>
      </c>
      <c r="F111" s="177">
        <f t="shared" si="111"/>
        <v>0.6</v>
      </c>
      <c r="H111" s="149">
        <f t="shared" si="112"/>
        <v>6.0000000000000001E-3</v>
      </c>
      <c r="I111" s="146">
        <f t="shared" si="113"/>
        <v>0.1</v>
      </c>
      <c r="J111" s="146">
        <f t="shared" si="114"/>
        <v>0.1</v>
      </c>
      <c r="K111" s="149">
        <f t="shared" si="115"/>
        <v>1E-3</v>
      </c>
      <c r="L111" s="149">
        <f t="shared" si="116"/>
        <v>6</v>
      </c>
      <c r="M111" s="149">
        <f t="shared" si="117"/>
        <v>1</v>
      </c>
      <c r="O111" s="137">
        <f t="shared" si="118"/>
        <v>1</v>
      </c>
      <c r="P111" s="141">
        <f t="shared" si="119"/>
        <v>1</v>
      </c>
      <c r="Q111" s="161">
        <f t="shared" si="120"/>
        <v>100</v>
      </c>
      <c r="R111" s="146">
        <f t="shared" si="121"/>
        <v>0.6</v>
      </c>
      <c r="S111" s="177">
        <f t="shared" si="122"/>
        <v>0.6</v>
      </c>
      <c r="T111" s="149">
        <f t="shared" si="123"/>
        <v>6.0000000000000001E-3</v>
      </c>
      <c r="U111" s="146">
        <f t="shared" si="124"/>
        <v>0.1</v>
      </c>
      <c r="V111" s="146">
        <f t="shared" si="125"/>
        <v>0.1</v>
      </c>
      <c r="W111" s="149">
        <f t="shared" si="126"/>
        <v>1E-3</v>
      </c>
      <c r="X111" s="149">
        <f t="shared" si="127"/>
        <v>6</v>
      </c>
      <c r="Y111" s="149">
        <f t="shared" si="128"/>
        <v>1</v>
      </c>
      <c r="AG111">
        <f t="shared" si="129"/>
        <v>5</v>
      </c>
      <c r="AH111">
        <v>3</v>
      </c>
    </row>
    <row r="112" spans="1:34" ht="18.600000000000001" thickBot="1" x14ac:dyDescent="0.35">
      <c r="A112" t="str">
        <f t="shared" si="107"/>
        <v>5.4</v>
      </c>
      <c r="B112" s="137">
        <f t="shared" si="108"/>
        <v>1</v>
      </c>
      <c r="C112" s="141" t="e">
        <f>VLOOKUP(CONCATENATE(AH112,".",3),'Resultados - 5'!$A$10:$G$156,5,FALSE)/$D$73</f>
        <v>#VALUE!</v>
      </c>
      <c r="D112" s="161" t="e">
        <f t="shared" si="109"/>
        <v>#VALUE!</v>
      </c>
      <c r="E112" s="146">
        <f t="shared" si="110"/>
        <v>0.6</v>
      </c>
      <c r="F112" s="177" t="e">
        <f t="shared" si="111"/>
        <v>#VALUE!</v>
      </c>
      <c r="H112" s="149" t="e">
        <f t="shared" si="112"/>
        <v>#VALUE!</v>
      </c>
      <c r="I112" s="146" t="e">
        <f t="shared" si="113"/>
        <v>#VALUE!</v>
      </c>
      <c r="J112" s="146" t="e">
        <f t="shared" si="114"/>
        <v>#VALUE!</v>
      </c>
      <c r="K112" s="149" t="e">
        <f t="shared" si="115"/>
        <v>#VALUE!</v>
      </c>
      <c r="L112" s="149" t="e">
        <f t="shared" si="116"/>
        <v>#VALUE!</v>
      </c>
      <c r="M112" s="149" t="e">
        <f t="shared" si="117"/>
        <v>#VALUE!</v>
      </c>
      <c r="O112" s="137">
        <f t="shared" si="118"/>
        <v>1</v>
      </c>
      <c r="P112" s="141" t="e">
        <f t="shared" si="119"/>
        <v>#VALUE!</v>
      </c>
      <c r="Q112" s="161" t="e">
        <f t="shared" si="120"/>
        <v>#VALUE!</v>
      </c>
      <c r="R112" s="146" t="e">
        <f t="shared" si="121"/>
        <v>#VALUE!</v>
      </c>
      <c r="S112" s="177" t="e">
        <f t="shared" si="122"/>
        <v>#VALUE!</v>
      </c>
      <c r="T112" s="149" t="e">
        <f t="shared" si="123"/>
        <v>#VALUE!</v>
      </c>
      <c r="U112" s="146" t="e">
        <f t="shared" si="124"/>
        <v>#VALUE!</v>
      </c>
      <c r="V112" s="146" t="e">
        <f t="shared" si="125"/>
        <v>#VALUE!</v>
      </c>
      <c r="W112" s="149" t="e">
        <f t="shared" si="126"/>
        <v>#VALUE!</v>
      </c>
      <c r="X112" s="149" t="e">
        <f t="shared" si="127"/>
        <v>#VALUE!</v>
      </c>
      <c r="Y112" s="149" t="e">
        <f t="shared" si="128"/>
        <v>#VALUE!</v>
      </c>
      <c r="AG112">
        <f t="shared" si="129"/>
        <v>5</v>
      </c>
      <c r="AH112">
        <v>4</v>
      </c>
    </row>
    <row r="113" spans="1:34" ht="18.600000000000001" thickBot="1" x14ac:dyDescent="0.35">
      <c r="A113" t="str">
        <f t="shared" si="107"/>
        <v>5.5</v>
      </c>
      <c r="B113" s="137">
        <f t="shared" si="108"/>
        <v>1</v>
      </c>
      <c r="C113" s="141" t="e">
        <f>VLOOKUP(CONCATENATE(AH113,".",3),'Resultados - 5'!$A$10:$G$156,5,FALSE)/$D$73</f>
        <v>#VALUE!</v>
      </c>
      <c r="D113" s="161" t="e">
        <f t="shared" si="109"/>
        <v>#VALUE!</v>
      </c>
      <c r="E113" s="146">
        <f t="shared" si="110"/>
        <v>0.6</v>
      </c>
      <c r="F113" s="177" t="e">
        <f t="shared" si="111"/>
        <v>#VALUE!</v>
      </c>
      <c r="H113" s="149" t="e">
        <f t="shared" si="112"/>
        <v>#VALUE!</v>
      </c>
      <c r="I113" s="146" t="e">
        <f t="shared" si="113"/>
        <v>#VALUE!</v>
      </c>
      <c r="J113" s="146" t="e">
        <f t="shared" si="114"/>
        <v>#VALUE!</v>
      </c>
      <c r="K113" s="149" t="e">
        <f t="shared" si="115"/>
        <v>#VALUE!</v>
      </c>
      <c r="L113" s="149" t="e">
        <f t="shared" si="116"/>
        <v>#VALUE!</v>
      </c>
      <c r="M113" s="149" t="e">
        <f t="shared" si="117"/>
        <v>#VALUE!</v>
      </c>
      <c r="O113" s="137">
        <f t="shared" si="118"/>
        <v>1</v>
      </c>
      <c r="P113" s="141" t="e">
        <f t="shared" si="119"/>
        <v>#VALUE!</v>
      </c>
      <c r="Q113" s="161" t="e">
        <f t="shared" si="120"/>
        <v>#VALUE!</v>
      </c>
      <c r="R113" s="146" t="e">
        <f t="shared" si="121"/>
        <v>#VALUE!</v>
      </c>
      <c r="S113" s="177" t="e">
        <f t="shared" si="122"/>
        <v>#VALUE!</v>
      </c>
      <c r="T113" s="149" t="e">
        <f t="shared" si="123"/>
        <v>#VALUE!</v>
      </c>
      <c r="U113" s="146" t="e">
        <f t="shared" si="124"/>
        <v>#VALUE!</v>
      </c>
      <c r="V113" s="146" t="e">
        <f t="shared" si="125"/>
        <v>#VALUE!</v>
      </c>
      <c r="W113" s="149" t="e">
        <f t="shared" si="126"/>
        <v>#VALUE!</v>
      </c>
      <c r="X113" s="149" t="e">
        <f t="shared" si="127"/>
        <v>#VALUE!</v>
      </c>
      <c r="Y113" s="149" t="e">
        <f t="shared" si="128"/>
        <v>#VALUE!</v>
      </c>
      <c r="AG113">
        <f t="shared" si="129"/>
        <v>5</v>
      </c>
      <c r="AH113">
        <v>5</v>
      </c>
    </row>
    <row r="114" spans="1:34" ht="18.600000000000001" thickBot="1" x14ac:dyDescent="0.35">
      <c r="A114" t="str">
        <f t="shared" si="107"/>
        <v>5.6</v>
      </c>
      <c r="B114" s="137">
        <f t="shared" si="108"/>
        <v>1</v>
      </c>
      <c r="C114" s="141" t="e">
        <f>VLOOKUP(CONCATENATE(AH114,".",3),'Resultados - 5'!$A$10:$G$156,5,FALSE)/$D$73</f>
        <v>#VALUE!</v>
      </c>
      <c r="D114" s="161" t="e">
        <f t="shared" si="109"/>
        <v>#VALUE!</v>
      </c>
      <c r="E114" s="146">
        <f t="shared" si="110"/>
        <v>0.6</v>
      </c>
      <c r="F114" s="177" t="e">
        <f t="shared" si="111"/>
        <v>#VALUE!</v>
      </c>
      <c r="H114" s="149" t="e">
        <f t="shared" si="112"/>
        <v>#VALUE!</v>
      </c>
      <c r="I114" s="146" t="e">
        <f t="shared" si="113"/>
        <v>#VALUE!</v>
      </c>
      <c r="J114" s="146" t="e">
        <f t="shared" si="114"/>
        <v>#VALUE!</v>
      </c>
      <c r="K114" s="149" t="e">
        <f t="shared" si="115"/>
        <v>#VALUE!</v>
      </c>
      <c r="L114" s="149" t="e">
        <f t="shared" si="116"/>
        <v>#VALUE!</v>
      </c>
      <c r="M114" s="149" t="e">
        <f t="shared" si="117"/>
        <v>#VALUE!</v>
      </c>
      <c r="O114" s="137">
        <f t="shared" si="118"/>
        <v>1</v>
      </c>
      <c r="P114" s="141" t="e">
        <f t="shared" si="119"/>
        <v>#VALUE!</v>
      </c>
      <c r="Q114" s="161" t="e">
        <f t="shared" si="120"/>
        <v>#VALUE!</v>
      </c>
      <c r="R114" s="146" t="e">
        <f t="shared" si="121"/>
        <v>#VALUE!</v>
      </c>
      <c r="S114" s="177" t="e">
        <f t="shared" si="122"/>
        <v>#VALUE!</v>
      </c>
      <c r="T114" s="149" t="e">
        <f t="shared" si="123"/>
        <v>#VALUE!</v>
      </c>
      <c r="U114" s="146" t="e">
        <f t="shared" si="124"/>
        <v>#VALUE!</v>
      </c>
      <c r="V114" s="146" t="e">
        <f t="shared" si="125"/>
        <v>#VALUE!</v>
      </c>
      <c r="W114" s="149" t="e">
        <f t="shared" si="126"/>
        <v>#VALUE!</v>
      </c>
      <c r="X114" s="149" t="e">
        <f t="shared" si="127"/>
        <v>#VALUE!</v>
      </c>
      <c r="Y114" s="149" t="e">
        <f t="shared" si="128"/>
        <v>#VALUE!</v>
      </c>
      <c r="AG114">
        <f t="shared" si="129"/>
        <v>5</v>
      </c>
      <c r="AH114">
        <v>6</v>
      </c>
    </row>
    <row r="115" spans="1:34" ht="18.600000000000001" thickBot="1" x14ac:dyDescent="0.35">
      <c r="A115" t="str">
        <f t="shared" si="107"/>
        <v>5.7</v>
      </c>
      <c r="B115" s="137">
        <f t="shared" si="108"/>
        <v>1</v>
      </c>
      <c r="C115" s="141" t="e">
        <f>VLOOKUP(CONCATENATE(AH115,".",3),'Resultados - 5'!$A$10:$G$156,5,FALSE)/$D$73</f>
        <v>#VALUE!</v>
      </c>
      <c r="D115" s="161" t="e">
        <f t="shared" si="109"/>
        <v>#VALUE!</v>
      </c>
      <c r="E115" s="146">
        <f t="shared" si="110"/>
        <v>0.6</v>
      </c>
      <c r="F115" s="177" t="e">
        <f t="shared" si="111"/>
        <v>#VALUE!</v>
      </c>
      <c r="H115" s="149" t="e">
        <f t="shared" si="112"/>
        <v>#VALUE!</v>
      </c>
      <c r="I115" s="146" t="e">
        <f t="shared" si="113"/>
        <v>#VALUE!</v>
      </c>
      <c r="J115" s="146" t="e">
        <f t="shared" si="114"/>
        <v>#VALUE!</v>
      </c>
      <c r="K115" s="149" t="e">
        <f t="shared" si="115"/>
        <v>#VALUE!</v>
      </c>
      <c r="L115" s="149" t="e">
        <f t="shared" si="116"/>
        <v>#VALUE!</v>
      </c>
      <c r="M115" s="149" t="e">
        <f t="shared" si="117"/>
        <v>#VALUE!</v>
      </c>
      <c r="O115" s="137">
        <f t="shared" si="118"/>
        <v>1</v>
      </c>
      <c r="P115" s="141" t="e">
        <f t="shared" si="119"/>
        <v>#VALUE!</v>
      </c>
      <c r="Q115" s="161" t="e">
        <f t="shared" si="120"/>
        <v>#VALUE!</v>
      </c>
      <c r="R115" s="146" t="e">
        <f t="shared" si="121"/>
        <v>#VALUE!</v>
      </c>
      <c r="S115" s="177" t="e">
        <f t="shared" si="122"/>
        <v>#VALUE!</v>
      </c>
      <c r="T115" s="149" t="e">
        <f t="shared" si="123"/>
        <v>#VALUE!</v>
      </c>
      <c r="U115" s="146" t="e">
        <f t="shared" si="124"/>
        <v>#VALUE!</v>
      </c>
      <c r="V115" s="146" t="e">
        <f t="shared" si="125"/>
        <v>#VALUE!</v>
      </c>
      <c r="W115" s="149" t="e">
        <f t="shared" si="126"/>
        <v>#VALUE!</v>
      </c>
      <c r="X115" s="149" t="e">
        <f t="shared" si="127"/>
        <v>#VALUE!</v>
      </c>
      <c r="Y115" s="149" t="e">
        <f t="shared" si="128"/>
        <v>#VALUE!</v>
      </c>
      <c r="AG115">
        <f t="shared" si="129"/>
        <v>5</v>
      </c>
      <c r="AH115">
        <v>7</v>
      </c>
    </row>
    <row r="116" spans="1:34" ht="18.600000000000001" thickBot="1" x14ac:dyDescent="0.35">
      <c r="A116" s="182"/>
      <c r="B116" s="183"/>
      <c r="C116" s="184"/>
      <c r="D116" s="185"/>
      <c r="E116" s="186"/>
      <c r="F116" s="186"/>
      <c r="G116" s="187"/>
      <c r="H116" s="188"/>
      <c r="I116" s="186"/>
      <c r="J116" s="186"/>
      <c r="K116" s="188"/>
      <c r="L116" s="188"/>
      <c r="M116" s="188"/>
      <c r="N116" s="182"/>
      <c r="O116" s="183"/>
      <c r="P116" s="184"/>
      <c r="Q116" s="185"/>
      <c r="R116" s="186"/>
      <c r="S116" s="186"/>
      <c r="T116" s="188"/>
      <c r="U116" s="186"/>
      <c r="V116" s="186"/>
      <c r="W116" s="188"/>
      <c r="X116" s="188"/>
      <c r="Y116" s="188"/>
    </row>
    <row r="117" spans="1:34" ht="18.600000000000001" thickBot="1" x14ac:dyDescent="0.35">
      <c r="A117" t="str">
        <f t="shared" ref="A117:A123" si="130">CONCATENATE(AG117,".",AH117)</f>
        <v>6.1</v>
      </c>
      <c r="B117" s="137">
        <f>$B$73/$D$73</f>
        <v>1</v>
      </c>
      <c r="C117" s="141">
        <f>VLOOKUP(CONCATENATE(AH117,".",3),'Resultados - 6'!$A$10:$G$156,5,FALSE)/$D$73</f>
        <v>0.1</v>
      </c>
      <c r="D117" s="161">
        <f>IF(C117/B117&lt;0.1,"Valor Abaixo de 10% - Não Válido",C117/B117*100)</f>
        <v>10</v>
      </c>
      <c r="E117" s="146">
        <f>IFERROR(VLOOKUP(D117,$A$39:$F$56,$E$57,FALSE),VLOOKUP(100,$A$39:$F$56,$E$57,FALSE))</f>
        <v>6</v>
      </c>
      <c r="F117" s="177">
        <f>B117/C117*E117</f>
        <v>60</v>
      </c>
      <c r="H117" s="149">
        <f>IF(OR(D117=10,D117=50,D117=100),C117*E117%,C117*F117%)</f>
        <v>6.0000000000000001E-3</v>
      </c>
      <c r="I117" s="146">
        <f>VLOOKUP(D117,$A$39:$F$56,$F$57,FALSE)</f>
        <v>1</v>
      </c>
      <c r="J117" s="146">
        <f>B117/C117*I117</f>
        <v>10</v>
      </c>
      <c r="K117" s="149">
        <f>IF(OR(D117=10,D117=50,D117=100),C117*I117%,C117*J117%)</f>
        <v>1E-3</v>
      </c>
      <c r="L117" s="149">
        <f>H117*$D$73</f>
        <v>6</v>
      </c>
      <c r="M117" s="149">
        <f>K117*$D$73</f>
        <v>1</v>
      </c>
      <c r="O117" s="137">
        <f>B117</f>
        <v>1</v>
      </c>
      <c r="P117" s="141">
        <f>C117</f>
        <v>0.1</v>
      </c>
      <c r="Q117" s="161">
        <f>IF(P117/O117&lt;0.1,"Valor Abaixo de 10% - Não Válido",O117/O117*100)</f>
        <v>100</v>
      </c>
      <c r="R117" s="146">
        <f>VLOOKUP(Q117,$G$39:$L$56,$K$57,FALSE)</f>
        <v>0.6</v>
      </c>
      <c r="S117" s="177">
        <f>O117/P117*R117</f>
        <v>6</v>
      </c>
      <c r="T117" s="149">
        <f>IF(OR(Q117=10,Q117=50,Q117=100),O117*R117%,O117*S117%)</f>
        <v>6.0000000000000001E-3</v>
      </c>
      <c r="U117" s="146">
        <f>VLOOKUP(Q117,$G$39:$L$56,$L$57,FALSE)</f>
        <v>0.1</v>
      </c>
      <c r="V117" s="146">
        <f>O117/P117*U117</f>
        <v>1</v>
      </c>
      <c r="W117" s="149">
        <f>IF(OR(Q117=10,Q117=50,Q117=100),O117*U117%,O117*V117%)</f>
        <v>1E-3</v>
      </c>
      <c r="X117" s="149">
        <f>T117*$D$73</f>
        <v>6</v>
      </c>
      <c r="Y117" s="149">
        <f>W117*$D$73</f>
        <v>1</v>
      </c>
      <c r="AG117">
        <f>AG115+1</f>
        <v>6</v>
      </c>
      <c r="AH117">
        <v>1</v>
      </c>
    </row>
    <row r="118" spans="1:34" ht="18.600000000000001" thickBot="1" x14ac:dyDescent="0.35">
      <c r="A118" t="str">
        <f t="shared" si="130"/>
        <v>6.2</v>
      </c>
      <c r="B118" s="137">
        <f t="shared" ref="B118:B123" si="131">$B$73/$D$73</f>
        <v>1</v>
      </c>
      <c r="C118" s="141">
        <f>VLOOKUP(CONCATENATE(AH118,".",3),'Resultados - 6'!$A$10:$G$156,5,FALSE)/$D$73</f>
        <v>0.5</v>
      </c>
      <c r="D118" s="161">
        <f t="shared" ref="D118:D123" si="132">IF(C118/B118&lt;0.1,"Valor Abaixo de 10% - Não Válido",C118/B118*100)</f>
        <v>50</v>
      </c>
      <c r="E118" s="146">
        <f t="shared" ref="E118:E123" si="133">IFERROR(VLOOKUP(D118,$A$39:$F$56,$E$57,FALSE),VLOOKUP(100,$A$39:$F$56,$E$57,FALSE))</f>
        <v>1.2</v>
      </c>
      <c r="F118" s="177">
        <f t="shared" ref="F118:F123" si="134">B118/C118*E118</f>
        <v>2.4</v>
      </c>
      <c r="H118" s="149">
        <f t="shared" ref="H118:H123" si="135">IF(OR(D118=10,D118=50,D118=100),C118*E118%,C118*F118%)</f>
        <v>6.0000000000000001E-3</v>
      </c>
      <c r="I118" s="146">
        <f t="shared" ref="I118:I123" si="136">VLOOKUP(D118,$A$39:$F$56,$F$57,FALSE)</f>
        <v>0.2</v>
      </c>
      <c r="J118" s="146">
        <f t="shared" ref="J118:J123" si="137">B118/C118*I118</f>
        <v>0.4</v>
      </c>
      <c r="K118" s="149">
        <f t="shared" ref="K118:K123" si="138">IF(OR(D118=10,D118=50,D118=100),C118*I118%,C118*J118%)</f>
        <v>1E-3</v>
      </c>
      <c r="L118" s="149">
        <f t="shared" ref="L118:L123" si="139">H118*$D$73</f>
        <v>6</v>
      </c>
      <c r="M118" s="149">
        <f t="shared" ref="M118:M123" si="140">K118*$D$73</f>
        <v>1</v>
      </c>
      <c r="O118" s="137">
        <f t="shared" ref="O118:O123" si="141">B118</f>
        <v>1</v>
      </c>
      <c r="P118" s="141">
        <f t="shared" ref="P118:P123" si="142">C118</f>
        <v>0.5</v>
      </c>
      <c r="Q118" s="161">
        <f t="shared" ref="Q118:Q123" si="143">IF(P118/O118&lt;0.1,"Valor Abaixo de 10% - Não Válido",O118/O118*100)</f>
        <v>100</v>
      </c>
      <c r="R118" s="146">
        <f t="shared" ref="R118:R123" si="144">VLOOKUP(Q118,$G$39:$L$56,$K$57,FALSE)</f>
        <v>0.6</v>
      </c>
      <c r="S118" s="177">
        <f t="shared" ref="S118:S123" si="145">O118/P118*R118</f>
        <v>1.2</v>
      </c>
      <c r="T118" s="149">
        <f t="shared" ref="T118:T123" si="146">IF(OR(Q118=10,Q118=50,Q118=100),O118*R118%,O118*S118%)</f>
        <v>6.0000000000000001E-3</v>
      </c>
      <c r="U118" s="146">
        <f t="shared" ref="U118:U123" si="147">VLOOKUP(Q118,$G$39:$L$56,$L$57,FALSE)</f>
        <v>0.1</v>
      </c>
      <c r="V118" s="146">
        <f t="shared" ref="V118:V123" si="148">O118/P118*U118</f>
        <v>0.2</v>
      </c>
      <c r="W118" s="149">
        <f t="shared" ref="W118:W123" si="149">IF(OR(Q118=10,Q118=50,Q118=100),O118*U118%,O118*V118%)</f>
        <v>1E-3</v>
      </c>
      <c r="X118" s="149">
        <f t="shared" ref="X118:X123" si="150">T118*$D$73</f>
        <v>6</v>
      </c>
      <c r="Y118" s="149">
        <f t="shared" ref="Y118:Y123" si="151">W118*$D$73</f>
        <v>1</v>
      </c>
      <c r="AG118">
        <f t="shared" ref="AG118:AG123" si="152">AG117</f>
        <v>6</v>
      </c>
      <c r="AH118">
        <v>2</v>
      </c>
    </row>
    <row r="119" spans="1:34" ht="18.600000000000001" thickBot="1" x14ac:dyDescent="0.35">
      <c r="A119" t="str">
        <f t="shared" si="130"/>
        <v>6.3</v>
      </c>
      <c r="B119" s="137">
        <f t="shared" si="131"/>
        <v>1</v>
      </c>
      <c r="C119" s="141">
        <f>VLOOKUP(CONCATENATE(AH119,".",3),'Resultados - 6'!$A$10:$G$156,5,FALSE)/$D$73</f>
        <v>1</v>
      </c>
      <c r="D119" s="161">
        <f t="shared" si="132"/>
        <v>100</v>
      </c>
      <c r="E119" s="146">
        <f t="shared" si="133"/>
        <v>0.6</v>
      </c>
      <c r="F119" s="177">
        <f t="shared" si="134"/>
        <v>0.6</v>
      </c>
      <c r="H119" s="149">
        <f t="shared" si="135"/>
        <v>6.0000000000000001E-3</v>
      </c>
      <c r="I119" s="146">
        <f t="shared" si="136"/>
        <v>0.1</v>
      </c>
      <c r="J119" s="146">
        <f t="shared" si="137"/>
        <v>0.1</v>
      </c>
      <c r="K119" s="149">
        <f t="shared" si="138"/>
        <v>1E-3</v>
      </c>
      <c r="L119" s="149">
        <f t="shared" si="139"/>
        <v>6</v>
      </c>
      <c r="M119" s="149">
        <f t="shared" si="140"/>
        <v>1</v>
      </c>
      <c r="O119" s="137">
        <f t="shared" si="141"/>
        <v>1</v>
      </c>
      <c r="P119" s="141">
        <f t="shared" si="142"/>
        <v>1</v>
      </c>
      <c r="Q119" s="161">
        <f t="shared" si="143"/>
        <v>100</v>
      </c>
      <c r="R119" s="146">
        <f t="shared" si="144"/>
        <v>0.6</v>
      </c>
      <c r="S119" s="177">
        <f t="shared" si="145"/>
        <v>0.6</v>
      </c>
      <c r="T119" s="149">
        <f t="shared" si="146"/>
        <v>6.0000000000000001E-3</v>
      </c>
      <c r="U119" s="146">
        <f t="shared" si="147"/>
        <v>0.1</v>
      </c>
      <c r="V119" s="146">
        <f t="shared" si="148"/>
        <v>0.1</v>
      </c>
      <c r="W119" s="149">
        <f t="shared" si="149"/>
        <v>1E-3</v>
      </c>
      <c r="X119" s="149">
        <f t="shared" si="150"/>
        <v>6</v>
      </c>
      <c r="Y119" s="149">
        <f t="shared" si="151"/>
        <v>1</v>
      </c>
      <c r="AG119">
        <f t="shared" si="152"/>
        <v>6</v>
      </c>
      <c r="AH119">
        <v>3</v>
      </c>
    </row>
    <row r="120" spans="1:34" ht="18.600000000000001" thickBot="1" x14ac:dyDescent="0.35">
      <c r="A120" t="str">
        <f t="shared" si="130"/>
        <v>6.4</v>
      </c>
      <c r="B120" s="137">
        <f t="shared" si="131"/>
        <v>1</v>
      </c>
      <c r="C120" s="141" t="e">
        <f>VLOOKUP(CONCATENATE(AH120,".",3),'Resultados - 6'!$A$10:$G$156,5,FALSE)/$D$73</f>
        <v>#VALUE!</v>
      </c>
      <c r="D120" s="161" t="e">
        <f t="shared" si="132"/>
        <v>#VALUE!</v>
      </c>
      <c r="E120" s="146">
        <f t="shared" si="133"/>
        <v>0.6</v>
      </c>
      <c r="F120" s="177" t="e">
        <f t="shared" si="134"/>
        <v>#VALUE!</v>
      </c>
      <c r="H120" s="149" t="e">
        <f t="shared" si="135"/>
        <v>#VALUE!</v>
      </c>
      <c r="I120" s="146" t="e">
        <f t="shared" si="136"/>
        <v>#VALUE!</v>
      </c>
      <c r="J120" s="146" t="e">
        <f t="shared" si="137"/>
        <v>#VALUE!</v>
      </c>
      <c r="K120" s="149" t="e">
        <f t="shared" si="138"/>
        <v>#VALUE!</v>
      </c>
      <c r="L120" s="149" t="e">
        <f t="shared" si="139"/>
        <v>#VALUE!</v>
      </c>
      <c r="M120" s="149" t="e">
        <f t="shared" si="140"/>
        <v>#VALUE!</v>
      </c>
      <c r="O120" s="137">
        <f t="shared" si="141"/>
        <v>1</v>
      </c>
      <c r="P120" s="141" t="e">
        <f t="shared" si="142"/>
        <v>#VALUE!</v>
      </c>
      <c r="Q120" s="161" t="e">
        <f t="shared" si="143"/>
        <v>#VALUE!</v>
      </c>
      <c r="R120" s="146" t="e">
        <f t="shared" si="144"/>
        <v>#VALUE!</v>
      </c>
      <c r="S120" s="177" t="e">
        <f t="shared" si="145"/>
        <v>#VALUE!</v>
      </c>
      <c r="T120" s="149" t="e">
        <f t="shared" si="146"/>
        <v>#VALUE!</v>
      </c>
      <c r="U120" s="146" t="e">
        <f t="shared" si="147"/>
        <v>#VALUE!</v>
      </c>
      <c r="V120" s="146" t="e">
        <f t="shared" si="148"/>
        <v>#VALUE!</v>
      </c>
      <c r="W120" s="149" t="e">
        <f t="shared" si="149"/>
        <v>#VALUE!</v>
      </c>
      <c r="X120" s="149" t="e">
        <f t="shared" si="150"/>
        <v>#VALUE!</v>
      </c>
      <c r="Y120" s="149" t="e">
        <f t="shared" si="151"/>
        <v>#VALUE!</v>
      </c>
      <c r="AG120">
        <f t="shared" si="152"/>
        <v>6</v>
      </c>
      <c r="AH120">
        <v>4</v>
      </c>
    </row>
    <row r="121" spans="1:34" ht="18.600000000000001" thickBot="1" x14ac:dyDescent="0.35">
      <c r="A121" t="str">
        <f t="shared" si="130"/>
        <v>6.5</v>
      </c>
      <c r="B121" s="137">
        <f t="shared" si="131"/>
        <v>1</v>
      </c>
      <c r="C121" s="141" t="e">
        <f>VLOOKUP(CONCATENATE(AH121,".",3),'Resultados - 6'!$A$10:$G$156,5,FALSE)/$D$73</f>
        <v>#VALUE!</v>
      </c>
      <c r="D121" s="161" t="e">
        <f t="shared" si="132"/>
        <v>#VALUE!</v>
      </c>
      <c r="E121" s="146">
        <f t="shared" si="133"/>
        <v>0.6</v>
      </c>
      <c r="F121" s="177" t="e">
        <f t="shared" si="134"/>
        <v>#VALUE!</v>
      </c>
      <c r="H121" s="149" t="e">
        <f t="shared" si="135"/>
        <v>#VALUE!</v>
      </c>
      <c r="I121" s="146" t="e">
        <f t="shared" si="136"/>
        <v>#VALUE!</v>
      </c>
      <c r="J121" s="146" t="e">
        <f t="shared" si="137"/>
        <v>#VALUE!</v>
      </c>
      <c r="K121" s="149" t="e">
        <f t="shared" si="138"/>
        <v>#VALUE!</v>
      </c>
      <c r="L121" s="149" t="e">
        <f t="shared" si="139"/>
        <v>#VALUE!</v>
      </c>
      <c r="M121" s="149" t="e">
        <f t="shared" si="140"/>
        <v>#VALUE!</v>
      </c>
      <c r="O121" s="137">
        <f t="shared" si="141"/>
        <v>1</v>
      </c>
      <c r="P121" s="141" t="e">
        <f t="shared" si="142"/>
        <v>#VALUE!</v>
      </c>
      <c r="Q121" s="161" t="e">
        <f t="shared" si="143"/>
        <v>#VALUE!</v>
      </c>
      <c r="R121" s="146" t="e">
        <f t="shared" si="144"/>
        <v>#VALUE!</v>
      </c>
      <c r="S121" s="177" t="e">
        <f t="shared" si="145"/>
        <v>#VALUE!</v>
      </c>
      <c r="T121" s="149" t="e">
        <f t="shared" si="146"/>
        <v>#VALUE!</v>
      </c>
      <c r="U121" s="146" t="e">
        <f t="shared" si="147"/>
        <v>#VALUE!</v>
      </c>
      <c r="V121" s="146" t="e">
        <f t="shared" si="148"/>
        <v>#VALUE!</v>
      </c>
      <c r="W121" s="149" t="e">
        <f t="shared" si="149"/>
        <v>#VALUE!</v>
      </c>
      <c r="X121" s="149" t="e">
        <f t="shared" si="150"/>
        <v>#VALUE!</v>
      </c>
      <c r="Y121" s="149" t="e">
        <f t="shared" si="151"/>
        <v>#VALUE!</v>
      </c>
      <c r="AG121">
        <f t="shared" si="152"/>
        <v>6</v>
      </c>
      <c r="AH121">
        <v>5</v>
      </c>
    </row>
    <row r="122" spans="1:34" ht="18.600000000000001" thickBot="1" x14ac:dyDescent="0.35">
      <c r="A122" t="str">
        <f t="shared" si="130"/>
        <v>6.6</v>
      </c>
      <c r="B122" s="137">
        <f t="shared" si="131"/>
        <v>1</v>
      </c>
      <c r="C122" s="141" t="e">
        <f>VLOOKUP(CONCATENATE(AH122,".",3),'Resultados - 6'!$A$10:$G$156,5,FALSE)/$D$73</f>
        <v>#VALUE!</v>
      </c>
      <c r="D122" s="161" t="e">
        <f t="shared" si="132"/>
        <v>#VALUE!</v>
      </c>
      <c r="E122" s="146">
        <f t="shared" si="133"/>
        <v>0.6</v>
      </c>
      <c r="F122" s="177" t="e">
        <f t="shared" si="134"/>
        <v>#VALUE!</v>
      </c>
      <c r="H122" s="149" t="e">
        <f t="shared" si="135"/>
        <v>#VALUE!</v>
      </c>
      <c r="I122" s="146" t="e">
        <f t="shared" si="136"/>
        <v>#VALUE!</v>
      </c>
      <c r="J122" s="146" t="e">
        <f t="shared" si="137"/>
        <v>#VALUE!</v>
      </c>
      <c r="K122" s="149" t="e">
        <f t="shared" si="138"/>
        <v>#VALUE!</v>
      </c>
      <c r="L122" s="149" t="e">
        <f t="shared" si="139"/>
        <v>#VALUE!</v>
      </c>
      <c r="M122" s="149" t="e">
        <f t="shared" si="140"/>
        <v>#VALUE!</v>
      </c>
      <c r="O122" s="137">
        <f t="shared" si="141"/>
        <v>1</v>
      </c>
      <c r="P122" s="141" t="e">
        <f t="shared" si="142"/>
        <v>#VALUE!</v>
      </c>
      <c r="Q122" s="161" t="e">
        <f t="shared" si="143"/>
        <v>#VALUE!</v>
      </c>
      <c r="R122" s="146" t="e">
        <f t="shared" si="144"/>
        <v>#VALUE!</v>
      </c>
      <c r="S122" s="177" t="e">
        <f t="shared" si="145"/>
        <v>#VALUE!</v>
      </c>
      <c r="T122" s="149" t="e">
        <f t="shared" si="146"/>
        <v>#VALUE!</v>
      </c>
      <c r="U122" s="146" t="e">
        <f t="shared" si="147"/>
        <v>#VALUE!</v>
      </c>
      <c r="V122" s="146" t="e">
        <f t="shared" si="148"/>
        <v>#VALUE!</v>
      </c>
      <c r="W122" s="149" t="e">
        <f t="shared" si="149"/>
        <v>#VALUE!</v>
      </c>
      <c r="X122" s="149" t="e">
        <f t="shared" si="150"/>
        <v>#VALUE!</v>
      </c>
      <c r="Y122" s="149" t="e">
        <f t="shared" si="151"/>
        <v>#VALUE!</v>
      </c>
      <c r="AG122">
        <f t="shared" si="152"/>
        <v>6</v>
      </c>
      <c r="AH122">
        <v>6</v>
      </c>
    </row>
    <row r="123" spans="1:34" ht="18.600000000000001" thickBot="1" x14ac:dyDescent="0.35">
      <c r="A123" t="str">
        <f t="shared" si="130"/>
        <v>6.7</v>
      </c>
      <c r="B123" s="137">
        <f t="shared" si="131"/>
        <v>1</v>
      </c>
      <c r="C123" s="141" t="e">
        <f>VLOOKUP(CONCATENATE(AH123,".",3),'Resultados - 6'!$A$10:$G$156,5,FALSE)/$D$73</f>
        <v>#VALUE!</v>
      </c>
      <c r="D123" s="161" t="e">
        <f t="shared" si="132"/>
        <v>#VALUE!</v>
      </c>
      <c r="E123" s="146">
        <f t="shared" si="133"/>
        <v>0.6</v>
      </c>
      <c r="F123" s="177" t="e">
        <f t="shared" si="134"/>
        <v>#VALUE!</v>
      </c>
      <c r="H123" s="149" t="e">
        <f t="shared" si="135"/>
        <v>#VALUE!</v>
      </c>
      <c r="I123" s="146" t="e">
        <f t="shared" si="136"/>
        <v>#VALUE!</v>
      </c>
      <c r="J123" s="146" t="e">
        <f t="shared" si="137"/>
        <v>#VALUE!</v>
      </c>
      <c r="K123" s="149" t="e">
        <f t="shared" si="138"/>
        <v>#VALUE!</v>
      </c>
      <c r="L123" s="149" t="e">
        <f t="shared" si="139"/>
        <v>#VALUE!</v>
      </c>
      <c r="M123" s="149" t="e">
        <f t="shared" si="140"/>
        <v>#VALUE!</v>
      </c>
      <c r="O123" s="137">
        <f t="shared" si="141"/>
        <v>1</v>
      </c>
      <c r="P123" s="141" t="e">
        <f t="shared" si="142"/>
        <v>#VALUE!</v>
      </c>
      <c r="Q123" s="161" t="e">
        <f t="shared" si="143"/>
        <v>#VALUE!</v>
      </c>
      <c r="R123" s="146" t="e">
        <f t="shared" si="144"/>
        <v>#VALUE!</v>
      </c>
      <c r="S123" s="177" t="e">
        <f t="shared" si="145"/>
        <v>#VALUE!</v>
      </c>
      <c r="T123" s="149" t="e">
        <f t="shared" si="146"/>
        <v>#VALUE!</v>
      </c>
      <c r="U123" s="146" t="e">
        <f t="shared" si="147"/>
        <v>#VALUE!</v>
      </c>
      <c r="V123" s="146" t="e">
        <f t="shared" si="148"/>
        <v>#VALUE!</v>
      </c>
      <c r="W123" s="149" t="e">
        <f t="shared" si="149"/>
        <v>#VALUE!</v>
      </c>
      <c r="X123" s="149" t="e">
        <f t="shared" si="150"/>
        <v>#VALUE!</v>
      </c>
      <c r="Y123" s="149" t="e">
        <f t="shared" si="151"/>
        <v>#VALUE!</v>
      </c>
      <c r="AG123">
        <f t="shared" si="152"/>
        <v>6</v>
      </c>
      <c r="AH123">
        <v>7</v>
      </c>
    </row>
    <row r="124" spans="1:34" ht="18.600000000000001" thickBot="1" x14ac:dyDescent="0.35">
      <c r="A124" s="182"/>
      <c r="B124" s="183"/>
      <c r="C124" s="184"/>
      <c r="D124" s="185"/>
      <c r="E124" s="186"/>
      <c r="F124" s="186"/>
      <c r="G124" s="187"/>
      <c r="H124" s="188"/>
      <c r="I124" s="186"/>
      <c r="J124" s="186"/>
      <c r="K124" s="188"/>
      <c r="L124" s="188"/>
      <c r="M124" s="188"/>
      <c r="N124" s="182"/>
      <c r="O124" s="183"/>
      <c r="P124" s="184"/>
      <c r="Q124" s="185"/>
      <c r="R124" s="186"/>
      <c r="S124" s="186"/>
      <c r="T124" s="188"/>
      <c r="U124" s="186"/>
      <c r="V124" s="186"/>
      <c r="W124" s="188"/>
      <c r="X124" s="188"/>
      <c r="Y124" s="188"/>
    </row>
    <row r="125" spans="1:34" ht="18.600000000000001" thickBot="1" x14ac:dyDescent="0.35">
      <c r="A125" t="str">
        <f t="shared" ref="A125:A131" si="153">CONCATENATE(AG125,".",AH125)</f>
        <v>7.1</v>
      </c>
      <c r="B125" s="137">
        <f>$B$73/$D$73</f>
        <v>1</v>
      </c>
      <c r="C125" s="141">
        <f>VLOOKUP(CONCATENATE(AH125,".",3),'Resultados - 7'!$A$10:$G$156,5,FALSE)/$D$73</f>
        <v>0.1</v>
      </c>
      <c r="D125" s="161">
        <f>IF(C125/B125&lt;0.1,"Valor Abaixo de 10% - Não Válido",C125/B125*100)</f>
        <v>10</v>
      </c>
      <c r="E125" s="146">
        <f>IFERROR(VLOOKUP(D125,$A$39:$F$56,$E$57,FALSE),VLOOKUP(100,$A$39:$F$56,$E$57,FALSE))</f>
        <v>6</v>
      </c>
      <c r="F125" s="177">
        <f>B125/C125*E125</f>
        <v>60</v>
      </c>
      <c r="H125" s="149">
        <f>IF(OR(D125=10,D125=50,D125=100),C125*E125%,C125*F125%)</f>
        <v>6.0000000000000001E-3</v>
      </c>
      <c r="I125" s="146">
        <f>VLOOKUP(D125,$A$39:$F$56,$F$57,FALSE)</f>
        <v>1</v>
      </c>
      <c r="J125" s="146">
        <f>B125/C125*I125</f>
        <v>10</v>
      </c>
      <c r="K125" s="149">
        <f>IF(OR(D125=10,D125=50,D125=100),C125*I125%,C125*J125%)</f>
        <v>1E-3</v>
      </c>
      <c r="L125" s="149">
        <f>H125*$D$73</f>
        <v>6</v>
      </c>
      <c r="M125" s="149">
        <f>K125*$D$73</f>
        <v>1</v>
      </c>
      <c r="O125" s="137">
        <f>B125</f>
        <v>1</v>
      </c>
      <c r="P125" s="141">
        <f>C125</f>
        <v>0.1</v>
      </c>
      <c r="Q125" s="161">
        <f>IF(P125/O125&lt;0.1,"Valor Abaixo de 10% - Não Válido",O125/O125*100)</f>
        <v>100</v>
      </c>
      <c r="R125" s="146">
        <f>VLOOKUP(Q125,$G$39:$L$56,$K$57,FALSE)</f>
        <v>0.6</v>
      </c>
      <c r="S125" s="177">
        <f>O125/P125*R125</f>
        <v>6</v>
      </c>
      <c r="T125" s="149">
        <f>IF(OR(Q125=10,Q125=50,Q125=100),O125*R125%,O125*S125%)</f>
        <v>6.0000000000000001E-3</v>
      </c>
      <c r="U125" s="146">
        <f>VLOOKUP(Q125,$G$39:$L$56,$L$57,FALSE)</f>
        <v>0.1</v>
      </c>
      <c r="V125" s="146">
        <f>O125/P125*U125</f>
        <v>1</v>
      </c>
      <c r="W125" s="149">
        <f>IF(OR(Q125=10,Q125=50,Q125=100),O125*U125%,O125*V125%)</f>
        <v>1E-3</v>
      </c>
      <c r="X125" s="149">
        <f>T125*$D$73</f>
        <v>6</v>
      </c>
      <c r="Y125" s="149">
        <f>W125*$D$73</f>
        <v>1</v>
      </c>
      <c r="AG125">
        <f t="shared" ref="AG125" si="154">AG123+1</f>
        <v>7</v>
      </c>
      <c r="AH125">
        <v>1</v>
      </c>
    </row>
    <row r="126" spans="1:34" ht="18.600000000000001" thickBot="1" x14ac:dyDescent="0.35">
      <c r="A126" t="str">
        <f t="shared" si="153"/>
        <v>7.2</v>
      </c>
      <c r="B126" s="137">
        <f t="shared" ref="B126:B131" si="155">$B$73/$D$73</f>
        <v>1</v>
      </c>
      <c r="C126" s="141">
        <f>VLOOKUP(CONCATENATE(AH126,".",3),'Resultados - 7'!$A$10:$G$156,5,FALSE)/$D$73</f>
        <v>0.5</v>
      </c>
      <c r="D126" s="161">
        <f t="shared" ref="D126:D131" si="156">IF(C126/B126&lt;0.1,"Valor Abaixo de 10% - Não Válido",C126/B126*100)</f>
        <v>50</v>
      </c>
      <c r="E126" s="146">
        <f t="shared" ref="E126:E131" si="157">IFERROR(VLOOKUP(D126,$A$39:$F$56,$E$57,FALSE),VLOOKUP(100,$A$39:$F$56,$E$57,FALSE))</f>
        <v>1.2</v>
      </c>
      <c r="F126" s="177">
        <f t="shared" ref="F126:F131" si="158">B126/C126*E126</f>
        <v>2.4</v>
      </c>
      <c r="H126" s="149">
        <f t="shared" ref="H126:H131" si="159">IF(OR(D126=10,D126=50,D126=100),C126*E126%,C126*F126%)</f>
        <v>6.0000000000000001E-3</v>
      </c>
      <c r="I126" s="146">
        <f t="shared" ref="I126:I131" si="160">VLOOKUP(D126,$A$39:$F$56,$F$57,FALSE)</f>
        <v>0.2</v>
      </c>
      <c r="J126" s="146">
        <f t="shared" ref="J126:J131" si="161">B126/C126*I126</f>
        <v>0.4</v>
      </c>
      <c r="K126" s="149">
        <f t="shared" ref="K126:K131" si="162">IF(OR(D126=10,D126=50,D126=100),C126*I126%,C126*J126%)</f>
        <v>1E-3</v>
      </c>
      <c r="L126" s="149">
        <f t="shared" ref="L126:L131" si="163">H126*$D$73</f>
        <v>6</v>
      </c>
      <c r="M126" s="149">
        <f t="shared" ref="M126:M131" si="164">K126*$D$73</f>
        <v>1</v>
      </c>
      <c r="O126" s="137">
        <f t="shared" ref="O126:O131" si="165">B126</f>
        <v>1</v>
      </c>
      <c r="P126" s="141">
        <f t="shared" ref="P126:P131" si="166">C126</f>
        <v>0.5</v>
      </c>
      <c r="Q126" s="161">
        <f t="shared" ref="Q126:Q131" si="167">IF(P126/O126&lt;0.1,"Valor Abaixo de 10% - Não Válido",O126/O126*100)</f>
        <v>100</v>
      </c>
      <c r="R126" s="146">
        <f t="shared" ref="R126:R131" si="168">VLOOKUP(Q126,$G$39:$L$56,$K$57,FALSE)</f>
        <v>0.6</v>
      </c>
      <c r="S126" s="177">
        <f t="shared" ref="S126:S131" si="169">O126/P126*R126</f>
        <v>1.2</v>
      </c>
      <c r="T126" s="149">
        <f t="shared" ref="T126:T131" si="170">IF(OR(Q126=10,Q126=50,Q126=100),O126*R126%,O126*S126%)</f>
        <v>6.0000000000000001E-3</v>
      </c>
      <c r="U126" s="146">
        <f t="shared" ref="U126:U131" si="171">VLOOKUP(Q126,$G$39:$L$56,$L$57,FALSE)</f>
        <v>0.1</v>
      </c>
      <c r="V126" s="146">
        <f t="shared" ref="V126:V131" si="172">O126/P126*U126</f>
        <v>0.2</v>
      </c>
      <c r="W126" s="149">
        <f t="shared" ref="W126:W131" si="173">IF(OR(Q126=10,Q126=50,Q126=100),O126*U126%,O126*V126%)</f>
        <v>1E-3</v>
      </c>
      <c r="X126" s="149">
        <f t="shared" ref="X126:X131" si="174">T126*$D$73</f>
        <v>6</v>
      </c>
      <c r="Y126" s="149">
        <f t="shared" ref="Y126:Y131" si="175">W126*$D$73</f>
        <v>1</v>
      </c>
      <c r="AG126">
        <f t="shared" ref="AG126:AG171" si="176">AG125</f>
        <v>7</v>
      </c>
      <c r="AH126">
        <v>2</v>
      </c>
    </row>
    <row r="127" spans="1:34" ht="18.600000000000001" thickBot="1" x14ac:dyDescent="0.35">
      <c r="A127" t="str">
        <f t="shared" si="153"/>
        <v>7.3</v>
      </c>
      <c r="B127" s="137">
        <f t="shared" si="155"/>
        <v>1</v>
      </c>
      <c r="C127" s="141">
        <f>VLOOKUP(CONCATENATE(AH127,".",3),'Resultados - 7'!$A$10:$G$156,5,FALSE)/$D$73</f>
        <v>1</v>
      </c>
      <c r="D127" s="161">
        <f t="shared" si="156"/>
        <v>100</v>
      </c>
      <c r="E127" s="146">
        <f t="shared" si="157"/>
        <v>0.6</v>
      </c>
      <c r="F127" s="177">
        <f t="shared" si="158"/>
        <v>0.6</v>
      </c>
      <c r="H127" s="149">
        <f t="shared" si="159"/>
        <v>6.0000000000000001E-3</v>
      </c>
      <c r="I127" s="146">
        <f t="shared" si="160"/>
        <v>0.1</v>
      </c>
      <c r="J127" s="146">
        <f t="shared" si="161"/>
        <v>0.1</v>
      </c>
      <c r="K127" s="149">
        <f t="shared" si="162"/>
        <v>1E-3</v>
      </c>
      <c r="L127" s="149">
        <f t="shared" si="163"/>
        <v>6</v>
      </c>
      <c r="M127" s="149">
        <f t="shared" si="164"/>
        <v>1</v>
      </c>
      <c r="O127" s="137">
        <f t="shared" si="165"/>
        <v>1</v>
      </c>
      <c r="P127" s="141">
        <f t="shared" si="166"/>
        <v>1</v>
      </c>
      <c r="Q127" s="161">
        <f t="shared" si="167"/>
        <v>100</v>
      </c>
      <c r="R127" s="146">
        <f t="shared" si="168"/>
        <v>0.6</v>
      </c>
      <c r="S127" s="177">
        <f t="shared" si="169"/>
        <v>0.6</v>
      </c>
      <c r="T127" s="149">
        <f t="shared" si="170"/>
        <v>6.0000000000000001E-3</v>
      </c>
      <c r="U127" s="146">
        <f t="shared" si="171"/>
        <v>0.1</v>
      </c>
      <c r="V127" s="146">
        <f t="shared" si="172"/>
        <v>0.1</v>
      </c>
      <c r="W127" s="149">
        <f t="shared" si="173"/>
        <v>1E-3</v>
      </c>
      <c r="X127" s="149">
        <f t="shared" si="174"/>
        <v>6</v>
      </c>
      <c r="Y127" s="149">
        <f t="shared" si="175"/>
        <v>1</v>
      </c>
      <c r="AG127">
        <f t="shared" si="176"/>
        <v>7</v>
      </c>
      <c r="AH127">
        <v>3</v>
      </c>
    </row>
    <row r="128" spans="1:34" ht="18.600000000000001" thickBot="1" x14ac:dyDescent="0.35">
      <c r="A128" t="str">
        <f t="shared" si="153"/>
        <v>7.4</v>
      </c>
      <c r="B128" s="137">
        <f t="shared" si="155"/>
        <v>1</v>
      </c>
      <c r="C128" s="141" t="e">
        <f>VLOOKUP(CONCATENATE(AH128,".",3),'Resultados - 7'!$A$10:$G$156,5,FALSE)/$D$73</f>
        <v>#VALUE!</v>
      </c>
      <c r="D128" s="161" t="e">
        <f t="shared" si="156"/>
        <v>#VALUE!</v>
      </c>
      <c r="E128" s="146">
        <f t="shared" si="157"/>
        <v>0.6</v>
      </c>
      <c r="F128" s="177" t="e">
        <f t="shared" si="158"/>
        <v>#VALUE!</v>
      </c>
      <c r="H128" s="149" t="e">
        <f t="shared" si="159"/>
        <v>#VALUE!</v>
      </c>
      <c r="I128" s="146" t="e">
        <f t="shared" si="160"/>
        <v>#VALUE!</v>
      </c>
      <c r="J128" s="146" t="e">
        <f t="shared" si="161"/>
        <v>#VALUE!</v>
      </c>
      <c r="K128" s="149" t="e">
        <f t="shared" si="162"/>
        <v>#VALUE!</v>
      </c>
      <c r="L128" s="149" t="e">
        <f t="shared" si="163"/>
        <v>#VALUE!</v>
      </c>
      <c r="M128" s="149" t="e">
        <f t="shared" si="164"/>
        <v>#VALUE!</v>
      </c>
      <c r="O128" s="137">
        <f t="shared" si="165"/>
        <v>1</v>
      </c>
      <c r="P128" s="141" t="e">
        <f t="shared" si="166"/>
        <v>#VALUE!</v>
      </c>
      <c r="Q128" s="161" t="e">
        <f t="shared" si="167"/>
        <v>#VALUE!</v>
      </c>
      <c r="R128" s="146" t="e">
        <f t="shared" si="168"/>
        <v>#VALUE!</v>
      </c>
      <c r="S128" s="177" t="e">
        <f t="shared" si="169"/>
        <v>#VALUE!</v>
      </c>
      <c r="T128" s="149" t="e">
        <f t="shared" si="170"/>
        <v>#VALUE!</v>
      </c>
      <c r="U128" s="146" t="e">
        <f t="shared" si="171"/>
        <v>#VALUE!</v>
      </c>
      <c r="V128" s="146" t="e">
        <f t="shared" si="172"/>
        <v>#VALUE!</v>
      </c>
      <c r="W128" s="149" t="e">
        <f t="shared" si="173"/>
        <v>#VALUE!</v>
      </c>
      <c r="X128" s="149" t="e">
        <f t="shared" si="174"/>
        <v>#VALUE!</v>
      </c>
      <c r="Y128" s="149" t="e">
        <f t="shared" si="175"/>
        <v>#VALUE!</v>
      </c>
      <c r="AG128">
        <f t="shared" si="176"/>
        <v>7</v>
      </c>
      <c r="AH128">
        <v>4</v>
      </c>
    </row>
    <row r="129" spans="1:34" ht="18.600000000000001" thickBot="1" x14ac:dyDescent="0.35">
      <c r="A129" t="str">
        <f t="shared" si="153"/>
        <v>7.5</v>
      </c>
      <c r="B129" s="137">
        <f t="shared" si="155"/>
        <v>1</v>
      </c>
      <c r="C129" s="141" t="e">
        <f>VLOOKUP(CONCATENATE(AH129,".",3),'Resultados - 7'!$A$10:$G$156,5,FALSE)/$D$73</f>
        <v>#VALUE!</v>
      </c>
      <c r="D129" s="161" t="e">
        <f t="shared" si="156"/>
        <v>#VALUE!</v>
      </c>
      <c r="E129" s="146">
        <f t="shared" si="157"/>
        <v>0.6</v>
      </c>
      <c r="F129" s="177" t="e">
        <f t="shared" si="158"/>
        <v>#VALUE!</v>
      </c>
      <c r="H129" s="149" t="e">
        <f t="shared" si="159"/>
        <v>#VALUE!</v>
      </c>
      <c r="I129" s="146" t="e">
        <f t="shared" si="160"/>
        <v>#VALUE!</v>
      </c>
      <c r="J129" s="146" t="e">
        <f t="shared" si="161"/>
        <v>#VALUE!</v>
      </c>
      <c r="K129" s="149" t="e">
        <f t="shared" si="162"/>
        <v>#VALUE!</v>
      </c>
      <c r="L129" s="149" t="e">
        <f t="shared" si="163"/>
        <v>#VALUE!</v>
      </c>
      <c r="M129" s="149" t="e">
        <f t="shared" si="164"/>
        <v>#VALUE!</v>
      </c>
      <c r="O129" s="137">
        <f t="shared" si="165"/>
        <v>1</v>
      </c>
      <c r="P129" s="141" t="e">
        <f t="shared" si="166"/>
        <v>#VALUE!</v>
      </c>
      <c r="Q129" s="161" t="e">
        <f t="shared" si="167"/>
        <v>#VALUE!</v>
      </c>
      <c r="R129" s="146" t="e">
        <f t="shared" si="168"/>
        <v>#VALUE!</v>
      </c>
      <c r="S129" s="177" t="e">
        <f t="shared" si="169"/>
        <v>#VALUE!</v>
      </c>
      <c r="T129" s="149" t="e">
        <f t="shared" si="170"/>
        <v>#VALUE!</v>
      </c>
      <c r="U129" s="146" t="e">
        <f t="shared" si="171"/>
        <v>#VALUE!</v>
      </c>
      <c r="V129" s="146" t="e">
        <f t="shared" si="172"/>
        <v>#VALUE!</v>
      </c>
      <c r="W129" s="149" t="e">
        <f t="shared" si="173"/>
        <v>#VALUE!</v>
      </c>
      <c r="X129" s="149" t="e">
        <f t="shared" si="174"/>
        <v>#VALUE!</v>
      </c>
      <c r="Y129" s="149" t="e">
        <f t="shared" si="175"/>
        <v>#VALUE!</v>
      </c>
      <c r="AG129">
        <f t="shared" si="176"/>
        <v>7</v>
      </c>
      <c r="AH129">
        <v>5</v>
      </c>
    </row>
    <row r="130" spans="1:34" ht="18.600000000000001" thickBot="1" x14ac:dyDescent="0.35">
      <c r="A130" t="str">
        <f t="shared" si="153"/>
        <v>7.6</v>
      </c>
      <c r="B130" s="137">
        <f t="shared" si="155"/>
        <v>1</v>
      </c>
      <c r="C130" s="141" t="e">
        <f>VLOOKUP(CONCATENATE(AH130,".",3),'Resultados - 7'!$A$10:$G$156,5,FALSE)/$D$73</f>
        <v>#VALUE!</v>
      </c>
      <c r="D130" s="161" t="e">
        <f t="shared" si="156"/>
        <v>#VALUE!</v>
      </c>
      <c r="E130" s="146">
        <f t="shared" si="157"/>
        <v>0.6</v>
      </c>
      <c r="F130" s="177" t="e">
        <f t="shared" si="158"/>
        <v>#VALUE!</v>
      </c>
      <c r="H130" s="149" t="e">
        <f t="shared" si="159"/>
        <v>#VALUE!</v>
      </c>
      <c r="I130" s="146" t="e">
        <f t="shared" si="160"/>
        <v>#VALUE!</v>
      </c>
      <c r="J130" s="146" t="e">
        <f t="shared" si="161"/>
        <v>#VALUE!</v>
      </c>
      <c r="K130" s="149" t="e">
        <f t="shared" si="162"/>
        <v>#VALUE!</v>
      </c>
      <c r="L130" s="149" t="e">
        <f t="shared" si="163"/>
        <v>#VALUE!</v>
      </c>
      <c r="M130" s="149" t="e">
        <f t="shared" si="164"/>
        <v>#VALUE!</v>
      </c>
      <c r="O130" s="137">
        <f t="shared" si="165"/>
        <v>1</v>
      </c>
      <c r="P130" s="141" t="e">
        <f t="shared" si="166"/>
        <v>#VALUE!</v>
      </c>
      <c r="Q130" s="161" t="e">
        <f t="shared" si="167"/>
        <v>#VALUE!</v>
      </c>
      <c r="R130" s="146" t="e">
        <f t="shared" si="168"/>
        <v>#VALUE!</v>
      </c>
      <c r="S130" s="177" t="e">
        <f t="shared" si="169"/>
        <v>#VALUE!</v>
      </c>
      <c r="T130" s="149" t="e">
        <f t="shared" si="170"/>
        <v>#VALUE!</v>
      </c>
      <c r="U130" s="146" t="e">
        <f t="shared" si="171"/>
        <v>#VALUE!</v>
      </c>
      <c r="V130" s="146" t="e">
        <f t="shared" si="172"/>
        <v>#VALUE!</v>
      </c>
      <c r="W130" s="149" t="e">
        <f t="shared" si="173"/>
        <v>#VALUE!</v>
      </c>
      <c r="X130" s="149" t="e">
        <f t="shared" si="174"/>
        <v>#VALUE!</v>
      </c>
      <c r="Y130" s="149" t="e">
        <f t="shared" si="175"/>
        <v>#VALUE!</v>
      </c>
      <c r="AG130">
        <f t="shared" si="176"/>
        <v>7</v>
      </c>
      <c r="AH130">
        <v>6</v>
      </c>
    </row>
    <row r="131" spans="1:34" ht="18.600000000000001" thickBot="1" x14ac:dyDescent="0.35">
      <c r="A131" t="str">
        <f t="shared" si="153"/>
        <v>7.7</v>
      </c>
      <c r="B131" s="137">
        <f t="shared" si="155"/>
        <v>1</v>
      </c>
      <c r="C131" s="141" t="e">
        <f>VLOOKUP(CONCATENATE(AH131,".",3),'Resultados - 7'!$A$10:$G$156,5,FALSE)/$D$73</f>
        <v>#VALUE!</v>
      </c>
      <c r="D131" s="161" t="e">
        <f t="shared" si="156"/>
        <v>#VALUE!</v>
      </c>
      <c r="E131" s="146">
        <f t="shared" si="157"/>
        <v>0.6</v>
      </c>
      <c r="F131" s="177" t="e">
        <f t="shared" si="158"/>
        <v>#VALUE!</v>
      </c>
      <c r="H131" s="149" t="e">
        <f t="shared" si="159"/>
        <v>#VALUE!</v>
      </c>
      <c r="I131" s="146" t="e">
        <f t="shared" si="160"/>
        <v>#VALUE!</v>
      </c>
      <c r="J131" s="146" t="e">
        <f t="shared" si="161"/>
        <v>#VALUE!</v>
      </c>
      <c r="K131" s="149" t="e">
        <f t="shared" si="162"/>
        <v>#VALUE!</v>
      </c>
      <c r="L131" s="149" t="e">
        <f t="shared" si="163"/>
        <v>#VALUE!</v>
      </c>
      <c r="M131" s="149" t="e">
        <f t="shared" si="164"/>
        <v>#VALUE!</v>
      </c>
      <c r="O131" s="137">
        <f t="shared" si="165"/>
        <v>1</v>
      </c>
      <c r="P131" s="141" t="e">
        <f t="shared" si="166"/>
        <v>#VALUE!</v>
      </c>
      <c r="Q131" s="161" t="e">
        <f t="shared" si="167"/>
        <v>#VALUE!</v>
      </c>
      <c r="R131" s="146" t="e">
        <f t="shared" si="168"/>
        <v>#VALUE!</v>
      </c>
      <c r="S131" s="177" t="e">
        <f t="shared" si="169"/>
        <v>#VALUE!</v>
      </c>
      <c r="T131" s="149" t="e">
        <f t="shared" si="170"/>
        <v>#VALUE!</v>
      </c>
      <c r="U131" s="146" t="e">
        <f t="shared" si="171"/>
        <v>#VALUE!</v>
      </c>
      <c r="V131" s="146" t="e">
        <f t="shared" si="172"/>
        <v>#VALUE!</v>
      </c>
      <c r="W131" s="149" t="e">
        <f t="shared" si="173"/>
        <v>#VALUE!</v>
      </c>
      <c r="X131" s="149" t="e">
        <f t="shared" si="174"/>
        <v>#VALUE!</v>
      </c>
      <c r="Y131" s="149" t="e">
        <f t="shared" si="175"/>
        <v>#VALUE!</v>
      </c>
      <c r="AG131">
        <f t="shared" si="176"/>
        <v>7</v>
      </c>
      <c r="AH131">
        <v>7</v>
      </c>
    </row>
    <row r="132" spans="1:34" ht="18.600000000000001" thickBot="1" x14ac:dyDescent="0.35">
      <c r="A132" s="182"/>
      <c r="B132" s="183"/>
      <c r="C132" s="184"/>
      <c r="D132" s="185"/>
      <c r="E132" s="186"/>
      <c r="F132" s="186"/>
      <c r="G132" s="187"/>
      <c r="H132" s="188"/>
      <c r="I132" s="186"/>
      <c r="J132" s="186"/>
      <c r="K132" s="188"/>
      <c r="L132" s="188"/>
      <c r="M132" s="188"/>
      <c r="N132" s="182"/>
      <c r="O132" s="183"/>
      <c r="P132" s="184"/>
      <c r="Q132" s="185"/>
      <c r="R132" s="186"/>
      <c r="S132" s="186"/>
      <c r="T132" s="188"/>
      <c r="U132" s="186"/>
      <c r="V132" s="186"/>
      <c r="W132" s="188"/>
      <c r="X132" s="188"/>
      <c r="Y132" s="188"/>
    </row>
    <row r="133" spans="1:34" ht="18.600000000000001" thickBot="1" x14ac:dyDescent="0.35">
      <c r="A133" t="str">
        <f t="shared" ref="A133:A139" si="177">CONCATENATE(AG133,".",AH133)</f>
        <v>8.1</v>
      </c>
      <c r="B133" s="137">
        <f>$B$73/$D$73</f>
        <v>1</v>
      </c>
      <c r="C133" s="141">
        <f>VLOOKUP(CONCATENATE(AH133,".",3),'Resultados - 8'!$A$10:$G$156,5,FALSE)/$D$73</f>
        <v>0.1</v>
      </c>
      <c r="D133" s="161">
        <f>IF(C133/B133&lt;0.1,"Valor Abaixo de 10% - Não Válido",C133/B133*100)</f>
        <v>10</v>
      </c>
      <c r="E133" s="146">
        <f>IFERROR(VLOOKUP(D133,$A$39:$F$56,$E$57,FALSE),VLOOKUP(100,$A$39:$F$56,$E$57,FALSE))</f>
        <v>6</v>
      </c>
      <c r="F133" s="177">
        <f>B133/C133*E133</f>
        <v>60</v>
      </c>
      <c r="H133" s="149">
        <f>IF(OR(D133=10,D133=50,D133=100),C133*E133%,C133*F133%)</f>
        <v>6.0000000000000001E-3</v>
      </c>
      <c r="I133" s="146">
        <f>VLOOKUP(D133,$A$39:$F$56,$F$57,FALSE)</f>
        <v>1</v>
      </c>
      <c r="J133" s="146">
        <f>B133/C133*I133</f>
        <v>10</v>
      </c>
      <c r="K133" s="149">
        <f>IF(OR(D133=10,D133=50,D133=100),C133*I133%,C133*J133%)</f>
        <v>1E-3</v>
      </c>
      <c r="L133" s="149">
        <f>H133*$D$73</f>
        <v>6</v>
      </c>
      <c r="M133" s="149">
        <f>K133*$D$73</f>
        <v>1</v>
      </c>
      <c r="O133" s="137">
        <f>B133</f>
        <v>1</v>
      </c>
      <c r="P133" s="141">
        <f>C133</f>
        <v>0.1</v>
      </c>
      <c r="Q133" s="161">
        <f>IF(P133/O133&lt;0.1,"Valor Abaixo de 10% - Não Válido",O133/O133*100)</f>
        <v>100</v>
      </c>
      <c r="R133" s="146">
        <f>VLOOKUP(Q133,$G$39:$L$56,$K$57,FALSE)</f>
        <v>0.6</v>
      </c>
      <c r="S133" s="177">
        <f>O133/P133*R133</f>
        <v>6</v>
      </c>
      <c r="T133" s="149">
        <f>IF(OR(Q133=10,Q133=50,Q133=100),O133*R133%,O133*S133%)</f>
        <v>6.0000000000000001E-3</v>
      </c>
      <c r="U133" s="146">
        <f>VLOOKUP(Q133,$G$39:$L$56,$L$57,FALSE)</f>
        <v>0.1</v>
      </c>
      <c r="V133" s="146">
        <f>O133/P133*U133</f>
        <v>1</v>
      </c>
      <c r="W133" s="149">
        <f>IF(OR(Q133=10,Q133=50,Q133=100),O133*U133%,O133*V133%)</f>
        <v>1E-3</v>
      </c>
      <c r="X133" s="149">
        <f>T133*$D$73</f>
        <v>6</v>
      </c>
      <c r="Y133" s="149">
        <f>W133*$D$73</f>
        <v>1</v>
      </c>
      <c r="AG133">
        <f t="shared" ref="AG133" si="178">AG131+1</f>
        <v>8</v>
      </c>
      <c r="AH133">
        <v>1</v>
      </c>
    </row>
    <row r="134" spans="1:34" ht="18.600000000000001" thickBot="1" x14ac:dyDescent="0.35">
      <c r="A134" t="str">
        <f t="shared" si="177"/>
        <v>8.2</v>
      </c>
      <c r="B134" s="137">
        <f t="shared" ref="B134:B139" si="179">$B$73/$D$73</f>
        <v>1</v>
      </c>
      <c r="C134" s="141">
        <f>VLOOKUP(CONCATENATE(AH134,".",3),'Resultados - 8'!$A$10:$G$156,5,FALSE)/$D$73</f>
        <v>0.5</v>
      </c>
      <c r="D134" s="161">
        <f t="shared" ref="D134:D139" si="180">IF(C134/B134&lt;0.1,"Valor Abaixo de 10% - Não Válido",C134/B134*100)</f>
        <v>50</v>
      </c>
      <c r="E134" s="146">
        <f t="shared" ref="E134:E139" si="181">IFERROR(VLOOKUP(D134,$A$39:$F$56,$E$57,FALSE),VLOOKUP(100,$A$39:$F$56,$E$57,FALSE))</f>
        <v>1.2</v>
      </c>
      <c r="F134" s="177">
        <f t="shared" ref="F134:F139" si="182">B134/C134*E134</f>
        <v>2.4</v>
      </c>
      <c r="H134" s="149">
        <f t="shared" ref="H134:H139" si="183">IF(OR(D134=10,D134=50,D134=100),C134*E134%,C134*F134%)</f>
        <v>6.0000000000000001E-3</v>
      </c>
      <c r="I134" s="146">
        <f t="shared" ref="I134:I139" si="184">VLOOKUP(D134,$A$39:$F$56,$F$57,FALSE)</f>
        <v>0.2</v>
      </c>
      <c r="J134" s="146">
        <f t="shared" ref="J134:J139" si="185">B134/C134*I134</f>
        <v>0.4</v>
      </c>
      <c r="K134" s="149">
        <f t="shared" ref="K134:K139" si="186">IF(OR(D134=10,D134=50,D134=100),C134*I134%,C134*J134%)</f>
        <v>1E-3</v>
      </c>
      <c r="L134" s="149">
        <f t="shared" ref="L134:L139" si="187">H134*$D$73</f>
        <v>6</v>
      </c>
      <c r="M134" s="149">
        <f t="shared" ref="M134:M139" si="188">K134*$D$73</f>
        <v>1</v>
      </c>
      <c r="O134" s="137">
        <f t="shared" ref="O134:O139" si="189">B134</f>
        <v>1</v>
      </c>
      <c r="P134" s="141">
        <f t="shared" ref="P134:P139" si="190">C134</f>
        <v>0.5</v>
      </c>
      <c r="Q134" s="161">
        <f t="shared" ref="Q134:Q139" si="191">IF(P134/O134&lt;0.1,"Valor Abaixo de 10% - Não Válido",O134/O134*100)</f>
        <v>100</v>
      </c>
      <c r="R134" s="146">
        <f t="shared" ref="R134:R139" si="192">VLOOKUP(Q134,$G$39:$L$56,$K$57,FALSE)</f>
        <v>0.6</v>
      </c>
      <c r="S134" s="177">
        <f t="shared" ref="S134:S139" si="193">O134/P134*R134</f>
        <v>1.2</v>
      </c>
      <c r="T134" s="149">
        <f t="shared" ref="T134:T139" si="194">IF(OR(Q134=10,Q134=50,Q134=100),O134*R134%,O134*S134%)</f>
        <v>6.0000000000000001E-3</v>
      </c>
      <c r="U134" s="146">
        <f t="shared" ref="U134:U139" si="195">VLOOKUP(Q134,$G$39:$L$56,$L$57,FALSE)</f>
        <v>0.1</v>
      </c>
      <c r="V134" s="146">
        <f t="shared" ref="V134:V139" si="196">O134/P134*U134</f>
        <v>0.2</v>
      </c>
      <c r="W134" s="149">
        <f t="shared" ref="W134:W139" si="197">IF(OR(Q134=10,Q134=50,Q134=100),O134*U134%,O134*V134%)</f>
        <v>1E-3</v>
      </c>
      <c r="X134" s="149">
        <f t="shared" ref="X134:X139" si="198">T134*$D$73</f>
        <v>6</v>
      </c>
      <c r="Y134" s="149">
        <f t="shared" ref="Y134:Y139" si="199">W134*$D$73</f>
        <v>1</v>
      </c>
      <c r="AG134">
        <f t="shared" si="176"/>
        <v>8</v>
      </c>
      <c r="AH134">
        <v>2</v>
      </c>
    </row>
    <row r="135" spans="1:34" ht="18.600000000000001" thickBot="1" x14ac:dyDescent="0.35">
      <c r="A135" t="str">
        <f t="shared" si="177"/>
        <v>8.3</v>
      </c>
      <c r="B135" s="137">
        <f t="shared" si="179"/>
        <v>1</v>
      </c>
      <c r="C135" s="141">
        <f>VLOOKUP(CONCATENATE(AH135,".",3),'Resultados - 8'!$A$10:$G$156,5,FALSE)/$D$73</f>
        <v>1</v>
      </c>
      <c r="D135" s="161">
        <f t="shared" si="180"/>
        <v>100</v>
      </c>
      <c r="E135" s="146">
        <f t="shared" si="181"/>
        <v>0.6</v>
      </c>
      <c r="F135" s="177">
        <f t="shared" si="182"/>
        <v>0.6</v>
      </c>
      <c r="H135" s="149">
        <f t="shared" si="183"/>
        <v>6.0000000000000001E-3</v>
      </c>
      <c r="I135" s="146">
        <f t="shared" si="184"/>
        <v>0.1</v>
      </c>
      <c r="J135" s="146">
        <f t="shared" si="185"/>
        <v>0.1</v>
      </c>
      <c r="K135" s="149">
        <f t="shared" si="186"/>
        <v>1E-3</v>
      </c>
      <c r="L135" s="149">
        <f t="shared" si="187"/>
        <v>6</v>
      </c>
      <c r="M135" s="149">
        <f t="shared" si="188"/>
        <v>1</v>
      </c>
      <c r="O135" s="137">
        <f t="shared" si="189"/>
        <v>1</v>
      </c>
      <c r="P135" s="141">
        <f t="shared" si="190"/>
        <v>1</v>
      </c>
      <c r="Q135" s="161">
        <f t="shared" si="191"/>
        <v>100</v>
      </c>
      <c r="R135" s="146">
        <f t="shared" si="192"/>
        <v>0.6</v>
      </c>
      <c r="S135" s="177">
        <f t="shared" si="193"/>
        <v>0.6</v>
      </c>
      <c r="T135" s="149">
        <f t="shared" si="194"/>
        <v>6.0000000000000001E-3</v>
      </c>
      <c r="U135" s="146">
        <f t="shared" si="195"/>
        <v>0.1</v>
      </c>
      <c r="V135" s="146">
        <f t="shared" si="196"/>
        <v>0.1</v>
      </c>
      <c r="W135" s="149">
        <f t="shared" si="197"/>
        <v>1E-3</v>
      </c>
      <c r="X135" s="149">
        <f t="shared" si="198"/>
        <v>6</v>
      </c>
      <c r="Y135" s="149">
        <f t="shared" si="199"/>
        <v>1</v>
      </c>
      <c r="AG135">
        <f t="shared" si="176"/>
        <v>8</v>
      </c>
      <c r="AH135">
        <v>3</v>
      </c>
    </row>
    <row r="136" spans="1:34" ht="18.600000000000001" thickBot="1" x14ac:dyDescent="0.35">
      <c r="A136" t="str">
        <f t="shared" si="177"/>
        <v>8.4</v>
      </c>
      <c r="B136" s="137">
        <f t="shared" si="179"/>
        <v>1</v>
      </c>
      <c r="C136" s="141" t="e">
        <f>VLOOKUP(CONCATENATE(AH136,".",3),'Resultados - 8'!$A$10:$G$156,5,FALSE)/$D$73</f>
        <v>#VALUE!</v>
      </c>
      <c r="D136" s="161" t="e">
        <f t="shared" si="180"/>
        <v>#VALUE!</v>
      </c>
      <c r="E136" s="146">
        <f t="shared" si="181"/>
        <v>0.6</v>
      </c>
      <c r="F136" s="177" t="e">
        <f t="shared" si="182"/>
        <v>#VALUE!</v>
      </c>
      <c r="H136" s="149" t="e">
        <f t="shared" si="183"/>
        <v>#VALUE!</v>
      </c>
      <c r="I136" s="146" t="e">
        <f t="shared" si="184"/>
        <v>#VALUE!</v>
      </c>
      <c r="J136" s="146" t="e">
        <f t="shared" si="185"/>
        <v>#VALUE!</v>
      </c>
      <c r="K136" s="149" t="e">
        <f t="shared" si="186"/>
        <v>#VALUE!</v>
      </c>
      <c r="L136" s="149" t="e">
        <f t="shared" si="187"/>
        <v>#VALUE!</v>
      </c>
      <c r="M136" s="149" t="e">
        <f t="shared" si="188"/>
        <v>#VALUE!</v>
      </c>
      <c r="O136" s="137">
        <f t="shared" si="189"/>
        <v>1</v>
      </c>
      <c r="P136" s="141" t="e">
        <f t="shared" si="190"/>
        <v>#VALUE!</v>
      </c>
      <c r="Q136" s="161" t="e">
        <f t="shared" si="191"/>
        <v>#VALUE!</v>
      </c>
      <c r="R136" s="146" t="e">
        <f t="shared" si="192"/>
        <v>#VALUE!</v>
      </c>
      <c r="S136" s="177" t="e">
        <f t="shared" si="193"/>
        <v>#VALUE!</v>
      </c>
      <c r="T136" s="149" t="e">
        <f t="shared" si="194"/>
        <v>#VALUE!</v>
      </c>
      <c r="U136" s="146" t="e">
        <f t="shared" si="195"/>
        <v>#VALUE!</v>
      </c>
      <c r="V136" s="146" t="e">
        <f t="shared" si="196"/>
        <v>#VALUE!</v>
      </c>
      <c r="W136" s="149" t="e">
        <f t="shared" si="197"/>
        <v>#VALUE!</v>
      </c>
      <c r="X136" s="149" t="e">
        <f t="shared" si="198"/>
        <v>#VALUE!</v>
      </c>
      <c r="Y136" s="149" t="e">
        <f t="shared" si="199"/>
        <v>#VALUE!</v>
      </c>
      <c r="AG136">
        <f t="shared" si="176"/>
        <v>8</v>
      </c>
      <c r="AH136">
        <v>4</v>
      </c>
    </row>
    <row r="137" spans="1:34" ht="18.600000000000001" thickBot="1" x14ac:dyDescent="0.35">
      <c r="A137" t="str">
        <f t="shared" si="177"/>
        <v>8.5</v>
      </c>
      <c r="B137" s="137">
        <f t="shared" si="179"/>
        <v>1</v>
      </c>
      <c r="C137" s="141" t="e">
        <f>VLOOKUP(CONCATENATE(AH137,".",3),'Resultados - 8'!$A$10:$G$156,5,FALSE)/$D$73</f>
        <v>#VALUE!</v>
      </c>
      <c r="D137" s="161" t="e">
        <f t="shared" si="180"/>
        <v>#VALUE!</v>
      </c>
      <c r="E137" s="146">
        <f t="shared" si="181"/>
        <v>0.6</v>
      </c>
      <c r="F137" s="177" t="e">
        <f t="shared" si="182"/>
        <v>#VALUE!</v>
      </c>
      <c r="H137" s="149" t="e">
        <f t="shared" si="183"/>
        <v>#VALUE!</v>
      </c>
      <c r="I137" s="146" t="e">
        <f t="shared" si="184"/>
        <v>#VALUE!</v>
      </c>
      <c r="J137" s="146" t="e">
        <f t="shared" si="185"/>
        <v>#VALUE!</v>
      </c>
      <c r="K137" s="149" t="e">
        <f t="shared" si="186"/>
        <v>#VALUE!</v>
      </c>
      <c r="L137" s="149" t="e">
        <f t="shared" si="187"/>
        <v>#VALUE!</v>
      </c>
      <c r="M137" s="149" t="e">
        <f t="shared" si="188"/>
        <v>#VALUE!</v>
      </c>
      <c r="O137" s="137">
        <f t="shared" si="189"/>
        <v>1</v>
      </c>
      <c r="P137" s="141" t="e">
        <f t="shared" si="190"/>
        <v>#VALUE!</v>
      </c>
      <c r="Q137" s="161" t="e">
        <f t="shared" si="191"/>
        <v>#VALUE!</v>
      </c>
      <c r="R137" s="146" t="e">
        <f t="shared" si="192"/>
        <v>#VALUE!</v>
      </c>
      <c r="S137" s="177" t="e">
        <f t="shared" si="193"/>
        <v>#VALUE!</v>
      </c>
      <c r="T137" s="149" t="e">
        <f t="shared" si="194"/>
        <v>#VALUE!</v>
      </c>
      <c r="U137" s="146" t="e">
        <f t="shared" si="195"/>
        <v>#VALUE!</v>
      </c>
      <c r="V137" s="146" t="e">
        <f t="shared" si="196"/>
        <v>#VALUE!</v>
      </c>
      <c r="W137" s="149" t="e">
        <f t="shared" si="197"/>
        <v>#VALUE!</v>
      </c>
      <c r="X137" s="149" t="e">
        <f t="shared" si="198"/>
        <v>#VALUE!</v>
      </c>
      <c r="Y137" s="149" t="e">
        <f t="shared" si="199"/>
        <v>#VALUE!</v>
      </c>
      <c r="AG137">
        <f t="shared" si="176"/>
        <v>8</v>
      </c>
      <c r="AH137">
        <v>5</v>
      </c>
    </row>
    <row r="138" spans="1:34" ht="18.600000000000001" thickBot="1" x14ac:dyDescent="0.35">
      <c r="A138" t="str">
        <f t="shared" si="177"/>
        <v>8.6</v>
      </c>
      <c r="B138" s="137">
        <f t="shared" si="179"/>
        <v>1</v>
      </c>
      <c r="C138" s="141" t="e">
        <f>VLOOKUP(CONCATENATE(AH138,".",3),'Resultados - 8'!$A$10:$G$156,5,FALSE)/$D$73</f>
        <v>#VALUE!</v>
      </c>
      <c r="D138" s="161" t="e">
        <f t="shared" si="180"/>
        <v>#VALUE!</v>
      </c>
      <c r="E138" s="146">
        <f t="shared" si="181"/>
        <v>0.6</v>
      </c>
      <c r="F138" s="177" t="e">
        <f t="shared" si="182"/>
        <v>#VALUE!</v>
      </c>
      <c r="H138" s="149" t="e">
        <f t="shared" si="183"/>
        <v>#VALUE!</v>
      </c>
      <c r="I138" s="146" t="e">
        <f t="shared" si="184"/>
        <v>#VALUE!</v>
      </c>
      <c r="J138" s="146" t="e">
        <f t="shared" si="185"/>
        <v>#VALUE!</v>
      </c>
      <c r="K138" s="149" t="e">
        <f t="shared" si="186"/>
        <v>#VALUE!</v>
      </c>
      <c r="L138" s="149" t="e">
        <f t="shared" si="187"/>
        <v>#VALUE!</v>
      </c>
      <c r="M138" s="149" t="e">
        <f t="shared" si="188"/>
        <v>#VALUE!</v>
      </c>
      <c r="O138" s="137">
        <f t="shared" si="189"/>
        <v>1</v>
      </c>
      <c r="P138" s="141" t="e">
        <f t="shared" si="190"/>
        <v>#VALUE!</v>
      </c>
      <c r="Q138" s="161" t="e">
        <f t="shared" si="191"/>
        <v>#VALUE!</v>
      </c>
      <c r="R138" s="146" t="e">
        <f t="shared" si="192"/>
        <v>#VALUE!</v>
      </c>
      <c r="S138" s="177" t="e">
        <f t="shared" si="193"/>
        <v>#VALUE!</v>
      </c>
      <c r="T138" s="149" t="e">
        <f t="shared" si="194"/>
        <v>#VALUE!</v>
      </c>
      <c r="U138" s="146" t="e">
        <f t="shared" si="195"/>
        <v>#VALUE!</v>
      </c>
      <c r="V138" s="146" t="e">
        <f t="shared" si="196"/>
        <v>#VALUE!</v>
      </c>
      <c r="W138" s="149" t="e">
        <f t="shared" si="197"/>
        <v>#VALUE!</v>
      </c>
      <c r="X138" s="149" t="e">
        <f t="shared" si="198"/>
        <v>#VALUE!</v>
      </c>
      <c r="Y138" s="149" t="e">
        <f t="shared" si="199"/>
        <v>#VALUE!</v>
      </c>
      <c r="AG138">
        <f t="shared" si="176"/>
        <v>8</v>
      </c>
      <c r="AH138">
        <v>6</v>
      </c>
    </row>
    <row r="139" spans="1:34" ht="18.600000000000001" thickBot="1" x14ac:dyDescent="0.35">
      <c r="A139" t="str">
        <f t="shared" si="177"/>
        <v>8.7</v>
      </c>
      <c r="B139" s="137">
        <f t="shared" si="179"/>
        <v>1</v>
      </c>
      <c r="C139" s="141" t="e">
        <f>VLOOKUP(CONCATENATE(AH139,".",3),'Resultados - 8'!$A$10:$G$156,5,FALSE)/$D$73</f>
        <v>#VALUE!</v>
      </c>
      <c r="D139" s="161" t="e">
        <f t="shared" si="180"/>
        <v>#VALUE!</v>
      </c>
      <c r="E139" s="146">
        <f t="shared" si="181"/>
        <v>0.6</v>
      </c>
      <c r="F139" s="177" t="e">
        <f t="shared" si="182"/>
        <v>#VALUE!</v>
      </c>
      <c r="H139" s="149" t="e">
        <f t="shared" si="183"/>
        <v>#VALUE!</v>
      </c>
      <c r="I139" s="146" t="e">
        <f t="shared" si="184"/>
        <v>#VALUE!</v>
      </c>
      <c r="J139" s="146" t="e">
        <f t="shared" si="185"/>
        <v>#VALUE!</v>
      </c>
      <c r="K139" s="149" t="e">
        <f t="shared" si="186"/>
        <v>#VALUE!</v>
      </c>
      <c r="L139" s="149" t="e">
        <f t="shared" si="187"/>
        <v>#VALUE!</v>
      </c>
      <c r="M139" s="149" t="e">
        <f t="shared" si="188"/>
        <v>#VALUE!</v>
      </c>
      <c r="O139" s="137">
        <f t="shared" si="189"/>
        <v>1</v>
      </c>
      <c r="P139" s="141" t="e">
        <f t="shared" si="190"/>
        <v>#VALUE!</v>
      </c>
      <c r="Q139" s="161" t="e">
        <f t="shared" si="191"/>
        <v>#VALUE!</v>
      </c>
      <c r="R139" s="146" t="e">
        <f t="shared" si="192"/>
        <v>#VALUE!</v>
      </c>
      <c r="S139" s="177" t="e">
        <f t="shared" si="193"/>
        <v>#VALUE!</v>
      </c>
      <c r="T139" s="149" t="e">
        <f t="shared" si="194"/>
        <v>#VALUE!</v>
      </c>
      <c r="U139" s="146" t="e">
        <f t="shared" si="195"/>
        <v>#VALUE!</v>
      </c>
      <c r="V139" s="146" t="e">
        <f t="shared" si="196"/>
        <v>#VALUE!</v>
      </c>
      <c r="W139" s="149" t="e">
        <f t="shared" si="197"/>
        <v>#VALUE!</v>
      </c>
      <c r="X139" s="149" t="e">
        <f t="shared" si="198"/>
        <v>#VALUE!</v>
      </c>
      <c r="Y139" s="149" t="e">
        <f t="shared" si="199"/>
        <v>#VALUE!</v>
      </c>
      <c r="AG139">
        <f t="shared" si="176"/>
        <v>8</v>
      </c>
      <c r="AH139">
        <v>7</v>
      </c>
    </row>
    <row r="140" spans="1:34" ht="18.600000000000001" thickBot="1" x14ac:dyDescent="0.35">
      <c r="A140" s="182"/>
      <c r="B140" s="183"/>
      <c r="C140" s="184"/>
      <c r="D140" s="185"/>
      <c r="E140" s="186"/>
      <c r="F140" s="186"/>
      <c r="G140" s="187"/>
      <c r="H140" s="188"/>
      <c r="I140" s="186"/>
      <c r="J140" s="186"/>
      <c r="K140" s="188"/>
      <c r="L140" s="188"/>
      <c r="M140" s="188"/>
      <c r="N140" s="182"/>
      <c r="O140" s="183"/>
      <c r="P140" s="184"/>
      <c r="Q140" s="185"/>
      <c r="R140" s="186"/>
      <c r="S140" s="186"/>
      <c r="T140" s="188"/>
      <c r="U140" s="186"/>
      <c r="V140" s="186"/>
      <c r="W140" s="188"/>
      <c r="X140" s="188"/>
      <c r="Y140" s="188"/>
    </row>
    <row r="141" spans="1:34" ht="18.600000000000001" thickBot="1" x14ac:dyDescent="0.35">
      <c r="A141" t="str">
        <f t="shared" ref="A141:A147" si="200">CONCATENATE(AG141,".",AH141)</f>
        <v>9.1</v>
      </c>
      <c r="B141" s="137">
        <f>$B$73/$D$73</f>
        <v>1</v>
      </c>
      <c r="C141" s="141">
        <f>VLOOKUP(CONCATENATE(AH141,".",3),'Resultados - 9'!$A$10:$G$156,5,FALSE)/$D$73</f>
        <v>0.1</v>
      </c>
      <c r="D141" s="161">
        <f>IF(C141/B141&lt;0.1,"Valor Abaixo de 10% - Não Válido",C141/B141*100)</f>
        <v>10</v>
      </c>
      <c r="E141" s="146">
        <f>IFERROR(VLOOKUP(D141,$A$39:$F$56,$E$57,FALSE),VLOOKUP(100,$A$39:$F$56,$E$57,FALSE))</f>
        <v>6</v>
      </c>
      <c r="F141" s="177">
        <f>B141/C141*E141</f>
        <v>60</v>
      </c>
      <c r="H141" s="149">
        <f>IF(OR(D141=10,D141=50,D141=100),C141*E141%,C141*F141%)</f>
        <v>6.0000000000000001E-3</v>
      </c>
      <c r="I141" s="146">
        <f>VLOOKUP(D141,$A$39:$F$56,$F$57,FALSE)</f>
        <v>1</v>
      </c>
      <c r="J141" s="146">
        <f>B141/C141*I141</f>
        <v>10</v>
      </c>
      <c r="K141" s="149">
        <f>IF(OR(D141=10,D141=50,D141=100),C141*I141%,C141*J141%)</f>
        <v>1E-3</v>
      </c>
      <c r="L141" s="149">
        <f>H141*$D$73</f>
        <v>6</v>
      </c>
      <c r="M141" s="149">
        <f>K141*$D$73</f>
        <v>1</v>
      </c>
      <c r="O141" s="137">
        <f>B141</f>
        <v>1</v>
      </c>
      <c r="P141" s="141">
        <f>C141</f>
        <v>0.1</v>
      </c>
      <c r="Q141" s="161">
        <f>IF(P141/O141&lt;0.1,"Valor Abaixo de 10% - Não Válido",O141/O141*100)</f>
        <v>100</v>
      </c>
      <c r="R141" s="146">
        <f>VLOOKUP(Q141,$G$39:$L$56,$K$57,FALSE)</f>
        <v>0.6</v>
      </c>
      <c r="S141" s="177">
        <f>O141/P141*R141</f>
        <v>6</v>
      </c>
      <c r="T141" s="149">
        <f>IF(OR(Q141=10,Q141=50,Q141=100),O141*R141%,O141*S141%)</f>
        <v>6.0000000000000001E-3</v>
      </c>
      <c r="U141" s="146">
        <f>VLOOKUP(Q141,$G$39:$L$56,$L$57,FALSE)</f>
        <v>0.1</v>
      </c>
      <c r="V141" s="146">
        <f>O141/P141*U141</f>
        <v>1</v>
      </c>
      <c r="W141" s="149">
        <f>IF(OR(Q141=10,Q141=50,Q141=100),O141*U141%,O141*V141%)</f>
        <v>1E-3</v>
      </c>
      <c r="X141" s="149">
        <f>T141*$D$73</f>
        <v>6</v>
      </c>
      <c r="Y141" s="149">
        <f>W141*$D$73</f>
        <v>1</v>
      </c>
      <c r="AG141">
        <f t="shared" ref="AG141" si="201">AG139+1</f>
        <v>9</v>
      </c>
      <c r="AH141">
        <v>1</v>
      </c>
    </row>
    <row r="142" spans="1:34" ht="18.600000000000001" thickBot="1" x14ac:dyDescent="0.35">
      <c r="A142" t="str">
        <f t="shared" si="200"/>
        <v>9.2</v>
      </c>
      <c r="B142" s="137">
        <f t="shared" ref="B142:B147" si="202">$B$73/$D$73</f>
        <v>1</v>
      </c>
      <c r="C142" s="141">
        <f>VLOOKUP(CONCATENATE(AH142,".",3),'Resultados - 9'!$A$10:$G$156,5,FALSE)/$D$73</f>
        <v>0.5</v>
      </c>
      <c r="D142" s="161">
        <f t="shared" ref="D142:D147" si="203">IF(C142/B142&lt;0.1,"Valor Abaixo de 10% - Não Válido",C142/B142*100)</f>
        <v>50</v>
      </c>
      <c r="E142" s="146">
        <f t="shared" ref="E142:E147" si="204">IFERROR(VLOOKUP(D142,$A$39:$F$56,$E$57,FALSE),VLOOKUP(100,$A$39:$F$56,$E$57,FALSE))</f>
        <v>1.2</v>
      </c>
      <c r="F142" s="177">
        <f t="shared" ref="F142:F147" si="205">B142/C142*E142</f>
        <v>2.4</v>
      </c>
      <c r="H142" s="149">
        <f t="shared" ref="H142:H147" si="206">IF(OR(D142=10,D142=50,D142=100),C142*E142%,C142*F142%)</f>
        <v>6.0000000000000001E-3</v>
      </c>
      <c r="I142" s="146">
        <f t="shared" ref="I142:I147" si="207">VLOOKUP(D142,$A$39:$F$56,$F$57,FALSE)</f>
        <v>0.2</v>
      </c>
      <c r="J142" s="146">
        <f t="shared" ref="J142:J147" si="208">B142/C142*I142</f>
        <v>0.4</v>
      </c>
      <c r="K142" s="149">
        <f t="shared" ref="K142:K147" si="209">IF(OR(D142=10,D142=50,D142=100),C142*I142%,C142*J142%)</f>
        <v>1E-3</v>
      </c>
      <c r="L142" s="149">
        <f t="shared" ref="L142:L147" si="210">H142*$D$73</f>
        <v>6</v>
      </c>
      <c r="M142" s="149">
        <f t="shared" ref="M142:M147" si="211">K142*$D$73</f>
        <v>1</v>
      </c>
      <c r="O142" s="137">
        <f t="shared" ref="O142:O147" si="212">B142</f>
        <v>1</v>
      </c>
      <c r="P142" s="141">
        <f t="shared" ref="P142:P147" si="213">C142</f>
        <v>0.5</v>
      </c>
      <c r="Q142" s="161">
        <f t="shared" ref="Q142:Q147" si="214">IF(P142/O142&lt;0.1,"Valor Abaixo de 10% - Não Válido",O142/O142*100)</f>
        <v>100</v>
      </c>
      <c r="R142" s="146">
        <f t="shared" ref="R142:R147" si="215">VLOOKUP(Q142,$G$39:$L$56,$K$57,FALSE)</f>
        <v>0.6</v>
      </c>
      <c r="S142" s="177">
        <f t="shared" ref="S142:S147" si="216">O142/P142*R142</f>
        <v>1.2</v>
      </c>
      <c r="T142" s="149">
        <f t="shared" ref="T142:T147" si="217">IF(OR(Q142=10,Q142=50,Q142=100),O142*R142%,O142*S142%)</f>
        <v>6.0000000000000001E-3</v>
      </c>
      <c r="U142" s="146">
        <f t="shared" ref="U142:U147" si="218">VLOOKUP(Q142,$G$39:$L$56,$L$57,FALSE)</f>
        <v>0.1</v>
      </c>
      <c r="V142" s="146">
        <f t="shared" ref="V142:V147" si="219">O142/P142*U142</f>
        <v>0.2</v>
      </c>
      <c r="W142" s="149">
        <f t="shared" ref="W142:W147" si="220">IF(OR(Q142=10,Q142=50,Q142=100),O142*U142%,O142*V142%)</f>
        <v>1E-3</v>
      </c>
      <c r="X142" s="149">
        <f t="shared" ref="X142:X147" si="221">T142*$D$73</f>
        <v>6</v>
      </c>
      <c r="Y142" s="149">
        <f t="shared" ref="Y142:Y147" si="222">W142*$D$73</f>
        <v>1</v>
      </c>
      <c r="AG142">
        <f t="shared" si="176"/>
        <v>9</v>
      </c>
      <c r="AH142">
        <v>2</v>
      </c>
    </row>
    <row r="143" spans="1:34" ht="18.600000000000001" thickBot="1" x14ac:dyDescent="0.35">
      <c r="A143" t="str">
        <f t="shared" si="200"/>
        <v>9.3</v>
      </c>
      <c r="B143" s="137">
        <f t="shared" si="202"/>
        <v>1</v>
      </c>
      <c r="C143" s="141">
        <f>VLOOKUP(CONCATENATE(AH143,".",3),'Resultados - 9'!$A$10:$G$156,5,FALSE)/$D$73</f>
        <v>1</v>
      </c>
      <c r="D143" s="161">
        <f t="shared" si="203"/>
        <v>100</v>
      </c>
      <c r="E143" s="146">
        <f t="shared" si="204"/>
        <v>0.6</v>
      </c>
      <c r="F143" s="177">
        <f t="shared" si="205"/>
        <v>0.6</v>
      </c>
      <c r="H143" s="149">
        <f t="shared" si="206"/>
        <v>6.0000000000000001E-3</v>
      </c>
      <c r="I143" s="146">
        <f t="shared" si="207"/>
        <v>0.1</v>
      </c>
      <c r="J143" s="146">
        <f t="shared" si="208"/>
        <v>0.1</v>
      </c>
      <c r="K143" s="149">
        <f t="shared" si="209"/>
        <v>1E-3</v>
      </c>
      <c r="L143" s="149">
        <f t="shared" si="210"/>
        <v>6</v>
      </c>
      <c r="M143" s="149">
        <f t="shared" si="211"/>
        <v>1</v>
      </c>
      <c r="O143" s="137">
        <f t="shared" si="212"/>
        <v>1</v>
      </c>
      <c r="P143" s="141">
        <f t="shared" si="213"/>
        <v>1</v>
      </c>
      <c r="Q143" s="161">
        <f t="shared" si="214"/>
        <v>100</v>
      </c>
      <c r="R143" s="146">
        <f t="shared" si="215"/>
        <v>0.6</v>
      </c>
      <c r="S143" s="177">
        <f t="shared" si="216"/>
        <v>0.6</v>
      </c>
      <c r="T143" s="149">
        <f t="shared" si="217"/>
        <v>6.0000000000000001E-3</v>
      </c>
      <c r="U143" s="146">
        <f t="shared" si="218"/>
        <v>0.1</v>
      </c>
      <c r="V143" s="146">
        <f t="shared" si="219"/>
        <v>0.1</v>
      </c>
      <c r="W143" s="149">
        <f t="shared" si="220"/>
        <v>1E-3</v>
      </c>
      <c r="X143" s="149">
        <f t="shared" si="221"/>
        <v>6</v>
      </c>
      <c r="Y143" s="149">
        <f t="shared" si="222"/>
        <v>1</v>
      </c>
      <c r="AG143">
        <f t="shared" si="176"/>
        <v>9</v>
      </c>
      <c r="AH143">
        <v>3</v>
      </c>
    </row>
    <row r="144" spans="1:34" ht="18.600000000000001" thickBot="1" x14ac:dyDescent="0.35">
      <c r="A144" t="str">
        <f t="shared" si="200"/>
        <v>9.4</v>
      </c>
      <c r="B144" s="137">
        <f t="shared" si="202"/>
        <v>1</v>
      </c>
      <c r="C144" s="141" t="e">
        <f>VLOOKUP(CONCATENATE(AH144,".",3),'Resultados - 9'!$A$10:$G$156,5,FALSE)/$D$73</f>
        <v>#VALUE!</v>
      </c>
      <c r="D144" s="161" t="e">
        <f t="shared" si="203"/>
        <v>#VALUE!</v>
      </c>
      <c r="E144" s="146">
        <f t="shared" si="204"/>
        <v>0.6</v>
      </c>
      <c r="F144" s="177" t="e">
        <f t="shared" si="205"/>
        <v>#VALUE!</v>
      </c>
      <c r="H144" s="149" t="e">
        <f t="shared" si="206"/>
        <v>#VALUE!</v>
      </c>
      <c r="I144" s="146" t="e">
        <f t="shared" si="207"/>
        <v>#VALUE!</v>
      </c>
      <c r="J144" s="146" t="e">
        <f t="shared" si="208"/>
        <v>#VALUE!</v>
      </c>
      <c r="K144" s="149" t="e">
        <f t="shared" si="209"/>
        <v>#VALUE!</v>
      </c>
      <c r="L144" s="149" t="e">
        <f t="shared" si="210"/>
        <v>#VALUE!</v>
      </c>
      <c r="M144" s="149" t="e">
        <f t="shared" si="211"/>
        <v>#VALUE!</v>
      </c>
      <c r="O144" s="137">
        <f t="shared" si="212"/>
        <v>1</v>
      </c>
      <c r="P144" s="141" t="e">
        <f t="shared" si="213"/>
        <v>#VALUE!</v>
      </c>
      <c r="Q144" s="161" t="e">
        <f t="shared" si="214"/>
        <v>#VALUE!</v>
      </c>
      <c r="R144" s="146" t="e">
        <f t="shared" si="215"/>
        <v>#VALUE!</v>
      </c>
      <c r="S144" s="177" t="e">
        <f t="shared" si="216"/>
        <v>#VALUE!</v>
      </c>
      <c r="T144" s="149" t="e">
        <f t="shared" si="217"/>
        <v>#VALUE!</v>
      </c>
      <c r="U144" s="146" t="e">
        <f t="shared" si="218"/>
        <v>#VALUE!</v>
      </c>
      <c r="V144" s="146" t="e">
        <f t="shared" si="219"/>
        <v>#VALUE!</v>
      </c>
      <c r="W144" s="149" t="e">
        <f t="shared" si="220"/>
        <v>#VALUE!</v>
      </c>
      <c r="X144" s="149" t="e">
        <f t="shared" si="221"/>
        <v>#VALUE!</v>
      </c>
      <c r="Y144" s="149" t="e">
        <f t="shared" si="222"/>
        <v>#VALUE!</v>
      </c>
      <c r="AG144">
        <f t="shared" si="176"/>
        <v>9</v>
      </c>
      <c r="AH144">
        <v>4</v>
      </c>
    </row>
    <row r="145" spans="1:34" ht="18.600000000000001" thickBot="1" x14ac:dyDescent="0.35">
      <c r="A145" t="str">
        <f t="shared" si="200"/>
        <v>9.5</v>
      </c>
      <c r="B145" s="137">
        <f t="shared" si="202"/>
        <v>1</v>
      </c>
      <c r="C145" s="141" t="e">
        <f>VLOOKUP(CONCATENATE(AH145,".",3),'Resultados - 9'!$A$10:$G$156,5,FALSE)/$D$73</f>
        <v>#VALUE!</v>
      </c>
      <c r="D145" s="161" t="e">
        <f t="shared" si="203"/>
        <v>#VALUE!</v>
      </c>
      <c r="E145" s="146">
        <f t="shared" si="204"/>
        <v>0.6</v>
      </c>
      <c r="F145" s="177" t="e">
        <f t="shared" si="205"/>
        <v>#VALUE!</v>
      </c>
      <c r="H145" s="149" t="e">
        <f t="shared" si="206"/>
        <v>#VALUE!</v>
      </c>
      <c r="I145" s="146" t="e">
        <f t="shared" si="207"/>
        <v>#VALUE!</v>
      </c>
      <c r="J145" s="146" t="e">
        <f t="shared" si="208"/>
        <v>#VALUE!</v>
      </c>
      <c r="K145" s="149" t="e">
        <f t="shared" si="209"/>
        <v>#VALUE!</v>
      </c>
      <c r="L145" s="149" t="e">
        <f t="shared" si="210"/>
        <v>#VALUE!</v>
      </c>
      <c r="M145" s="149" t="e">
        <f t="shared" si="211"/>
        <v>#VALUE!</v>
      </c>
      <c r="O145" s="137">
        <f t="shared" si="212"/>
        <v>1</v>
      </c>
      <c r="P145" s="141" t="e">
        <f t="shared" si="213"/>
        <v>#VALUE!</v>
      </c>
      <c r="Q145" s="161" t="e">
        <f t="shared" si="214"/>
        <v>#VALUE!</v>
      </c>
      <c r="R145" s="146" t="e">
        <f t="shared" si="215"/>
        <v>#VALUE!</v>
      </c>
      <c r="S145" s="177" t="e">
        <f t="shared" si="216"/>
        <v>#VALUE!</v>
      </c>
      <c r="T145" s="149" t="e">
        <f t="shared" si="217"/>
        <v>#VALUE!</v>
      </c>
      <c r="U145" s="146" t="e">
        <f t="shared" si="218"/>
        <v>#VALUE!</v>
      </c>
      <c r="V145" s="146" t="e">
        <f t="shared" si="219"/>
        <v>#VALUE!</v>
      </c>
      <c r="W145" s="149" t="e">
        <f t="shared" si="220"/>
        <v>#VALUE!</v>
      </c>
      <c r="X145" s="149" t="e">
        <f t="shared" si="221"/>
        <v>#VALUE!</v>
      </c>
      <c r="Y145" s="149" t="e">
        <f t="shared" si="222"/>
        <v>#VALUE!</v>
      </c>
      <c r="AG145">
        <f t="shared" si="176"/>
        <v>9</v>
      </c>
      <c r="AH145">
        <v>5</v>
      </c>
    </row>
    <row r="146" spans="1:34" ht="18.600000000000001" thickBot="1" x14ac:dyDescent="0.35">
      <c r="A146" t="str">
        <f t="shared" si="200"/>
        <v>9.6</v>
      </c>
      <c r="B146" s="137">
        <f t="shared" si="202"/>
        <v>1</v>
      </c>
      <c r="C146" s="141" t="e">
        <f>VLOOKUP(CONCATENATE(AH146,".",3),'Resultados - 9'!$A$10:$G$156,5,FALSE)/$D$73</f>
        <v>#VALUE!</v>
      </c>
      <c r="D146" s="161" t="e">
        <f t="shared" si="203"/>
        <v>#VALUE!</v>
      </c>
      <c r="E146" s="146">
        <f t="shared" si="204"/>
        <v>0.6</v>
      </c>
      <c r="F146" s="177" t="e">
        <f t="shared" si="205"/>
        <v>#VALUE!</v>
      </c>
      <c r="H146" s="149" t="e">
        <f t="shared" si="206"/>
        <v>#VALUE!</v>
      </c>
      <c r="I146" s="146" t="e">
        <f t="shared" si="207"/>
        <v>#VALUE!</v>
      </c>
      <c r="J146" s="146" t="e">
        <f t="shared" si="208"/>
        <v>#VALUE!</v>
      </c>
      <c r="K146" s="149" t="e">
        <f t="shared" si="209"/>
        <v>#VALUE!</v>
      </c>
      <c r="L146" s="149" t="e">
        <f t="shared" si="210"/>
        <v>#VALUE!</v>
      </c>
      <c r="M146" s="149" t="e">
        <f t="shared" si="211"/>
        <v>#VALUE!</v>
      </c>
      <c r="O146" s="137">
        <f t="shared" si="212"/>
        <v>1</v>
      </c>
      <c r="P146" s="141" t="e">
        <f t="shared" si="213"/>
        <v>#VALUE!</v>
      </c>
      <c r="Q146" s="161" t="e">
        <f t="shared" si="214"/>
        <v>#VALUE!</v>
      </c>
      <c r="R146" s="146" t="e">
        <f t="shared" si="215"/>
        <v>#VALUE!</v>
      </c>
      <c r="S146" s="177" t="e">
        <f t="shared" si="216"/>
        <v>#VALUE!</v>
      </c>
      <c r="T146" s="149" t="e">
        <f t="shared" si="217"/>
        <v>#VALUE!</v>
      </c>
      <c r="U146" s="146" t="e">
        <f t="shared" si="218"/>
        <v>#VALUE!</v>
      </c>
      <c r="V146" s="146" t="e">
        <f t="shared" si="219"/>
        <v>#VALUE!</v>
      </c>
      <c r="W146" s="149" t="e">
        <f t="shared" si="220"/>
        <v>#VALUE!</v>
      </c>
      <c r="X146" s="149" t="e">
        <f t="shared" si="221"/>
        <v>#VALUE!</v>
      </c>
      <c r="Y146" s="149" t="e">
        <f t="shared" si="222"/>
        <v>#VALUE!</v>
      </c>
      <c r="AG146">
        <f t="shared" si="176"/>
        <v>9</v>
      </c>
      <c r="AH146">
        <v>6</v>
      </c>
    </row>
    <row r="147" spans="1:34" ht="18.600000000000001" thickBot="1" x14ac:dyDescent="0.35">
      <c r="A147" t="str">
        <f t="shared" si="200"/>
        <v>9.7</v>
      </c>
      <c r="B147" s="137">
        <f t="shared" si="202"/>
        <v>1</v>
      </c>
      <c r="C147" s="141" t="e">
        <f>VLOOKUP(CONCATENATE(AH147,".",3),'Resultados - 9'!$A$10:$G$156,5,FALSE)/$D$73</f>
        <v>#VALUE!</v>
      </c>
      <c r="D147" s="161" t="e">
        <f t="shared" si="203"/>
        <v>#VALUE!</v>
      </c>
      <c r="E147" s="146">
        <f t="shared" si="204"/>
        <v>0.6</v>
      </c>
      <c r="F147" s="177" t="e">
        <f t="shared" si="205"/>
        <v>#VALUE!</v>
      </c>
      <c r="H147" s="149" t="e">
        <f t="shared" si="206"/>
        <v>#VALUE!</v>
      </c>
      <c r="I147" s="146" t="e">
        <f t="shared" si="207"/>
        <v>#VALUE!</v>
      </c>
      <c r="J147" s="146" t="e">
        <f t="shared" si="208"/>
        <v>#VALUE!</v>
      </c>
      <c r="K147" s="149" t="e">
        <f t="shared" si="209"/>
        <v>#VALUE!</v>
      </c>
      <c r="L147" s="149" t="e">
        <f t="shared" si="210"/>
        <v>#VALUE!</v>
      </c>
      <c r="M147" s="149" t="e">
        <f t="shared" si="211"/>
        <v>#VALUE!</v>
      </c>
      <c r="O147" s="137">
        <f t="shared" si="212"/>
        <v>1</v>
      </c>
      <c r="P147" s="141" t="e">
        <f t="shared" si="213"/>
        <v>#VALUE!</v>
      </c>
      <c r="Q147" s="161" t="e">
        <f t="shared" si="214"/>
        <v>#VALUE!</v>
      </c>
      <c r="R147" s="146" t="e">
        <f t="shared" si="215"/>
        <v>#VALUE!</v>
      </c>
      <c r="S147" s="177" t="e">
        <f t="shared" si="216"/>
        <v>#VALUE!</v>
      </c>
      <c r="T147" s="149" t="e">
        <f t="shared" si="217"/>
        <v>#VALUE!</v>
      </c>
      <c r="U147" s="146" t="e">
        <f t="shared" si="218"/>
        <v>#VALUE!</v>
      </c>
      <c r="V147" s="146" t="e">
        <f t="shared" si="219"/>
        <v>#VALUE!</v>
      </c>
      <c r="W147" s="149" t="e">
        <f t="shared" si="220"/>
        <v>#VALUE!</v>
      </c>
      <c r="X147" s="149" t="e">
        <f t="shared" si="221"/>
        <v>#VALUE!</v>
      </c>
      <c r="Y147" s="149" t="e">
        <f t="shared" si="222"/>
        <v>#VALUE!</v>
      </c>
      <c r="AG147">
        <f t="shared" si="176"/>
        <v>9</v>
      </c>
      <c r="AH147">
        <v>7</v>
      </c>
    </row>
    <row r="148" spans="1:34" ht="18.600000000000001" thickBot="1" x14ac:dyDescent="0.35">
      <c r="A148" s="182"/>
      <c r="B148" s="183"/>
      <c r="C148" s="184"/>
      <c r="D148" s="185"/>
      <c r="E148" s="186"/>
      <c r="F148" s="186"/>
      <c r="G148" s="187"/>
      <c r="H148" s="188"/>
      <c r="I148" s="186"/>
      <c r="J148" s="186"/>
      <c r="K148" s="188"/>
      <c r="L148" s="188"/>
      <c r="M148" s="188"/>
      <c r="N148" s="182"/>
      <c r="O148" s="183"/>
      <c r="P148" s="184"/>
      <c r="Q148" s="185"/>
      <c r="R148" s="186"/>
      <c r="S148" s="186"/>
      <c r="T148" s="188"/>
      <c r="U148" s="186"/>
      <c r="V148" s="186"/>
      <c r="W148" s="188"/>
      <c r="X148" s="188"/>
      <c r="Y148" s="188"/>
    </row>
    <row r="149" spans="1:34" ht="18.600000000000001" thickBot="1" x14ac:dyDescent="0.35">
      <c r="A149" t="str">
        <f t="shared" ref="A149:A155" si="223">CONCATENATE(AG149,".",AH149)</f>
        <v>10.1</v>
      </c>
      <c r="B149" s="137">
        <f>$B$73/$D$73</f>
        <v>1</v>
      </c>
      <c r="C149" s="141">
        <f>VLOOKUP(CONCATENATE(AH149,".",3),'Resultados - 10'!$A$10:$G$156,5,FALSE)/$D$73</f>
        <v>0.1</v>
      </c>
      <c r="D149" s="161">
        <f>IF(C149/B149&lt;0.1,"Valor Abaixo de 10% - Não Válido",C149/B149*100)</f>
        <v>10</v>
      </c>
      <c r="E149" s="146">
        <f>IFERROR(VLOOKUP(D149,$A$39:$F$56,$E$57,FALSE),VLOOKUP(100,$A$39:$F$56,$E$57,FALSE))</f>
        <v>6</v>
      </c>
      <c r="F149" s="177">
        <f>B149/C149*E149</f>
        <v>60</v>
      </c>
      <c r="H149" s="149">
        <f>IF(OR(D149=10,D149=50,D149=100),C149*E149%,C149*F149%)</f>
        <v>6.0000000000000001E-3</v>
      </c>
      <c r="I149" s="146">
        <f>VLOOKUP(D149,$A$39:$F$56,$F$57,FALSE)</f>
        <v>1</v>
      </c>
      <c r="J149" s="146">
        <f>B149/C149*I149</f>
        <v>10</v>
      </c>
      <c r="K149" s="149">
        <f>IF(OR(D149=10,D149=50,D149=100),C149*I149%,C149*J149%)</f>
        <v>1E-3</v>
      </c>
      <c r="L149" s="149">
        <f>H149*$D$73</f>
        <v>6</v>
      </c>
      <c r="M149" s="149">
        <f>K149*$D$73</f>
        <v>1</v>
      </c>
      <c r="O149" s="137">
        <f>B149</f>
        <v>1</v>
      </c>
      <c r="P149" s="141">
        <f>C149</f>
        <v>0.1</v>
      </c>
      <c r="Q149" s="161">
        <f>IF(P149/O149&lt;0.1,"Valor Abaixo de 10% - Não Válido",O149/O149*100)</f>
        <v>100</v>
      </c>
      <c r="R149" s="146">
        <f>VLOOKUP(Q149,$G$39:$L$56,$K$57,FALSE)</f>
        <v>0.6</v>
      </c>
      <c r="S149" s="177">
        <f>O149/P149*R149</f>
        <v>6</v>
      </c>
      <c r="T149" s="149">
        <f>IF(OR(Q149=10,Q149=50,Q149=100),O149*R149%,O149*S149%)</f>
        <v>6.0000000000000001E-3</v>
      </c>
      <c r="U149" s="146">
        <f>VLOOKUP(Q149,$G$39:$L$56,$L$57,FALSE)</f>
        <v>0.1</v>
      </c>
      <c r="V149" s="146">
        <f>O149/P149*U149</f>
        <v>1</v>
      </c>
      <c r="W149" s="149">
        <f>IF(OR(Q149=10,Q149=50,Q149=100),O149*U149%,O149*V149%)</f>
        <v>1E-3</v>
      </c>
      <c r="X149" s="149">
        <f>T149*$D$73</f>
        <v>6</v>
      </c>
      <c r="Y149" s="149">
        <f>W149*$D$73</f>
        <v>1</v>
      </c>
      <c r="AG149">
        <f t="shared" ref="AG149" si="224">AG147+1</f>
        <v>10</v>
      </c>
      <c r="AH149">
        <v>1</v>
      </c>
    </row>
    <row r="150" spans="1:34" ht="18.600000000000001" thickBot="1" x14ac:dyDescent="0.35">
      <c r="A150" t="str">
        <f t="shared" si="223"/>
        <v>10.2</v>
      </c>
      <c r="B150" s="137">
        <f t="shared" ref="B150:B155" si="225">$B$73/$D$73</f>
        <v>1</v>
      </c>
      <c r="C150" s="141">
        <f>VLOOKUP(CONCATENATE(AH150,".",3),'Resultados - 10'!$A$10:$G$156,5,FALSE)/$D$73</f>
        <v>0.5</v>
      </c>
      <c r="D150" s="161">
        <f t="shared" ref="D150:D155" si="226">IF(C150/B150&lt;0.1,"Valor Abaixo de 10% - Não Válido",C150/B150*100)</f>
        <v>50</v>
      </c>
      <c r="E150" s="146">
        <f t="shared" ref="E150:E155" si="227">IFERROR(VLOOKUP(D150,$A$39:$F$56,$E$57,FALSE),VLOOKUP(100,$A$39:$F$56,$E$57,FALSE))</f>
        <v>1.2</v>
      </c>
      <c r="F150" s="177">
        <f t="shared" ref="F150:F155" si="228">B150/C150*E150</f>
        <v>2.4</v>
      </c>
      <c r="H150" s="149">
        <f t="shared" ref="H150:H155" si="229">IF(OR(D150=10,D150=50,D150=100),C150*E150%,C150*F150%)</f>
        <v>6.0000000000000001E-3</v>
      </c>
      <c r="I150" s="146">
        <f t="shared" ref="I150:I155" si="230">VLOOKUP(D150,$A$39:$F$56,$F$57,FALSE)</f>
        <v>0.2</v>
      </c>
      <c r="J150" s="146">
        <f t="shared" ref="J150:J155" si="231">B150/C150*I150</f>
        <v>0.4</v>
      </c>
      <c r="K150" s="149">
        <f t="shared" ref="K150:K155" si="232">IF(OR(D150=10,D150=50,D150=100),C150*I150%,C150*J150%)</f>
        <v>1E-3</v>
      </c>
      <c r="L150" s="149">
        <f t="shared" ref="L150:L155" si="233">H150*$D$73</f>
        <v>6</v>
      </c>
      <c r="M150" s="149">
        <f t="shared" ref="M150:M155" si="234">K150*$D$73</f>
        <v>1</v>
      </c>
      <c r="O150" s="137">
        <f t="shared" ref="O150:O155" si="235">B150</f>
        <v>1</v>
      </c>
      <c r="P150" s="141">
        <f t="shared" ref="P150:P155" si="236">C150</f>
        <v>0.5</v>
      </c>
      <c r="Q150" s="161">
        <f t="shared" ref="Q150:Q155" si="237">IF(P150/O150&lt;0.1,"Valor Abaixo de 10% - Não Válido",O150/O150*100)</f>
        <v>100</v>
      </c>
      <c r="R150" s="146">
        <f t="shared" ref="R150:R155" si="238">VLOOKUP(Q150,$G$39:$L$56,$K$57,FALSE)</f>
        <v>0.6</v>
      </c>
      <c r="S150" s="177">
        <f t="shared" ref="S150:S155" si="239">O150/P150*R150</f>
        <v>1.2</v>
      </c>
      <c r="T150" s="149">
        <f t="shared" ref="T150:T155" si="240">IF(OR(Q150=10,Q150=50,Q150=100),O150*R150%,O150*S150%)</f>
        <v>6.0000000000000001E-3</v>
      </c>
      <c r="U150" s="146">
        <f t="shared" ref="U150:U155" si="241">VLOOKUP(Q150,$G$39:$L$56,$L$57,FALSE)</f>
        <v>0.1</v>
      </c>
      <c r="V150" s="146">
        <f t="shared" ref="V150:V155" si="242">O150/P150*U150</f>
        <v>0.2</v>
      </c>
      <c r="W150" s="149">
        <f t="shared" ref="W150:W155" si="243">IF(OR(Q150=10,Q150=50,Q150=100),O150*U150%,O150*V150%)</f>
        <v>1E-3</v>
      </c>
      <c r="X150" s="149">
        <f t="shared" ref="X150:X155" si="244">T150*$D$73</f>
        <v>6</v>
      </c>
      <c r="Y150" s="149">
        <f t="shared" ref="Y150:Y155" si="245">W150*$D$73</f>
        <v>1</v>
      </c>
      <c r="AG150">
        <f t="shared" si="176"/>
        <v>10</v>
      </c>
      <c r="AH150">
        <v>2</v>
      </c>
    </row>
    <row r="151" spans="1:34" ht="18.600000000000001" thickBot="1" x14ac:dyDescent="0.35">
      <c r="A151" t="str">
        <f t="shared" si="223"/>
        <v>10.3</v>
      </c>
      <c r="B151" s="137">
        <f t="shared" si="225"/>
        <v>1</v>
      </c>
      <c r="C151" s="141">
        <f>VLOOKUP(CONCATENATE(AH151,".",3),'Resultados - 10'!$A$10:$G$156,5,FALSE)/$D$73</f>
        <v>1</v>
      </c>
      <c r="D151" s="161">
        <f t="shared" si="226"/>
        <v>100</v>
      </c>
      <c r="E151" s="146">
        <f t="shared" si="227"/>
        <v>0.6</v>
      </c>
      <c r="F151" s="177">
        <f t="shared" si="228"/>
        <v>0.6</v>
      </c>
      <c r="H151" s="149">
        <f t="shared" si="229"/>
        <v>6.0000000000000001E-3</v>
      </c>
      <c r="I151" s="146">
        <f t="shared" si="230"/>
        <v>0.1</v>
      </c>
      <c r="J151" s="146">
        <f t="shared" si="231"/>
        <v>0.1</v>
      </c>
      <c r="K151" s="149">
        <f t="shared" si="232"/>
        <v>1E-3</v>
      </c>
      <c r="L151" s="149">
        <f t="shared" si="233"/>
        <v>6</v>
      </c>
      <c r="M151" s="149">
        <f t="shared" si="234"/>
        <v>1</v>
      </c>
      <c r="O151" s="137">
        <f t="shared" si="235"/>
        <v>1</v>
      </c>
      <c r="P151" s="141">
        <f t="shared" si="236"/>
        <v>1</v>
      </c>
      <c r="Q151" s="161">
        <f t="shared" si="237"/>
        <v>100</v>
      </c>
      <c r="R151" s="146">
        <f t="shared" si="238"/>
        <v>0.6</v>
      </c>
      <c r="S151" s="177">
        <f t="shared" si="239"/>
        <v>0.6</v>
      </c>
      <c r="T151" s="149">
        <f t="shared" si="240"/>
        <v>6.0000000000000001E-3</v>
      </c>
      <c r="U151" s="146">
        <f t="shared" si="241"/>
        <v>0.1</v>
      </c>
      <c r="V151" s="146">
        <f t="shared" si="242"/>
        <v>0.1</v>
      </c>
      <c r="W151" s="149">
        <f t="shared" si="243"/>
        <v>1E-3</v>
      </c>
      <c r="X151" s="149">
        <f t="shared" si="244"/>
        <v>6</v>
      </c>
      <c r="Y151" s="149">
        <f t="shared" si="245"/>
        <v>1</v>
      </c>
      <c r="AG151">
        <f t="shared" si="176"/>
        <v>10</v>
      </c>
      <c r="AH151">
        <v>3</v>
      </c>
    </row>
    <row r="152" spans="1:34" ht="18.600000000000001" thickBot="1" x14ac:dyDescent="0.35">
      <c r="A152" t="str">
        <f t="shared" si="223"/>
        <v>10.4</v>
      </c>
      <c r="B152" s="137">
        <f t="shared" si="225"/>
        <v>1</v>
      </c>
      <c r="C152" s="141" t="e">
        <f>VLOOKUP(CONCATENATE(AH152,".",3),'Resultados - 10'!$A$10:$G$156,5,FALSE)/$D$73</f>
        <v>#VALUE!</v>
      </c>
      <c r="D152" s="161" t="e">
        <f t="shared" si="226"/>
        <v>#VALUE!</v>
      </c>
      <c r="E152" s="146">
        <f t="shared" si="227"/>
        <v>0.6</v>
      </c>
      <c r="F152" s="177" t="e">
        <f t="shared" si="228"/>
        <v>#VALUE!</v>
      </c>
      <c r="H152" s="149" t="e">
        <f t="shared" si="229"/>
        <v>#VALUE!</v>
      </c>
      <c r="I152" s="146" t="e">
        <f t="shared" si="230"/>
        <v>#VALUE!</v>
      </c>
      <c r="J152" s="146" t="e">
        <f t="shared" si="231"/>
        <v>#VALUE!</v>
      </c>
      <c r="K152" s="149" t="e">
        <f t="shared" si="232"/>
        <v>#VALUE!</v>
      </c>
      <c r="L152" s="149" t="e">
        <f t="shared" si="233"/>
        <v>#VALUE!</v>
      </c>
      <c r="M152" s="149" t="e">
        <f t="shared" si="234"/>
        <v>#VALUE!</v>
      </c>
      <c r="O152" s="137">
        <f t="shared" si="235"/>
        <v>1</v>
      </c>
      <c r="P152" s="141" t="e">
        <f t="shared" si="236"/>
        <v>#VALUE!</v>
      </c>
      <c r="Q152" s="161" t="e">
        <f t="shared" si="237"/>
        <v>#VALUE!</v>
      </c>
      <c r="R152" s="146" t="e">
        <f t="shared" si="238"/>
        <v>#VALUE!</v>
      </c>
      <c r="S152" s="177" t="e">
        <f t="shared" si="239"/>
        <v>#VALUE!</v>
      </c>
      <c r="T152" s="149" t="e">
        <f t="shared" si="240"/>
        <v>#VALUE!</v>
      </c>
      <c r="U152" s="146" t="e">
        <f t="shared" si="241"/>
        <v>#VALUE!</v>
      </c>
      <c r="V152" s="146" t="e">
        <f t="shared" si="242"/>
        <v>#VALUE!</v>
      </c>
      <c r="W152" s="149" t="e">
        <f t="shared" si="243"/>
        <v>#VALUE!</v>
      </c>
      <c r="X152" s="149" t="e">
        <f t="shared" si="244"/>
        <v>#VALUE!</v>
      </c>
      <c r="Y152" s="149" t="e">
        <f t="shared" si="245"/>
        <v>#VALUE!</v>
      </c>
      <c r="AG152">
        <f t="shared" si="176"/>
        <v>10</v>
      </c>
      <c r="AH152">
        <v>4</v>
      </c>
    </row>
    <row r="153" spans="1:34" ht="18.600000000000001" thickBot="1" x14ac:dyDescent="0.35">
      <c r="A153" t="str">
        <f t="shared" si="223"/>
        <v>10.5</v>
      </c>
      <c r="B153" s="137">
        <f t="shared" si="225"/>
        <v>1</v>
      </c>
      <c r="C153" s="141" t="e">
        <f>VLOOKUP(CONCATENATE(AH153,".",3),'Resultados - 10'!$A$10:$G$156,5,FALSE)/$D$73</f>
        <v>#VALUE!</v>
      </c>
      <c r="D153" s="161" t="e">
        <f t="shared" si="226"/>
        <v>#VALUE!</v>
      </c>
      <c r="E153" s="146">
        <f t="shared" si="227"/>
        <v>0.6</v>
      </c>
      <c r="F153" s="177" t="e">
        <f t="shared" si="228"/>
        <v>#VALUE!</v>
      </c>
      <c r="H153" s="149" t="e">
        <f t="shared" si="229"/>
        <v>#VALUE!</v>
      </c>
      <c r="I153" s="146" t="e">
        <f t="shared" si="230"/>
        <v>#VALUE!</v>
      </c>
      <c r="J153" s="146" t="e">
        <f t="shared" si="231"/>
        <v>#VALUE!</v>
      </c>
      <c r="K153" s="149" t="e">
        <f t="shared" si="232"/>
        <v>#VALUE!</v>
      </c>
      <c r="L153" s="149" t="e">
        <f t="shared" si="233"/>
        <v>#VALUE!</v>
      </c>
      <c r="M153" s="149" t="e">
        <f t="shared" si="234"/>
        <v>#VALUE!</v>
      </c>
      <c r="O153" s="137">
        <f t="shared" si="235"/>
        <v>1</v>
      </c>
      <c r="P153" s="141" t="e">
        <f t="shared" si="236"/>
        <v>#VALUE!</v>
      </c>
      <c r="Q153" s="161" t="e">
        <f t="shared" si="237"/>
        <v>#VALUE!</v>
      </c>
      <c r="R153" s="146" t="e">
        <f t="shared" si="238"/>
        <v>#VALUE!</v>
      </c>
      <c r="S153" s="177" t="e">
        <f t="shared" si="239"/>
        <v>#VALUE!</v>
      </c>
      <c r="T153" s="149" t="e">
        <f t="shared" si="240"/>
        <v>#VALUE!</v>
      </c>
      <c r="U153" s="146" t="e">
        <f t="shared" si="241"/>
        <v>#VALUE!</v>
      </c>
      <c r="V153" s="146" t="e">
        <f t="shared" si="242"/>
        <v>#VALUE!</v>
      </c>
      <c r="W153" s="149" t="e">
        <f t="shared" si="243"/>
        <v>#VALUE!</v>
      </c>
      <c r="X153" s="149" t="e">
        <f t="shared" si="244"/>
        <v>#VALUE!</v>
      </c>
      <c r="Y153" s="149" t="e">
        <f t="shared" si="245"/>
        <v>#VALUE!</v>
      </c>
      <c r="AG153">
        <f t="shared" si="176"/>
        <v>10</v>
      </c>
      <c r="AH153">
        <v>5</v>
      </c>
    </row>
    <row r="154" spans="1:34" ht="18.600000000000001" thickBot="1" x14ac:dyDescent="0.35">
      <c r="A154" t="str">
        <f t="shared" si="223"/>
        <v>10.6</v>
      </c>
      <c r="B154" s="137">
        <f t="shared" si="225"/>
        <v>1</v>
      </c>
      <c r="C154" s="141" t="e">
        <f>VLOOKUP(CONCATENATE(AH154,".",3),'Resultados - 10'!$A$10:$G$156,5,FALSE)/$D$73</f>
        <v>#VALUE!</v>
      </c>
      <c r="D154" s="161" t="e">
        <f t="shared" si="226"/>
        <v>#VALUE!</v>
      </c>
      <c r="E154" s="146">
        <f t="shared" si="227"/>
        <v>0.6</v>
      </c>
      <c r="F154" s="177" t="e">
        <f t="shared" si="228"/>
        <v>#VALUE!</v>
      </c>
      <c r="H154" s="149" t="e">
        <f t="shared" si="229"/>
        <v>#VALUE!</v>
      </c>
      <c r="I154" s="146" t="e">
        <f t="shared" si="230"/>
        <v>#VALUE!</v>
      </c>
      <c r="J154" s="146" t="e">
        <f t="shared" si="231"/>
        <v>#VALUE!</v>
      </c>
      <c r="K154" s="149" t="e">
        <f t="shared" si="232"/>
        <v>#VALUE!</v>
      </c>
      <c r="L154" s="149" t="e">
        <f t="shared" si="233"/>
        <v>#VALUE!</v>
      </c>
      <c r="M154" s="149" t="e">
        <f t="shared" si="234"/>
        <v>#VALUE!</v>
      </c>
      <c r="O154" s="137">
        <f t="shared" si="235"/>
        <v>1</v>
      </c>
      <c r="P154" s="141" t="e">
        <f t="shared" si="236"/>
        <v>#VALUE!</v>
      </c>
      <c r="Q154" s="161" t="e">
        <f t="shared" si="237"/>
        <v>#VALUE!</v>
      </c>
      <c r="R154" s="146" t="e">
        <f t="shared" si="238"/>
        <v>#VALUE!</v>
      </c>
      <c r="S154" s="177" t="e">
        <f t="shared" si="239"/>
        <v>#VALUE!</v>
      </c>
      <c r="T154" s="149" t="e">
        <f t="shared" si="240"/>
        <v>#VALUE!</v>
      </c>
      <c r="U154" s="146" t="e">
        <f t="shared" si="241"/>
        <v>#VALUE!</v>
      </c>
      <c r="V154" s="146" t="e">
        <f t="shared" si="242"/>
        <v>#VALUE!</v>
      </c>
      <c r="W154" s="149" t="e">
        <f t="shared" si="243"/>
        <v>#VALUE!</v>
      </c>
      <c r="X154" s="149" t="e">
        <f t="shared" si="244"/>
        <v>#VALUE!</v>
      </c>
      <c r="Y154" s="149" t="e">
        <f t="shared" si="245"/>
        <v>#VALUE!</v>
      </c>
      <c r="AG154">
        <f t="shared" si="176"/>
        <v>10</v>
      </c>
      <c r="AH154">
        <v>6</v>
      </c>
    </row>
    <row r="155" spans="1:34" ht="18.600000000000001" thickBot="1" x14ac:dyDescent="0.35">
      <c r="A155" t="str">
        <f t="shared" si="223"/>
        <v>10.7</v>
      </c>
      <c r="B155" s="137">
        <f t="shared" si="225"/>
        <v>1</v>
      </c>
      <c r="C155" s="141" t="e">
        <f>VLOOKUP(CONCATENATE(AH155,".",3),'Resultados - 10'!$A$10:$G$156,5,FALSE)/$D$73</f>
        <v>#VALUE!</v>
      </c>
      <c r="D155" s="161" t="e">
        <f t="shared" si="226"/>
        <v>#VALUE!</v>
      </c>
      <c r="E155" s="146">
        <f t="shared" si="227"/>
        <v>0.6</v>
      </c>
      <c r="F155" s="177" t="e">
        <f t="shared" si="228"/>
        <v>#VALUE!</v>
      </c>
      <c r="H155" s="149" t="e">
        <f t="shared" si="229"/>
        <v>#VALUE!</v>
      </c>
      <c r="I155" s="146" t="e">
        <f t="shared" si="230"/>
        <v>#VALUE!</v>
      </c>
      <c r="J155" s="146" t="e">
        <f t="shared" si="231"/>
        <v>#VALUE!</v>
      </c>
      <c r="K155" s="149" t="e">
        <f t="shared" si="232"/>
        <v>#VALUE!</v>
      </c>
      <c r="L155" s="149" t="e">
        <f t="shared" si="233"/>
        <v>#VALUE!</v>
      </c>
      <c r="M155" s="149" t="e">
        <f t="shared" si="234"/>
        <v>#VALUE!</v>
      </c>
      <c r="O155" s="137">
        <f t="shared" si="235"/>
        <v>1</v>
      </c>
      <c r="P155" s="141" t="e">
        <f t="shared" si="236"/>
        <v>#VALUE!</v>
      </c>
      <c r="Q155" s="161" t="e">
        <f t="shared" si="237"/>
        <v>#VALUE!</v>
      </c>
      <c r="R155" s="146" t="e">
        <f t="shared" si="238"/>
        <v>#VALUE!</v>
      </c>
      <c r="S155" s="177" t="e">
        <f t="shared" si="239"/>
        <v>#VALUE!</v>
      </c>
      <c r="T155" s="149" t="e">
        <f t="shared" si="240"/>
        <v>#VALUE!</v>
      </c>
      <c r="U155" s="146" t="e">
        <f t="shared" si="241"/>
        <v>#VALUE!</v>
      </c>
      <c r="V155" s="146" t="e">
        <f t="shared" si="242"/>
        <v>#VALUE!</v>
      </c>
      <c r="W155" s="149" t="e">
        <f t="shared" si="243"/>
        <v>#VALUE!</v>
      </c>
      <c r="X155" s="149" t="e">
        <f t="shared" si="244"/>
        <v>#VALUE!</v>
      </c>
      <c r="Y155" s="149" t="e">
        <f t="shared" si="245"/>
        <v>#VALUE!</v>
      </c>
      <c r="AG155">
        <f t="shared" si="176"/>
        <v>10</v>
      </c>
      <c r="AH155">
        <v>7</v>
      </c>
    </row>
    <row r="156" spans="1:34" ht="18.600000000000001" thickBot="1" x14ac:dyDescent="0.35">
      <c r="A156" s="182"/>
      <c r="B156" s="183"/>
      <c r="C156" s="184"/>
      <c r="D156" s="185"/>
      <c r="E156" s="186"/>
      <c r="F156" s="186"/>
      <c r="G156" s="187"/>
      <c r="H156" s="188"/>
      <c r="I156" s="186"/>
      <c r="J156" s="186"/>
      <c r="K156" s="188"/>
      <c r="L156" s="188"/>
      <c r="M156" s="188"/>
      <c r="N156" s="182"/>
      <c r="O156" s="183"/>
      <c r="P156" s="184"/>
      <c r="Q156" s="185"/>
      <c r="R156" s="186"/>
      <c r="S156" s="186"/>
      <c r="T156" s="188"/>
      <c r="U156" s="186"/>
      <c r="V156" s="186"/>
      <c r="W156" s="188"/>
      <c r="X156" s="188"/>
      <c r="Y156" s="188"/>
    </row>
    <row r="157" spans="1:34" ht="18.600000000000001" thickBot="1" x14ac:dyDescent="0.35">
      <c r="A157" t="str">
        <f t="shared" ref="A157:A163" si="246">CONCATENATE(AG157,".",AH157)</f>
        <v>11.1</v>
      </c>
      <c r="B157" s="137">
        <f>$B$73/$D$73</f>
        <v>1</v>
      </c>
      <c r="C157" s="141">
        <f>VLOOKUP(CONCATENATE(AH157,".",3),'Resultados - 11'!$A$10:$G$156,5,FALSE)/$D$73</f>
        <v>0.1</v>
      </c>
      <c r="D157" s="161">
        <f>IF(C157/B157&lt;0.1,"Valor Abaixo de 10% - Não Válido",C157/B157*100)</f>
        <v>10</v>
      </c>
      <c r="E157" s="146">
        <f>IFERROR(VLOOKUP(D157,$A$39:$F$56,$E$57,FALSE),VLOOKUP(100,$A$39:$F$56,$E$57,FALSE))</f>
        <v>6</v>
      </c>
      <c r="F157" s="177">
        <f>B157/C157*E157</f>
        <v>60</v>
      </c>
      <c r="H157" s="149">
        <f>IF(OR(D157=10,D157=50,D157=100),C157*E157%,C157*F157%)</f>
        <v>6.0000000000000001E-3</v>
      </c>
      <c r="I157" s="146">
        <f>VLOOKUP(D157,$A$39:$F$56,$F$57,FALSE)</f>
        <v>1</v>
      </c>
      <c r="J157" s="146">
        <f>B157/C157*I157</f>
        <v>10</v>
      </c>
      <c r="K157" s="149">
        <f>IF(OR(D157=10,D157=50,D157=100),C157*I157%,C157*J157%)</f>
        <v>1E-3</v>
      </c>
      <c r="L157" s="149">
        <f>H157*$D$73</f>
        <v>6</v>
      </c>
      <c r="M157" s="149">
        <f>K157*$D$73</f>
        <v>1</v>
      </c>
      <c r="O157" s="137">
        <f>B157</f>
        <v>1</v>
      </c>
      <c r="P157" s="141">
        <f>C157</f>
        <v>0.1</v>
      </c>
      <c r="Q157" s="161">
        <f>IF(P157/O157&lt;0.1,"Valor Abaixo de 10% - Não Válido",O157/O157*100)</f>
        <v>100</v>
      </c>
      <c r="R157" s="146">
        <f>VLOOKUP(Q157,$G$39:$L$56,$K$57,FALSE)</f>
        <v>0.6</v>
      </c>
      <c r="S157" s="177">
        <f>O157/P157*R157</f>
        <v>6</v>
      </c>
      <c r="T157" s="149">
        <f>IF(OR(Q157=10,Q157=50,Q157=100),O157*R157%,O157*S157%)</f>
        <v>6.0000000000000001E-3</v>
      </c>
      <c r="U157" s="146">
        <f>VLOOKUP(Q157,$G$39:$L$56,$L$57,FALSE)</f>
        <v>0.1</v>
      </c>
      <c r="V157" s="146">
        <f>O157/P157*U157</f>
        <v>1</v>
      </c>
      <c r="W157" s="149">
        <f>IF(OR(Q157=10,Q157=50,Q157=100),O157*U157%,O157*V157%)</f>
        <v>1E-3</v>
      </c>
      <c r="X157" s="149">
        <f>T157*$D$73</f>
        <v>6</v>
      </c>
      <c r="Y157" s="149">
        <f>W157*$D$73</f>
        <v>1</v>
      </c>
      <c r="AG157">
        <f t="shared" ref="AG157" si="247">AG155+1</f>
        <v>11</v>
      </c>
      <c r="AH157">
        <v>1</v>
      </c>
    </row>
    <row r="158" spans="1:34" ht="18.600000000000001" thickBot="1" x14ac:dyDescent="0.35">
      <c r="A158" t="str">
        <f t="shared" si="246"/>
        <v>11.2</v>
      </c>
      <c r="B158" s="137">
        <f t="shared" ref="B158:B163" si="248">$B$73/$D$73</f>
        <v>1</v>
      </c>
      <c r="C158" s="141">
        <f>VLOOKUP(CONCATENATE(AH158,".",3),'Resultados - 11'!$A$10:$G$156,5,FALSE)/$D$73</f>
        <v>0.5</v>
      </c>
      <c r="D158" s="161">
        <f t="shared" ref="D158:D163" si="249">IF(C158/B158&lt;0.1,"Valor Abaixo de 10% - Não Válido",C158/B158*100)</f>
        <v>50</v>
      </c>
      <c r="E158" s="146">
        <f t="shared" ref="E158:E163" si="250">IFERROR(VLOOKUP(D158,$A$39:$F$56,$E$57,FALSE),VLOOKUP(100,$A$39:$F$56,$E$57,FALSE))</f>
        <v>1.2</v>
      </c>
      <c r="F158" s="177">
        <f t="shared" ref="F158:F163" si="251">B158/C158*E158</f>
        <v>2.4</v>
      </c>
      <c r="H158" s="149">
        <f t="shared" ref="H158:H163" si="252">IF(OR(D158=10,D158=50,D158=100),C158*E158%,C158*F158%)</f>
        <v>6.0000000000000001E-3</v>
      </c>
      <c r="I158" s="146">
        <f t="shared" ref="I158:I163" si="253">VLOOKUP(D158,$A$39:$F$56,$F$57,FALSE)</f>
        <v>0.2</v>
      </c>
      <c r="J158" s="146">
        <f t="shared" ref="J158:J163" si="254">B158/C158*I158</f>
        <v>0.4</v>
      </c>
      <c r="K158" s="149">
        <f t="shared" ref="K158:K163" si="255">IF(OR(D158=10,D158=50,D158=100),C158*I158%,C158*J158%)</f>
        <v>1E-3</v>
      </c>
      <c r="L158" s="149">
        <f t="shared" ref="L158:L163" si="256">H158*$D$73</f>
        <v>6</v>
      </c>
      <c r="M158" s="149">
        <f t="shared" ref="M158:M163" si="257">K158*$D$73</f>
        <v>1</v>
      </c>
      <c r="O158" s="137">
        <f t="shared" ref="O158:O163" si="258">B158</f>
        <v>1</v>
      </c>
      <c r="P158" s="141">
        <f t="shared" ref="P158:P163" si="259">C158</f>
        <v>0.5</v>
      </c>
      <c r="Q158" s="161">
        <f t="shared" ref="Q158:Q163" si="260">IF(P158/O158&lt;0.1,"Valor Abaixo de 10% - Não Válido",O158/O158*100)</f>
        <v>100</v>
      </c>
      <c r="R158" s="146">
        <f t="shared" ref="R158:R163" si="261">VLOOKUP(Q158,$G$39:$L$56,$K$57,FALSE)</f>
        <v>0.6</v>
      </c>
      <c r="S158" s="177">
        <f t="shared" ref="S158:S163" si="262">O158/P158*R158</f>
        <v>1.2</v>
      </c>
      <c r="T158" s="149">
        <f t="shared" ref="T158:T163" si="263">IF(OR(Q158=10,Q158=50,Q158=100),O158*R158%,O158*S158%)</f>
        <v>6.0000000000000001E-3</v>
      </c>
      <c r="U158" s="146">
        <f t="shared" ref="U158:U163" si="264">VLOOKUP(Q158,$G$39:$L$56,$L$57,FALSE)</f>
        <v>0.1</v>
      </c>
      <c r="V158" s="146">
        <f t="shared" ref="V158:V163" si="265">O158/P158*U158</f>
        <v>0.2</v>
      </c>
      <c r="W158" s="149">
        <f t="shared" ref="W158:W163" si="266">IF(OR(Q158=10,Q158=50,Q158=100),O158*U158%,O158*V158%)</f>
        <v>1E-3</v>
      </c>
      <c r="X158" s="149">
        <f t="shared" ref="X158:X163" si="267">T158*$D$73</f>
        <v>6</v>
      </c>
      <c r="Y158" s="149">
        <f t="shared" ref="Y158:Y163" si="268">W158*$D$73</f>
        <v>1</v>
      </c>
      <c r="AG158">
        <f t="shared" si="176"/>
        <v>11</v>
      </c>
      <c r="AH158">
        <v>2</v>
      </c>
    </row>
    <row r="159" spans="1:34" ht="18.600000000000001" thickBot="1" x14ac:dyDescent="0.35">
      <c r="A159" t="str">
        <f t="shared" si="246"/>
        <v>11.3</v>
      </c>
      <c r="B159" s="137">
        <f t="shared" si="248"/>
        <v>1</v>
      </c>
      <c r="C159" s="141">
        <f>VLOOKUP(CONCATENATE(AH159,".",3),'Resultados - 11'!$A$10:$G$156,5,FALSE)/$D$73</f>
        <v>1</v>
      </c>
      <c r="D159" s="161">
        <f t="shared" si="249"/>
        <v>100</v>
      </c>
      <c r="E159" s="146">
        <f t="shared" si="250"/>
        <v>0.6</v>
      </c>
      <c r="F159" s="177">
        <f t="shared" si="251"/>
        <v>0.6</v>
      </c>
      <c r="H159" s="149">
        <f t="shared" si="252"/>
        <v>6.0000000000000001E-3</v>
      </c>
      <c r="I159" s="146">
        <f t="shared" si="253"/>
        <v>0.1</v>
      </c>
      <c r="J159" s="146">
        <f t="shared" si="254"/>
        <v>0.1</v>
      </c>
      <c r="K159" s="149">
        <f t="shared" si="255"/>
        <v>1E-3</v>
      </c>
      <c r="L159" s="149">
        <f t="shared" si="256"/>
        <v>6</v>
      </c>
      <c r="M159" s="149">
        <f t="shared" si="257"/>
        <v>1</v>
      </c>
      <c r="O159" s="137">
        <f t="shared" si="258"/>
        <v>1</v>
      </c>
      <c r="P159" s="141">
        <f t="shared" si="259"/>
        <v>1</v>
      </c>
      <c r="Q159" s="161">
        <f t="shared" si="260"/>
        <v>100</v>
      </c>
      <c r="R159" s="146">
        <f t="shared" si="261"/>
        <v>0.6</v>
      </c>
      <c r="S159" s="177">
        <f t="shared" si="262"/>
        <v>0.6</v>
      </c>
      <c r="T159" s="149">
        <f t="shared" si="263"/>
        <v>6.0000000000000001E-3</v>
      </c>
      <c r="U159" s="146">
        <f t="shared" si="264"/>
        <v>0.1</v>
      </c>
      <c r="V159" s="146">
        <f t="shared" si="265"/>
        <v>0.1</v>
      </c>
      <c r="W159" s="149">
        <f t="shared" si="266"/>
        <v>1E-3</v>
      </c>
      <c r="X159" s="149">
        <f t="shared" si="267"/>
        <v>6</v>
      </c>
      <c r="Y159" s="149">
        <f t="shared" si="268"/>
        <v>1</v>
      </c>
      <c r="AG159">
        <f t="shared" si="176"/>
        <v>11</v>
      </c>
      <c r="AH159">
        <v>3</v>
      </c>
    </row>
    <row r="160" spans="1:34" ht="18.600000000000001" thickBot="1" x14ac:dyDescent="0.35">
      <c r="A160" t="str">
        <f t="shared" si="246"/>
        <v>11.4</v>
      </c>
      <c r="B160" s="137">
        <f t="shared" si="248"/>
        <v>1</v>
      </c>
      <c r="C160" s="141" t="e">
        <f>VLOOKUP(CONCATENATE(AH160,".",3),'Resultados - 11'!$A$10:$G$156,5,FALSE)/$D$73</f>
        <v>#VALUE!</v>
      </c>
      <c r="D160" s="161" t="e">
        <f t="shared" si="249"/>
        <v>#VALUE!</v>
      </c>
      <c r="E160" s="146">
        <f t="shared" si="250"/>
        <v>0.6</v>
      </c>
      <c r="F160" s="177" t="e">
        <f t="shared" si="251"/>
        <v>#VALUE!</v>
      </c>
      <c r="H160" s="149" t="e">
        <f t="shared" si="252"/>
        <v>#VALUE!</v>
      </c>
      <c r="I160" s="146" t="e">
        <f t="shared" si="253"/>
        <v>#VALUE!</v>
      </c>
      <c r="J160" s="146" t="e">
        <f t="shared" si="254"/>
        <v>#VALUE!</v>
      </c>
      <c r="K160" s="149" t="e">
        <f t="shared" si="255"/>
        <v>#VALUE!</v>
      </c>
      <c r="L160" s="149" t="e">
        <f t="shared" si="256"/>
        <v>#VALUE!</v>
      </c>
      <c r="M160" s="149" t="e">
        <f t="shared" si="257"/>
        <v>#VALUE!</v>
      </c>
      <c r="O160" s="137">
        <f t="shared" si="258"/>
        <v>1</v>
      </c>
      <c r="P160" s="141" t="e">
        <f t="shared" si="259"/>
        <v>#VALUE!</v>
      </c>
      <c r="Q160" s="161" t="e">
        <f t="shared" si="260"/>
        <v>#VALUE!</v>
      </c>
      <c r="R160" s="146" t="e">
        <f t="shared" si="261"/>
        <v>#VALUE!</v>
      </c>
      <c r="S160" s="177" t="e">
        <f t="shared" si="262"/>
        <v>#VALUE!</v>
      </c>
      <c r="T160" s="149" t="e">
        <f t="shared" si="263"/>
        <v>#VALUE!</v>
      </c>
      <c r="U160" s="146" t="e">
        <f t="shared" si="264"/>
        <v>#VALUE!</v>
      </c>
      <c r="V160" s="146" t="e">
        <f t="shared" si="265"/>
        <v>#VALUE!</v>
      </c>
      <c r="W160" s="149" t="e">
        <f t="shared" si="266"/>
        <v>#VALUE!</v>
      </c>
      <c r="X160" s="149" t="e">
        <f t="shared" si="267"/>
        <v>#VALUE!</v>
      </c>
      <c r="Y160" s="149" t="e">
        <f t="shared" si="268"/>
        <v>#VALUE!</v>
      </c>
      <c r="AG160">
        <f t="shared" si="176"/>
        <v>11</v>
      </c>
      <c r="AH160">
        <v>4</v>
      </c>
    </row>
    <row r="161" spans="1:34" ht="18.600000000000001" thickBot="1" x14ac:dyDescent="0.35">
      <c r="A161" t="str">
        <f t="shared" si="246"/>
        <v>11.5</v>
      </c>
      <c r="B161" s="137">
        <f t="shared" si="248"/>
        <v>1</v>
      </c>
      <c r="C161" s="141" t="e">
        <f>VLOOKUP(CONCATENATE(AH161,".",3),'Resultados - 11'!$A$10:$G$156,5,FALSE)/$D$73</f>
        <v>#VALUE!</v>
      </c>
      <c r="D161" s="161" t="e">
        <f t="shared" si="249"/>
        <v>#VALUE!</v>
      </c>
      <c r="E161" s="146">
        <f t="shared" si="250"/>
        <v>0.6</v>
      </c>
      <c r="F161" s="177" t="e">
        <f t="shared" si="251"/>
        <v>#VALUE!</v>
      </c>
      <c r="H161" s="149" t="e">
        <f t="shared" si="252"/>
        <v>#VALUE!</v>
      </c>
      <c r="I161" s="146" t="e">
        <f t="shared" si="253"/>
        <v>#VALUE!</v>
      </c>
      <c r="J161" s="146" t="e">
        <f t="shared" si="254"/>
        <v>#VALUE!</v>
      </c>
      <c r="K161" s="149" t="e">
        <f t="shared" si="255"/>
        <v>#VALUE!</v>
      </c>
      <c r="L161" s="149" t="e">
        <f t="shared" si="256"/>
        <v>#VALUE!</v>
      </c>
      <c r="M161" s="149" t="e">
        <f t="shared" si="257"/>
        <v>#VALUE!</v>
      </c>
      <c r="O161" s="137">
        <f t="shared" si="258"/>
        <v>1</v>
      </c>
      <c r="P161" s="141" t="e">
        <f t="shared" si="259"/>
        <v>#VALUE!</v>
      </c>
      <c r="Q161" s="161" t="e">
        <f t="shared" si="260"/>
        <v>#VALUE!</v>
      </c>
      <c r="R161" s="146" t="e">
        <f t="shared" si="261"/>
        <v>#VALUE!</v>
      </c>
      <c r="S161" s="177" t="e">
        <f t="shared" si="262"/>
        <v>#VALUE!</v>
      </c>
      <c r="T161" s="149" t="e">
        <f t="shared" si="263"/>
        <v>#VALUE!</v>
      </c>
      <c r="U161" s="146" t="e">
        <f t="shared" si="264"/>
        <v>#VALUE!</v>
      </c>
      <c r="V161" s="146" t="e">
        <f t="shared" si="265"/>
        <v>#VALUE!</v>
      </c>
      <c r="W161" s="149" t="e">
        <f t="shared" si="266"/>
        <v>#VALUE!</v>
      </c>
      <c r="X161" s="149" t="e">
        <f t="shared" si="267"/>
        <v>#VALUE!</v>
      </c>
      <c r="Y161" s="149" t="e">
        <f t="shared" si="268"/>
        <v>#VALUE!</v>
      </c>
      <c r="AG161">
        <f t="shared" si="176"/>
        <v>11</v>
      </c>
      <c r="AH161">
        <v>5</v>
      </c>
    </row>
    <row r="162" spans="1:34" ht="18.600000000000001" thickBot="1" x14ac:dyDescent="0.35">
      <c r="A162" t="str">
        <f t="shared" si="246"/>
        <v>11.6</v>
      </c>
      <c r="B162" s="137">
        <f t="shared" si="248"/>
        <v>1</v>
      </c>
      <c r="C162" s="141" t="e">
        <f>VLOOKUP(CONCATENATE(AH162,".",3),'Resultados - 11'!$A$10:$G$156,5,FALSE)/$D$73</f>
        <v>#VALUE!</v>
      </c>
      <c r="D162" s="161" t="e">
        <f t="shared" si="249"/>
        <v>#VALUE!</v>
      </c>
      <c r="E162" s="146">
        <f t="shared" si="250"/>
        <v>0.6</v>
      </c>
      <c r="F162" s="177" t="e">
        <f t="shared" si="251"/>
        <v>#VALUE!</v>
      </c>
      <c r="H162" s="149" t="e">
        <f t="shared" si="252"/>
        <v>#VALUE!</v>
      </c>
      <c r="I162" s="146" t="e">
        <f t="shared" si="253"/>
        <v>#VALUE!</v>
      </c>
      <c r="J162" s="146" t="e">
        <f t="shared" si="254"/>
        <v>#VALUE!</v>
      </c>
      <c r="K162" s="149" t="e">
        <f t="shared" si="255"/>
        <v>#VALUE!</v>
      </c>
      <c r="L162" s="149" t="e">
        <f t="shared" si="256"/>
        <v>#VALUE!</v>
      </c>
      <c r="M162" s="149" t="e">
        <f t="shared" si="257"/>
        <v>#VALUE!</v>
      </c>
      <c r="O162" s="137">
        <f t="shared" si="258"/>
        <v>1</v>
      </c>
      <c r="P162" s="141" t="e">
        <f t="shared" si="259"/>
        <v>#VALUE!</v>
      </c>
      <c r="Q162" s="161" t="e">
        <f t="shared" si="260"/>
        <v>#VALUE!</v>
      </c>
      <c r="R162" s="146" t="e">
        <f t="shared" si="261"/>
        <v>#VALUE!</v>
      </c>
      <c r="S162" s="177" t="e">
        <f t="shared" si="262"/>
        <v>#VALUE!</v>
      </c>
      <c r="T162" s="149" t="e">
        <f t="shared" si="263"/>
        <v>#VALUE!</v>
      </c>
      <c r="U162" s="146" t="e">
        <f t="shared" si="264"/>
        <v>#VALUE!</v>
      </c>
      <c r="V162" s="146" t="e">
        <f t="shared" si="265"/>
        <v>#VALUE!</v>
      </c>
      <c r="W162" s="149" t="e">
        <f t="shared" si="266"/>
        <v>#VALUE!</v>
      </c>
      <c r="X162" s="149" t="e">
        <f t="shared" si="267"/>
        <v>#VALUE!</v>
      </c>
      <c r="Y162" s="149" t="e">
        <f t="shared" si="268"/>
        <v>#VALUE!</v>
      </c>
      <c r="AG162">
        <f t="shared" si="176"/>
        <v>11</v>
      </c>
      <c r="AH162">
        <v>6</v>
      </c>
    </row>
    <row r="163" spans="1:34" ht="18.600000000000001" thickBot="1" x14ac:dyDescent="0.35">
      <c r="A163" t="str">
        <f t="shared" si="246"/>
        <v>11.7</v>
      </c>
      <c r="B163" s="137">
        <f t="shared" si="248"/>
        <v>1</v>
      </c>
      <c r="C163" s="141" t="e">
        <f>VLOOKUP(CONCATENATE(AH163,".",3),'Resultados - 11'!$A$10:$G$156,5,FALSE)/$D$73</f>
        <v>#VALUE!</v>
      </c>
      <c r="D163" s="161" t="e">
        <f t="shared" si="249"/>
        <v>#VALUE!</v>
      </c>
      <c r="E163" s="146">
        <f t="shared" si="250"/>
        <v>0.6</v>
      </c>
      <c r="F163" s="177" t="e">
        <f t="shared" si="251"/>
        <v>#VALUE!</v>
      </c>
      <c r="H163" s="149" t="e">
        <f t="shared" si="252"/>
        <v>#VALUE!</v>
      </c>
      <c r="I163" s="146" t="e">
        <f t="shared" si="253"/>
        <v>#VALUE!</v>
      </c>
      <c r="J163" s="146" t="e">
        <f t="shared" si="254"/>
        <v>#VALUE!</v>
      </c>
      <c r="K163" s="149" t="e">
        <f t="shared" si="255"/>
        <v>#VALUE!</v>
      </c>
      <c r="L163" s="149" t="e">
        <f t="shared" si="256"/>
        <v>#VALUE!</v>
      </c>
      <c r="M163" s="149" t="e">
        <f t="shared" si="257"/>
        <v>#VALUE!</v>
      </c>
      <c r="O163" s="137">
        <f t="shared" si="258"/>
        <v>1</v>
      </c>
      <c r="P163" s="141" t="e">
        <f t="shared" si="259"/>
        <v>#VALUE!</v>
      </c>
      <c r="Q163" s="161" t="e">
        <f t="shared" si="260"/>
        <v>#VALUE!</v>
      </c>
      <c r="R163" s="146" t="e">
        <f t="shared" si="261"/>
        <v>#VALUE!</v>
      </c>
      <c r="S163" s="177" t="e">
        <f t="shared" si="262"/>
        <v>#VALUE!</v>
      </c>
      <c r="T163" s="149" t="e">
        <f t="shared" si="263"/>
        <v>#VALUE!</v>
      </c>
      <c r="U163" s="146" t="e">
        <f t="shared" si="264"/>
        <v>#VALUE!</v>
      </c>
      <c r="V163" s="146" t="e">
        <f t="shared" si="265"/>
        <v>#VALUE!</v>
      </c>
      <c r="W163" s="149" t="e">
        <f t="shared" si="266"/>
        <v>#VALUE!</v>
      </c>
      <c r="X163" s="149" t="e">
        <f t="shared" si="267"/>
        <v>#VALUE!</v>
      </c>
      <c r="Y163" s="149" t="e">
        <f t="shared" si="268"/>
        <v>#VALUE!</v>
      </c>
      <c r="AG163">
        <f t="shared" si="176"/>
        <v>11</v>
      </c>
      <c r="AH163">
        <v>7</v>
      </c>
    </row>
    <row r="164" spans="1:34" ht="18.600000000000001" thickBot="1" x14ac:dyDescent="0.35">
      <c r="A164" s="182"/>
      <c r="B164" s="183"/>
      <c r="C164" s="184"/>
      <c r="D164" s="185"/>
      <c r="E164" s="186"/>
      <c r="F164" s="186"/>
      <c r="G164" s="187"/>
      <c r="H164" s="188"/>
      <c r="I164" s="186"/>
      <c r="J164" s="186"/>
      <c r="K164" s="188"/>
      <c r="L164" s="188"/>
      <c r="M164" s="188"/>
      <c r="N164" s="182"/>
      <c r="O164" s="183"/>
      <c r="P164" s="184"/>
      <c r="Q164" s="185"/>
      <c r="R164" s="186"/>
      <c r="S164" s="186"/>
      <c r="T164" s="188"/>
      <c r="U164" s="186"/>
      <c r="V164" s="186"/>
      <c r="W164" s="188"/>
      <c r="X164" s="188"/>
      <c r="Y164" s="188"/>
    </row>
    <row r="165" spans="1:34" ht="18.600000000000001" thickBot="1" x14ac:dyDescent="0.35">
      <c r="A165" t="str">
        <f t="shared" ref="A165:A171" si="269">CONCATENATE(AG165,".",AH165)</f>
        <v>12.1</v>
      </c>
      <c r="B165" s="137">
        <f>$B$73/$D$73</f>
        <v>1</v>
      </c>
      <c r="C165" s="141">
        <f>VLOOKUP(CONCATENATE(AH165,".",3),'Resultados - 12'!$A$10:$G$156,5,FALSE)/$D$73</f>
        <v>0.1</v>
      </c>
      <c r="D165" s="161">
        <f>IF(C165/B165&lt;0.1,"Valor Abaixo de 10% - Não Válido",C165/B165*100)</f>
        <v>10</v>
      </c>
      <c r="E165" s="146">
        <f>IFERROR(VLOOKUP(D165,$A$39:$F$56,$E$57,FALSE),VLOOKUP(100,$A$39:$F$56,$E$57,FALSE))</f>
        <v>6</v>
      </c>
      <c r="F165" s="177">
        <f>B165/C165*E165</f>
        <v>60</v>
      </c>
      <c r="H165" s="149">
        <f>IF(OR(D165=10,D165=50,D165=100),C165*E165%,C165*F165%)</f>
        <v>6.0000000000000001E-3</v>
      </c>
      <c r="I165" s="146">
        <f>VLOOKUP(D165,$A$39:$F$56,$F$57,FALSE)</f>
        <v>1</v>
      </c>
      <c r="J165" s="146">
        <f>B165/C165*I165</f>
        <v>10</v>
      </c>
      <c r="K165" s="149">
        <f>IF(OR(D165=10,D165=50,D165=100),C165*I165%,C165*J165%)</f>
        <v>1E-3</v>
      </c>
      <c r="L165" s="149">
        <f>H165*$D$73</f>
        <v>6</v>
      </c>
      <c r="M165" s="149">
        <f>K165*$D$73</f>
        <v>1</v>
      </c>
      <c r="O165" s="137">
        <f>B165</f>
        <v>1</v>
      </c>
      <c r="P165" s="141">
        <f>C165</f>
        <v>0.1</v>
      </c>
      <c r="Q165" s="161">
        <f>IF(P165/O165&lt;0.1,"Valor Abaixo de 10% - Não Válido",O165/O165*100)</f>
        <v>100</v>
      </c>
      <c r="R165" s="146">
        <f>VLOOKUP(Q165,$G$39:$L$56,$K$57,FALSE)</f>
        <v>0.6</v>
      </c>
      <c r="S165" s="177">
        <f>O165/P165*R165</f>
        <v>6</v>
      </c>
      <c r="T165" s="149">
        <f>IF(OR(Q165=10,Q165=50,Q165=100),O165*R165%,O165*S165%)</f>
        <v>6.0000000000000001E-3</v>
      </c>
      <c r="U165" s="146">
        <f>VLOOKUP(Q165,$G$39:$L$56,$L$57,FALSE)</f>
        <v>0.1</v>
      </c>
      <c r="V165" s="146">
        <f>O165/P165*U165</f>
        <v>1</v>
      </c>
      <c r="W165" s="149">
        <f>IF(OR(Q165=10,Q165=50,Q165=100),O165*U165%,O165*V165%)</f>
        <v>1E-3</v>
      </c>
      <c r="X165" s="149">
        <f>T165*$D$73</f>
        <v>6</v>
      </c>
      <c r="Y165" s="149">
        <f>W165*$D$73</f>
        <v>1</v>
      </c>
      <c r="AG165">
        <f t="shared" ref="AG165" si="270">AG163+1</f>
        <v>12</v>
      </c>
      <c r="AH165">
        <v>1</v>
      </c>
    </row>
    <row r="166" spans="1:34" ht="18.600000000000001" thickBot="1" x14ac:dyDescent="0.35">
      <c r="A166" t="str">
        <f t="shared" si="269"/>
        <v>12.2</v>
      </c>
      <c r="B166" s="137">
        <f t="shared" ref="B166:B171" si="271">$B$73/$D$73</f>
        <v>1</v>
      </c>
      <c r="C166" s="141">
        <f>VLOOKUP(CONCATENATE(AH166,".",3),'Resultados - 12'!$A$10:$G$156,5,FALSE)/$D$73</f>
        <v>0.5</v>
      </c>
      <c r="D166" s="161">
        <f t="shared" ref="D166:D171" si="272">IF(C166/B166&lt;0.1,"Valor Abaixo de 10% - Não Válido",C166/B166*100)</f>
        <v>50</v>
      </c>
      <c r="E166" s="146">
        <f t="shared" ref="E166:E171" si="273">IFERROR(VLOOKUP(D166,$A$39:$F$56,$E$57,FALSE),VLOOKUP(100,$A$39:$F$56,$E$57,FALSE))</f>
        <v>1.2</v>
      </c>
      <c r="F166" s="177">
        <f t="shared" ref="F166:F171" si="274">B166/C166*E166</f>
        <v>2.4</v>
      </c>
      <c r="H166" s="149">
        <f t="shared" ref="H166:H171" si="275">IF(OR(D166=10,D166=50,D166=100),C166*E166%,C166*F166%)</f>
        <v>6.0000000000000001E-3</v>
      </c>
      <c r="I166" s="146">
        <f t="shared" ref="I166:I171" si="276">VLOOKUP(D166,$A$39:$F$56,$F$57,FALSE)</f>
        <v>0.2</v>
      </c>
      <c r="J166" s="146">
        <f t="shared" ref="J166:J171" si="277">B166/C166*I166</f>
        <v>0.4</v>
      </c>
      <c r="K166" s="149">
        <f t="shared" ref="K166:K171" si="278">IF(OR(D166=10,D166=50,D166=100),C166*I166%,C166*J166%)</f>
        <v>1E-3</v>
      </c>
      <c r="L166" s="149">
        <f t="shared" ref="L166:L171" si="279">H166*$D$73</f>
        <v>6</v>
      </c>
      <c r="M166" s="149">
        <f t="shared" ref="M166:M171" si="280">K166*$D$73</f>
        <v>1</v>
      </c>
      <c r="O166" s="137">
        <f t="shared" ref="O166:O171" si="281">B166</f>
        <v>1</v>
      </c>
      <c r="P166" s="141">
        <f t="shared" ref="P166:P171" si="282">C166</f>
        <v>0.5</v>
      </c>
      <c r="Q166" s="161">
        <f t="shared" ref="Q166:Q171" si="283">IF(P166/O166&lt;0.1,"Valor Abaixo de 10% - Não Válido",O166/O166*100)</f>
        <v>100</v>
      </c>
      <c r="R166" s="146">
        <f t="shared" ref="R166:R171" si="284">VLOOKUP(Q166,$G$39:$L$56,$K$57,FALSE)</f>
        <v>0.6</v>
      </c>
      <c r="S166" s="177">
        <f t="shared" ref="S166:S171" si="285">O166/P166*R166</f>
        <v>1.2</v>
      </c>
      <c r="T166" s="149">
        <f t="shared" ref="T166:T171" si="286">IF(OR(Q166=10,Q166=50,Q166=100),O166*R166%,O166*S166%)</f>
        <v>6.0000000000000001E-3</v>
      </c>
      <c r="U166" s="146">
        <f t="shared" ref="U166:U171" si="287">VLOOKUP(Q166,$G$39:$L$56,$L$57,FALSE)</f>
        <v>0.1</v>
      </c>
      <c r="V166" s="146">
        <f t="shared" ref="V166:V171" si="288">O166/P166*U166</f>
        <v>0.2</v>
      </c>
      <c r="W166" s="149">
        <f t="shared" ref="W166:W171" si="289">IF(OR(Q166=10,Q166=50,Q166=100),O166*U166%,O166*V166%)</f>
        <v>1E-3</v>
      </c>
      <c r="X166" s="149">
        <f t="shared" ref="X166:X171" si="290">T166*$D$73</f>
        <v>6</v>
      </c>
      <c r="Y166" s="149">
        <f t="shared" ref="Y166:Y171" si="291">W166*$D$73</f>
        <v>1</v>
      </c>
      <c r="AG166">
        <f t="shared" si="176"/>
        <v>12</v>
      </c>
      <c r="AH166">
        <v>2</v>
      </c>
    </row>
    <row r="167" spans="1:34" ht="18.600000000000001" thickBot="1" x14ac:dyDescent="0.35">
      <c r="A167" t="str">
        <f t="shared" si="269"/>
        <v>12.3</v>
      </c>
      <c r="B167" s="137">
        <f t="shared" si="271"/>
        <v>1</v>
      </c>
      <c r="C167" s="141">
        <f>VLOOKUP(CONCATENATE(AH167,".",3),'Resultados - 12'!$A$10:$G$156,5,FALSE)/$D$73</f>
        <v>1</v>
      </c>
      <c r="D167" s="161">
        <f t="shared" si="272"/>
        <v>100</v>
      </c>
      <c r="E167" s="146">
        <f t="shared" si="273"/>
        <v>0.6</v>
      </c>
      <c r="F167" s="177">
        <f t="shared" si="274"/>
        <v>0.6</v>
      </c>
      <c r="H167" s="149">
        <f t="shared" si="275"/>
        <v>6.0000000000000001E-3</v>
      </c>
      <c r="I167" s="146">
        <f t="shared" si="276"/>
        <v>0.1</v>
      </c>
      <c r="J167" s="146">
        <f t="shared" si="277"/>
        <v>0.1</v>
      </c>
      <c r="K167" s="149">
        <f t="shared" si="278"/>
        <v>1E-3</v>
      </c>
      <c r="L167" s="149">
        <f t="shared" si="279"/>
        <v>6</v>
      </c>
      <c r="M167" s="149">
        <f t="shared" si="280"/>
        <v>1</v>
      </c>
      <c r="O167" s="137">
        <f t="shared" si="281"/>
        <v>1</v>
      </c>
      <c r="P167" s="141">
        <f t="shared" si="282"/>
        <v>1</v>
      </c>
      <c r="Q167" s="161">
        <f t="shared" si="283"/>
        <v>100</v>
      </c>
      <c r="R167" s="146">
        <f t="shared" si="284"/>
        <v>0.6</v>
      </c>
      <c r="S167" s="177">
        <f t="shared" si="285"/>
        <v>0.6</v>
      </c>
      <c r="T167" s="149">
        <f t="shared" si="286"/>
        <v>6.0000000000000001E-3</v>
      </c>
      <c r="U167" s="146">
        <f t="shared" si="287"/>
        <v>0.1</v>
      </c>
      <c r="V167" s="146">
        <f t="shared" si="288"/>
        <v>0.1</v>
      </c>
      <c r="W167" s="149">
        <f t="shared" si="289"/>
        <v>1E-3</v>
      </c>
      <c r="X167" s="149">
        <f t="shared" si="290"/>
        <v>6</v>
      </c>
      <c r="Y167" s="149">
        <f t="shared" si="291"/>
        <v>1</v>
      </c>
      <c r="AG167">
        <f t="shared" si="176"/>
        <v>12</v>
      </c>
      <c r="AH167">
        <v>3</v>
      </c>
    </row>
    <row r="168" spans="1:34" ht="18.600000000000001" thickBot="1" x14ac:dyDescent="0.35">
      <c r="A168" t="str">
        <f t="shared" si="269"/>
        <v>12.4</v>
      </c>
      <c r="B168" s="137">
        <f t="shared" si="271"/>
        <v>1</v>
      </c>
      <c r="C168" s="141" t="e">
        <f>VLOOKUP(CONCATENATE(AH168,".",3),'Resultados - 12'!$A$10:$G$156,5,FALSE)/$D$73</f>
        <v>#VALUE!</v>
      </c>
      <c r="D168" s="161" t="e">
        <f t="shared" si="272"/>
        <v>#VALUE!</v>
      </c>
      <c r="E168" s="146">
        <f t="shared" si="273"/>
        <v>0.6</v>
      </c>
      <c r="F168" s="177" t="e">
        <f t="shared" si="274"/>
        <v>#VALUE!</v>
      </c>
      <c r="H168" s="149" t="e">
        <f t="shared" si="275"/>
        <v>#VALUE!</v>
      </c>
      <c r="I168" s="146" t="e">
        <f t="shared" si="276"/>
        <v>#VALUE!</v>
      </c>
      <c r="J168" s="146" t="e">
        <f t="shared" si="277"/>
        <v>#VALUE!</v>
      </c>
      <c r="K168" s="149" t="e">
        <f t="shared" si="278"/>
        <v>#VALUE!</v>
      </c>
      <c r="L168" s="149" t="e">
        <f t="shared" si="279"/>
        <v>#VALUE!</v>
      </c>
      <c r="M168" s="149" t="e">
        <f t="shared" si="280"/>
        <v>#VALUE!</v>
      </c>
      <c r="O168" s="137">
        <f t="shared" si="281"/>
        <v>1</v>
      </c>
      <c r="P168" s="141" t="e">
        <f t="shared" si="282"/>
        <v>#VALUE!</v>
      </c>
      <c r="Q168" s="161" t="e">
        <f t="shared" si="283"/>
        <v>#VALUE!</v>
      </c>
      <c r="R168" s="146" t="e">
        <f t="shared" si="284"/>
        <v>#VALUE!</v>
      </c>
      <c r="S168" s="177" t="e">
        <f t="shared" si="285"/>
        <v>#VALUE!</v>
      </c>
      <c r="T168" s="149" t="e">
        <f t="shared" si="286"/>
        <v>#VALUE!</v>
      </c>
      <c r="U168" s="146" t="e">
        <f t="shared" si="287"/>
        <v>#VALUE!</v>
      </c>
      <c r="V168" s="146" t="e">
        <f t="shared" si="288"/>
        <v>#VALUE!</v>
      </c>
      <c r="W168" s="149" t="e">
        <f t="shared" si="289"/>
        <v>#VALUE!</v>
      </c>
      <c r="X168" s="149" t="e">
        <f t="shared" si="290"/>
        <v>#VALUE!</v>
      </c>
      <c r="Y168" s="149" t="e">
        <f t="shared" si="291"/>
        <v>#VALUE!</v>
      </c>
      <c r="AG168">
        <f t="shared" si="176"/>
        <v>12</v>
      </c>
      <c r="AH168">
        <v>4</v>
      </c>
    </row>
    <row r="169" spans="1:34" ht="18.600000000000001" thickBot="1" x14ac:dyDescent="0.35">
      <c r="A169" t="str">
        <f t="shared" si="269"/>
        <v>12.5</v>
      </c>
      <c r="B169" s="137">
        <f t="shared" si="271"/>
        <v>1</v>
      </c>
      <c r="C169" s="141" t="e">
        <f>VLOOKUP(CONCATENATE(AH169,".",3),'Resultados - 12'!$A$10:$G$156,5,FALSE)/$D$73</f>
        <v>#VALUE!</v>
      </c>
      <c r="D169" s="161" t="e">
        <f t="shared" si="272"/>
        <v>#VALUE!</v>
      </c>
      <c r="E169" s="146">
        <f t="shared" si="273"/>
        <v>0.6</v>
      </c>
      <c r="F169" s="177" t="e">
        <f t="shared" si="274"/>
        <v>#VALUE!</v>
      </c>
      <c r="H169" s="149" t="e">
        <f t="shared" si="275"/>
        <v>#VALUE!</v>
      </c>
      <c r="I169" s="146" t="e">
        <f t="shared" si="276"/>
        <v>#VALUE!</v>
      </c>
      <c r="J169" s="146" t="e">
        <f t="shared" si="277"/>
        <v>#VALUE!</v>
      </c>
      <c r="K169" s="149" t="e">
        <f t="shared" si="278"/>
        <v>#VALUE!</v>
      </c>
      <c r="L169" s="149" t="e">
        <f t="shared" si="279"/>
        <v>#VALUE!</v>
      </c>
      <c r="M169" s="149" t="e">
        <f t="shared" si="280"/>
        <v>#VALUE!</v>
      </c>
      <c r="O169" s="137">
        <f t="shared" si="281"/>
        <v>1</v>
      </c>
      <c r="P169" s="141" t="e">
        <f t="shared" si="282"/>
        <v>#VALUE!</v>
      </c>
      <c r="Q169" s="161" t="e">
        <f t="shared" si="283"/>
        <v>#VALUE!</v>
      </c>
      <c r="R169" s="146" t="e">
        <f t="shared" si="284"/>
        <v>#VALUE!</v>
      </c>
      <c r="S169" s="177" t="e">
        <f t="shared" si="285"/>
        <v>#VALUE!</v>
      </c>
      <c r="T169" s="149" t="e">
        <f t="shared" si="286"/>
        <v>#VALUE!</v>
      </c>
      <c r="U169" s="146" t="e">
        <f t="shared" si="287"/>
        <v>#VALUE!</v>
      </c>
      <c r="V169" s="146" t="e">
        <f t="shared" si="288"/>
        <v>#VALUE!</v>
      </c>
      <c r="W169" s="149" t="e">
        <f t="shared" si="289"/>
        <v>#VALUE!</v>
      </c>
      <c r="X169" s="149" t="e">
        <f t="shared" si="290"/>
        <v>#VALUE!</v>
      </c>
      <c r="Y169" s="149" t="e">
        <f t="shared" si="291"/>
        <v>#VALUE!</v>
      </c>
      <c r="AG169">
        <f t="shared" si="176"/>
        <v>12</v>
      </c>
      <c r="AH169">
        <v>5</v>
      </c>
    </row>
    <row r="170" spans="1:34" ht="18.600000000000001" thickBot="1" x14ac:dyDescent="0.35">
      <c r="A170" t="str">
        <f t="shared" si="269"/>
        <v>12.6</v>
      </c>
      <c r="B170" s="137">
        <f t="shared" si="271"/>
        <v>1</v>
      </c>
      <c r="C170" s="141" t="e">
        <f>VLOOKUP(CONCATENATE(AH170,".",3),'Resultados - 12'!$A$10:$G$156,5,FALSE)/$D$73</f>
        <v>#VALUE!</v>
      </c>
      <c r="D170" s="161" t="e">
        <f t="shared" si="272"/>
        <v>#VALUE!</v>
      </c>
      <c r="E170" s="146">
        <f t="shared" si="273"/>
        <v>0.6</v>
      </c>
      <c r="F170" s="177" t="e">
        <f t="shared" si="274"/>
        <v>#VALUE!</v>
      </c>
      <c r="H170" s="149" t="e">
        <f t="shared" si="275"/>
        <v>#VALUE!</v>
      </c>
      <c r="I170" s="146" t="e">
        <f t="shared" si="276"/>
        <v>#VALUE!</v>
      </c>
      <c r="J170" s="146" t="e">
        <f t="shared" si="277"/>
        <v>#VALUE!</v>
      </c>
      <c r="K170" s="149" t="e">
        <f t="shared" si="278"/>
        <v>#VALUE!</v>
      </c>
      <c r="L170" s="149" t="e">
        <f t="shared" si="279"/>
        <v>#VALUE!</v>
      </c>
      <c r="M170" s="149" t="e">
        <f t="shared" si="280"/>
        <v>#VALUE!</v>
      </c>
      <c r="O170" s="137">
        <f t="shared" si="281"/>
        <v>1</v>
      </c>
      <c r="P170" s="141" t="e">
        <f t="shared" si="282"/>
        <v>#VALUE!</v>
      </c>
      <c r="Q170" s="161" t="e">
        <f t="shared" si="283"/>
        <v>#VALUE!</v>
      </c>
      <c r="R170" s="146" t="e">
        <f t="shared" si="284"/>
        <v>#VALUE!</v>
      </c>
      <c r="S170" s="177" t="e">
        <f t="shared" si="285"/>
        <v>#VALUE!</v>
      </c>
      <c r="T170" s="149" t="e">
        <f t="shared" si="286"/>
        <v>#VALUE!</v>
      </c>
      <c r="U170" s="146" t="e">
        <f t="shared" si="287"/>
        <v>#VALUE!</v>
      </c>
      <c r="V170" s="146" t="e">
        <f t="shared" si="288"/>
        <v>#VALUE!</v>
      </c>
      <c r="W170" s="149" t="e">
        <f t="shared" si="289"/>
        <v>#VALUE!</v>
      </c>
      <c r="X170" s="149" t="e">
        <f t="shared" si="290"/>
        <v>#VALUE!</v>
      </c>
      <c r="Y170" s="149" t="e">
        <f t="shared" si="291"/>
        <v>#VALUE!</v>
      </c>
      <c r="AG170">
        <f t="shared" si="176"/>
        <v>12</v>
      </c>
      <c r="AH170">
        <v>6</v>
      </c>
    </row>
    <row r="171" spans="1:34" ht="18.600000000000001" thickBot="1" x14ac:dyDescent="0.35">
      <c r="A171" t="str">
        <f t="shared" si="269"/>
        <v>12.7</v>
      </c>
      <c r="B171" s="137">
        <f t="shared" si="271"/>
        <v>1</v>
      </c>
      <c r="C171" s="141" t="e">
        <f>VLOOKUP(CONCATENATE(AH171,".",3),'Resultados - 12'!$A$10:$G$156,5,FALSE)/$D$73</f>
        <v>#VALUE!</v>
      </c>
      <c r="D171" s="161" t="e">
        <f t="shared" si="272"/>
        <v>#VALUE!</v>
      </c>
      <c r="E171" s="146">
        <f t="shared" si="273"/>
        <v>0.6</v>
      </c>
      <c r="F171" s="177" t="e">
        <f t="shared" si="274"/>
        <v>#VALUE!</v>
      </c>
      <c r="H171" s="149" t="e">
        <f t="shared" si="275"/>
        <v>#VALUE!</v>
      </c>
      <c r="I171" s="146" t="e">
        <f t="shared" si="276"/>
        <v>#VALUE!</v>
      </c>
      <c r="J171" s="146" t="e">
        <f t="shared" si="277"/>
        <v>#VALUE!</v>
      </c>
      <c r="K171" s="149" t="e">
        <f t="shared" si="278"/>
        <v>#VALUE!</v>
      </c>
      <c r="L171" s="149" t="e">
        <f t="shared" si="279"/>
        <v>#VALUE!</v>
      </c>
      <c r="M171" s="149" t="e">
        <f t="shared" si="280"/>
        <v>#VALUE!</v>
      </c>
      <c r="O171" s="137">
        <f t="shared" si="281"/>
        <v>1</v>
      </c>
      <c r="P171" s="141" t="e">
        <f t="shared" si="282"/>
        <v>#VALUE!</v>
      </c>
      <c r="Q171" s="161" t="e">
        <f t="shared" si="283"/>
        <v>#VALUE!</v>
      </c>
      <c r="R171" s="146" t="e">
        <f t="shared" si="284"/>
        <v>#VALUE!</v>
      </c>
      <c r="S171" s="177" t="e">
        <f t="shared" si="285"/>
        <v>#VALUE!</v>
      </c>
      <c r="T171" s="149" t="e">
        <f t="shared" si="286"/>
        <v>#VALUE!</v>
      </c>
      <c r="U171" s="146" t="e">
        <f t="shared" si="287"/>
        <v>#VALUE!</v>
      </c>
      <c r="V171" s="146" t="e">
        <f t="shared" si="288"/>
        <v>#VALUE!</v>
      </c>
      <c r="W171" s="149" t="e">
        <f t="shared" si="289"/>
        <v>#VALUE!</v>
      </c>
      <c r="X171" s="149" t="e">
        <f t="shared" si="290"/>
        <v>#VALUE!</v>
      </c>
      <c r="Y171" s="149" t="e">
        <f t="shared" si="291"/>
        <v>#VALUE!</v>
      </c>
      <c r="AG171">
        <f t="shared" si="176"/>
        <v>12</v>
      </c>
      <c r="AH171">
        <v>7</v>
      </c>
    </row>
  </sheetData>
  <sheetProtection algorithmName="SHA-512" hashValue="Fz8NTT3sg1pQtcPD8yGt3DWHpQzfjX7vEM2XxKmtnKHDEf4wqhz2CyiZ0tUx4ypC5fiHOfx2OSCNp69wiUqtRg==" saltValue="Ffds7p4qrplLaCfpnIx//g==" spinCount="100000" sheet="1" objects="1" scenarios="1"/>
  <mergeCells count="17">
    <mergeCell ref="B25:E25"/>
    <mergeCell ref="H25:K25"/>
    <mergeCell ref="A36:L36"/>
    <mergeCell ref="B37:F37"/>
    <mergeCell ref="A1:L1"/>
    <mergeCell ref="A3:L3"/>
    <mergeCell ref="B4:F4"/>
    <mergeCell ref="H4:L4"/>
    <mergeCell ref="B5:C5"/>
    <mergeCell ref="H5:I5"/>
    <mergeCell ref="H37:L37"/>
    <mergeCell ref="B38:C38"/>
    <mergeCell ref="H38:I38"/>
    <mergeCell ref="B75:M75"/>
    <mergeCell ref="O75:Y75"/>
    <mergeCell ref="B58:E58"/>
    <mergeCell ref="H58:K58"/>
  </mergeCells>
  <dataValidations disablePrompts="1" count="1">
    <dataValidation type="list" allowBlank="1" showInputMessage="1" showErrorMessage="1" sqref="B27 H27 B60 H60" xr:uid="{33F6395B-85CA-43DA-9AC8-B845DD1A09E7}">
      <formula1>"Variável"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790A-BC78-4701-949A-120F1FF8BB25}">
  <sheetPr codeName="Planilha4"/>
  <dimension ref="A1:H15"/>
  <sheetViews>
    <sheetView workbookViewId="0"/>
  </sheetViews>
  <sheetFormatPr defaultRowHeight="14.4" x14ac:dyDescent="0.3"/>
  <cols>
    <col min="1" max="1" width="21" bestFit="1" customWidth="1"/>
    <col min="2" max="2" width="9" bestFit="1" customWidth="1"/>
    <col min="3" max="3" width="10.5546875" bestFit="1" customWidth="1"/>
    <col min="6" max="6" width="19" bestFit="1" customWidth="1"/>
    <col min="7" max="7" width="9" bestFit="1" customWidth="1"/>
    <col min="8" max="8" width="10.5546875" bestFit="1" customWidth="1"/>
  </cols>
  <sheetData>
    <row r="1" spans="1:8" x14ac:dyDescent="0.3">
      <c r="A1" t="s">
        <v>101</v>
      </c>
      <c r="B1" t="s">
        <v>102</v>
      </c>
      <c r="C1" t="s">
        <v>103</v>
      </c>
      <c r="G1" t="s">
        <v>102</v>
      </c>
      <c r="H1" t="s">
        <v>103</v>
      </c>
    </row>
    <row r="2" spans="1:8" x14ac:dyDescent="0.3">
      <c r="A2" t="s">
        <v>104</v>
      </c>
      <c r="B2">
        <v>3.4999999999999997E-5</v>
      </c>
      <c r="C2">
        <v>5.0000000000000004E-6</v>
      </c>
      <c r="F2" t="str">
        <f>Dados!F16</f>
        <v>Plastico Desconhecido</v>
      </c>
      <c r="G2">
        <f>IF(F2=0,"",VLOOKUP(F2,$A$2:$C$15,2,FALSE))</f>
        <v>4.4999999999999999E-4</v>
      </c>
      <c r="H2">
        <f>IF(F2=0,"",VLOOKUP(F2,$A$2:$C$15,3,FALSE))</f>
        <v>5.0000000000000002E-5</v>
      </c>
    </row>
    <row r="3" spans="1:8" x14ac:dyDescent="0.3">
      <c r="A3" t="s">
        <v>105</v>
      </c>
      <c r="B3">
        <v>3.1000000000000001E-5</v>
      </c>
      <c r="C3">
        <v>5.0000000000000004E-6</v>
      </c>
    </row>
    <row r="4" spans="1:8" x14ac:dyDescent="0.3">
      <c r="A4" t="s">
        <v>106</v>
      </c>
      <c r="B4">
        <v>1.0000000000000001E-5</v>
      </c>
      <c r="C4">
        <v>5.0000000000000004E-6</v>
      </c>
    </row>
    <row r="5" spans="1:8" x14ac:dyDescent="0.3">
      <c r="A5" t="s">
        <v>107</v>
      </c>
      <c r="B5">
        <v>1.5E-5</v>
      </c>
      <c r="C5">
        <v>5.0000000000000004E-6</v>
      </c>
    </row>
    <row r="6" spans="1:8" x14ac:dyDescent="0.3">
      <c r="A6" t="s">
        <v>108</v>
      </c>
      <c r="B6">
        <v>5.3999999999999998E-5</v>
      </c>
      <c r="C6">
        <v>5.0000000000000004E-6</v>
      </c>
    </row>
    <row r="7" spans="1:8" x14ac:dyDescent="0.3">
      <c r="A7" t="s">
        <v>109</v>
      </c>
      <c r="B7">
        <v>5.0000000000000002E-5</v>
      </c>
      <c r="C7">
        <v>5.0000000000000002E-5</v>
      </c>
    </row>
    <row r="8" spans="1:8" x14ac:dyDescent="0.3">
      <c r="A8" t="s">
        <v>110</v>
      </c>
      <c r="B8">
        <v>4.4999999999999999E-4</v>
      </c>
      <c r="C8">
        <v>5.0000000000000002E-5</v>
      </c>
    </row>
    <row r="9" spans="1:8" x14ac:dyDescent="0.3">
      <c r="A9" t="s">
        <v>111</v>
      </c>
      <c r="B9">
        <v>2.1000000000000001E-4</v>
      </c>
      <c r="C9">
        <v>5.0000000000000002E-5</v>
      </c>
    </row>
    <row r="10" spans="1:8" x14ac:dyDescent="0.3">
      <c r="A10" t="s">
        <v>112</v>
      </c>
      <c r="B10">
        <v>2.4000000000000001E-4</v>
      </c>
      <c r="C10">
        <v>5.0000000000000002E-5</v>
      </c>
    </row>
    <row r="11" spans="1:8" x14ac:dyDescent="0.3">
      <c r="A11" t="s">
        <v>113</v>
      </c>
      <c r="B11">
        <v>2.5000000000000001E-5</v>
      </c>
      <c r="C11">
        <v>5.0000000000000004E-6</v>
      </c>
    </row>
    <row r="12" spans="1:8" x14ac:dyDescent="0.3">
      <c r="A12" t="s">
        <v>114</v>
      </c>
      <c r="B12">
        <v>2.5000000000000001E-5</v>
      </c>
      <c r="C12">
        <v>5.0000000000000004E-6</v>
      </c>
    </row>
    <row r="13" spans="1:8" x14ac:dyDescent="0.3">
      <c r="A13" t="s">
        <v>115</v>
      </c>
      <c r="B13">
        <v>2.5000000000000001E-5</v>
      </c>
      <c r="C13">
        <v>5.0000000000000004E-6</v>
      </c>
    </row>
    <row r="14" spans="1:8" x14ac:dyDescent="0.3">
      <c r="A14" t="s">
        <v>116</v>
      </c>
      <c r="B14">
        <v>4.4999999999999999E-4</v>
      </c>
      <c r="C14">
        <v>5.0000000000000002E-5</v>
      </c>
    </row>
    <row r="15" spans="1:8" x14ac:dyDescent="0.3">
      <c r="A15" t="s">
        <v>117</v>
      </c>
      <c r="B15">
        <v>5.3999999999999998E-5</v>
      </c>
      <c r="C15">
        <v>5.0000000000000004E-6</v>
      </c>
    </row>
  </sheetData>
  <sheetProtection algorithmName="SHA-512" hashValue="m+W4ebTCdqff5YGaYegC1sGbfd5R/4kHM/8cqBMvy0Ztd9bKU05r1/8a+GJwa8V4n9n4jnpxae4u2yxyPIHY3Q==" saltValue="DHOy49eqoM7a58wAFlcIj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EA4C-AE02-45BC-94EA-E3AE3C154276}">
  <sheetPr codeName="Planilha3"/>
  <dimension ref="A2:K9"/>
  <sheetViews>
    <sheetView workbookViewId="0"/>
  </sheetViews>
  <sheetFormatPr defaultRowHeight="14.4" x14ac:dyDescent="0.3"/>
  <sheetData>
    <row r="2" spans="1:11" x14ac:dyDescent="0.3">
      <c r="A2" t="s">
        <v>79</v>
      </c>
      <c r="B2">
        <v>1E-3</v>
      </c>
      <c r="C2" t="s">
        <v>81</v>
      </c>
      <c r="I2" t="s">
        <v>270</v>
      </c>
      <c r="J2">
        <f>J3*1000</f>
        <v>1000000</v>
      </c>
      <c r="K2" t="s">
        <v>275</v>
      </c>
    </row>
    <row r="3" spans="1:11" x14ac:dyDescent="0.3">
      <c r="A3" t="s">
        <v>87</v>
      </c>
      <c r="B3">
        <v>0.01</v>
      </c>
      <c r="C3" t="s">
        <v>85</v>
      </c>
      <c r="I3" t="s">
        <v>271</v>
      </c>
      <c r="J3">
        <v>1000</v>
      </c>
      <c r="K3" t="s">
        <v>276</v>
      </c>
    </row>
    <row r="4" spans="1:11" x14ac:dyDescent="0.3">
      <c r="A4" t="s">
        <v>86</v>
      </c>
      <c r="B4">
        <v>0.1</v>
      </c>
      <c r="C4" t="s">
        <v>84</v>
      </c>
      <c r="I4" t="s">
        <v>272</v>
      </c>
      <c r="J4">
        <v>1</v>
      </c>
      <c r="K4" t="s">
        <v>277</v>
      </c>
    </row>
    <row r="5" spans="1:11" x14ac:dyDescent="0.3">
      <c r="A5" t="s">
        <v>88</v>
      </c>
      <c r="B5">
        <v>1</v>
      </c>
      <c r="C5" t="s">
        <v>82</v>
      </c>
      <c r="I5" t="s">
        <v>273</v>
      </c>
      <c r="J5">
        <f>J4/1000</f>
        <v>1E-3</v>
      </c>
      <c r="K5" t="s">
        <v>278</v>
      </c>
    </row>
    <row r="6" spans="1:11" x14ac:dyDescent="0.3">
      <c r="A6" t="s">
        <v>49</v>
      </c>
      <c r="B6">
        <v>1000</v>
      </c>
      <c r="C6" t="s">
        <v>83</v>
      </c>
    </row>
    <row r="7" spans="1:11" x14ac:dyDescent="0.3">
      <c r="A7" t="s">
        <v>89</v>
      </c>
      <c r="B7">
        <f>B8/1000</f>
        <v>1E-3</v>
      </c>
      <c r="C7" t="s">
        <v>92</v>
      </c>
      <c r="E7" s="25"/>
    </row>
    <row r="8" spans="1:11" x14ac:dyDescent="0.3">
      <c r="A8" t="s">
        <v>90</v>
      </c>
      <c r="B8">
        <v>1</v>
      </c>
      <c r="C8" t="s">
        <v>93</v>
      </c>
    </row>
    <row r="9" spans="1:11" x14ac:dyDescent="0.3">
      <c r="A9" t="s">
        <v>91</v>
      </c>
      <c r="B9">
        <v>1000</v>
      </c>
      <c r="C9" t="s">
        <v>94</v>
      </c>
    </row>
  </sheetData>
  <sheetProtection algorithmName="SHA-512" hashValue="/C/IQ/C4nDQYhq2BbGMWujagV6LfVesNyE1Fk+/sZXl5OFaRXH04Kf/ebXyg9L/esWYH54FKhuy3/sDkNqICXQ==" saltValue="YEkg+3SI+KZtfNXzAnmlg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AFAB5-C384-42D7-8CF8-23870BB06A43}">
  <sheetPr codeName="Planilha11"/>
  <dimension ref="A1:L84"/>
  <sheetViews>
    <sheetView workbookViewId="0"/>
  </sheetViews>
  <sheetFormatPr defaultRowHeight="14.4" x14ac:dyDescent="0.3"/>
  <sheetData>
    <row r="1" spans="1:12" x14ac:dyDescent="0.3">
      <c r="A1" t="s">
        <v>620</v>
      </c>
      <c r="B1" t="s">
        <v>49</v>
      </c>
      <c r="C1" t="s">
        <v>42</v>
      </c>
      <c r="F1" s="299" t="str">
        <f>'Resultados - 1'!$G$12</f>
        <v>µL</v>
      </c>
      <c r="G1" s="300">
        <f>VLOOKUP(F1,'Unidades de medida'!$A$2:$B$9,2,FALSE)/1000</f>
        <v>1</v>
      </c>
      <c r="H1" s="307" t="str">
        <f t="shared" ref="H1:H32" si="0">CONCATENATE(I1,".",J1)</f>
        <v>1.1</v>
      </c>
      <c r="I1" s="300">
        <v>1</v>
      </c>
      <c r="J1" s="299">
        <v>1</v>
      </c>
      <c r="K1" s="300">
        <f ca="1">VLOOKUP(CONCATENATE(J1,".20"),'Resultados - 1'!$A$10:$CF$156,42,FALSE)/G1</f>
        <v>100.38223540806811</v>
      </c>
      <c r="L1" s="301">
        <f ca="1">IF(K1&gt;$B$11,$C$11,IF(AND(K1&gt;=$A$2,K1&lt;=$B$2),$C$2,IF(AND(K1&gt;$A$3,K1&lt;=$B$3),$C$3,IF(AND(K1&gt;$A$4,K1&lt;=$B$4),$C$4,IF(AND(K1&gt;$A$5,K1&lt;=$B$5),$C$5,"-")))))</f>
        <v>2.7000000000000001E-3</v>
      </c>
    </row>
    <row r="2" spans="1:12" x14ac:dyDescent="0.3">
      <c r="A2" s="288">
        <v>0.1</v>
      </c>
      <c r="B2" s="288">
        <v>1</v>
      </c>
      <c r="C2" s="288">
        <v>2.7</v>
      </c>
      <c r="F2" s="302" t="str">
        <f>'Resultados - 1'!$G$12</f>
        <v>µL</v>
      </c>
      <c r="G2">
        <f>VLOOKUP(F2,'Unidades de medida'!$A$2:$B$9,2,FALSE)/1000</f>
        <v>1</v>
      </c>
      <c r="H2" s="308" t="str">
        <f t="shared" si="0"/>
        <v>1.2</v>
      </c>
      <c r="I2">
        <v>1</v>
      </c>
      <c r="J2" s="302">
        <v>2</v>
      </c>
      <c r="K2">
        <f ca="1">VLOOKUP(CONCATENATE(J2,".20"),'Resultados - 1'!$A$10:$CF$156,42,FALSE)/G2</f>
        <v>497.56029080312072</v>
      </c>
      <c r="L2" s="303">
        <f t="shared" ref="L2:L14" ca="1" si="1">IF(K2&gt;$B$11,$C$11,IF(AND(K2&gt;=$A$2,K2&lt;=$B$2),$C$2,IF(AND(K2&gt;$A$3,K2&lt;=$B$3),$C$3,IF(AND(K2&gt;$A$4,K2&lt;=$B$4),$C$4,IF(AND(K2&gt;$A$5,K2&lt;=$B$5),$C$5,"-")))))</f>
        <v>2.7000000000000001E-3</v>
      </c>
    </row>
    <row r="3" spans="1:12" x14ac:dyDescent="0.3">
      <c r="A3" s="288">
        <v>1</v>
      </c>
      <c r="B3" s="288">
        <v>10</v>
      </c>
      <c r="C3" s="288">
        <v>0.27</v>
      </c>
      <c r="F3" s="302" t="str">
        <f>'Resultados - 1'!$G$12</f>
        <v>µL</v>
      </c>
      <c r="G3">
        <f>VLOOKUP(F3,'Unidades de medida'!$A$2:$B$9,2,FALSE)/1000</f>
        <v>1</v>
      </c>
      <c r="H3" s="308" t="str">
        <f t="shared" si="0"/>
        <v>1.3</v>
      </c>
      <c r="I3">
        <v>1</v>
      </c>
      <c r="J3" s="302">
        <v>3</v>
      </c>
      <c r="K3">
        <f ca="1">VLOOKUP(CONCATENATE(J3,".20"),'Resultados - 1'!$A$10:$CF$156,42,FALSE)/G3</f>
        <v>997.22934255504811</v>
      </c>
      <c r="L3" s="303">
        <f t="shared" ca="1" si="1"/>
        <v>2.7000000000000001E-3</v>
      </c>
    </row>
    <row r="4" spans="1:12" x14ac:dyDescent="0.3">
      <c r="A4" s="288">
        <v>10</v>
      </c>
      <c r="B4" s="288">
        <v>100</v>
      </c>
      <c r="C4" s="288">
        <v>2.7E-2</v>
      </c>
      <c r="F4" s="302" t="str">
        <f>'Resultados - 1'!$G$12</f>
        <v>µL</v>
      </c>
      <c r="G4">
        <f>VLOOKUP(F4,'Unidades de medida'!$A$2:$B$9,2,FALSE)/1000</f>
        <v>1</v>
      </c>
      <c r="H4" s="308" t="str">
        <f t="shared" si="0"/>
        <v>1.4</v>
      </c>
      <c r="I4">
        <v>1</v>
      </c>
      <c r="J4" s="302">
        <v>4</v>
      </c>
      <c r="K4" t="e">
        <f>VLOOKUP(CONCATENATE(J4,".20"),'Resultados - 1'!$A$10:$CF$156,42,FALSE)/G4</f>
        <v>#VALUE!</v>
      </c>
      <c r="L4" s="303" t="e">
        <f t="shared" si="1"/>
        <v>#VALUE!</v>
      </c>
    </row>
    <row r="5" spans="1:12" x14ac:dyDescent="0.3">
      <c r="A5" s="288">
        <v>100</v>
      </c>
      <c r="B5" s="288">
        <v>1000</v>
      </c>
      <c r="C5" s="288">
        <v>2.7000000000000001E-3</v>
      </c>
      <c r="F5" s="302" t="str">
        <f>'Resultados - 1'!$G$12</f>
        <v>µL</v>
      </c>
      <c r="G5">
        <f>VLOOKUP(F5,'Unidades de medida'!$A$2:$B$9,2,FALSE)/1000</f>
        <v>1</v>
      </c>
      <c r="H5" s="308" t="str">
        <f t="shared" si="0"/>
        <v>1.5</v>
      </c>
      <c r="I5">
        <v>1</v>
      </c>
      <c r="J5" s="302">
        <v>5</v>
      </c>
      <c r="K5" t="e">
        <f>VLOOKUP(CONCATENATE(J5,".20"),'Resultados - 1'!$A$10:$CF$156,42,FALSE)/G5</f>
        <v>#VALUE!</v>
      </c>
      <c r="L5" s="303" t="e">
        <f t="shared" si="1"/>
        <v>#VALUE!</v>
      </c>
    </row>
    <row r="6" spans="1:12" x14ac:dyDescent="0.3">
      <c r="A6" s="288"/>
      <c r="B6" s="288"/>
      <c r="C6" s="288"/>
      <c r="F6" s="302" t="str">
        <f>'Resultados - 1'!$G$12</f>
        <v>µL</v>
      </c>
      <c r="G6">
        <f>VLOOKUP(F6,'Unidades de medida'!$A$2:$B$9,2,FALSE)/1000</f>
        <v>1</v>
      </c>
      <c r="H6" s="308" t="str">
        <f t="shared" si="0"/>
        <v>1.6</v>
      </c>
      <c r="I6">
        <v>1</v>
      </c>
      <c r="J6" s="302">
        <v>6</v>
      </c>
      <c r="K6" t="e">
        <f>VLOOKUP(CONCATENATE(J6,".20"),'Resultados - 1'!$A$10:$CF$156,42,FALSE)/G6</f>
        <v>#VALUE!</v>
      </c>
      <c r="L6" s="303" t="e">
        <f t="shared" si="1"/>
        <v>#VALUE!</v>
      </c>
    </row>
    <row r="7" spans="1:12" x14ac:dyDescent="0.3">
      <c r="A7" s="288"/>
      <c r="B7" s="288"/>
      <c r="C7" s="288"/>
      <c r="F7" s="304" t="str">
        <f>'Resultados - 1'!$G$12</f>
        <v>µL</v>
      </c>
      <c r="G7" s="305">
        <f>VLOOKUP(F7,'Unidades de medida'!$A$2:$B$9,2,FALSE)/1000</f>
        <v>1</v>
      </c>
      <c r="H7" s="309" t="str">
        <f t="shared" si="0"/>
        <v>1.7</v>
      </c>
      <c r="I7" s="305">
        <v>1</v>
      </c>
      <c r="J7" s="304">
        <v>7</v>
      </c>
      <c r="K7" s="305" t="e">
        <f>VLOOKUP(CONCATENATE(J7,".20"),'Resultados - 1'!$A$10:$CF$156,42,FALSE)/G7</f>
        <v>#VALUE!</v>
      </c>
      <c r="L7" s="306" t="e">
        <f t="shared" si="1"/>
        <v>#VALUE!</v>
      </c>
    </row>
    <row r="8" spans="1:12" x14ac:dyDescent="0.3">
      <c r="A8" s="288"/>
      <c r="B8" s="288"/>
      <c r="C8" s="288"/>
      <c r="F8" s="299" t="str">
        <f>'Resultados - 2'!$G$12</f>
        <v>µL</v>
      </c>
      <c r="G8" s="300">
        <f>VLOOKUP(F8,'Unidades de medida'!$A$2:$B$9,2,FALSE)/1000</f>
        <v>1</v>
      </c>
      <c r="H8" s="307" t="str">
        <f t="shared" si="0"/>
        <v>2.1</v>
      </c>
      <c r="I8" s="300">
        <f>I7+1</f>
        <v>2</v>
      </c>
      <c r="J8" s="299">
        <v>1</v>
      </c>
      <c r="K8" s="300" t="e">
        <f>VLOOKUP(CONCATENATE(J8,".20"),'Resultados - 2'!$A$10:$CF$156,42,FALSE)/G8</f>
        <v>#VALUE!</v>
      </c>
      <c r="L8" s="301" t="e">
        <f t="shared" si="1"/>
        <v>#VALUE!</v>
      </c>
    </row>
    <row r="9" spans="1:12" x14ac:dyDescent="0.3">
      <c r="A9" s="288"/>
      <c r="B9" s="288"/>
      <c r="C9" s="288"/>
      <c r="F9" s="302" t="str">
        <f>'Resultados - 2'!$G$12</f>
        <v>µL</v>
      </c>
      <c r="G9">
        <f>VLOOKUP(F9,'Unidades de medida'!$A$2:$B$9,2,FALSE)/1000</f>
        <v>1</v>
      </c>
      <c r="H9" s="308" t="str">
        <f t="shared" si="0"/>
        <v>2.2</v>
      </c>
      <c r="I9">
        <f t="shared" ref="I9:I72" si="2">I8</f>
        <v>2</v>
      </c>
      <c r="J9" s="302">
        <v>2</v>
      </c>
      <c r="K9" t="e">
        <f>VLOOKUP(CONCATENATE(J9,".20"),'Resultados - 2'!$A$10:$CF$156,42,FALSE)/G9</f>
        <v>#VALUE!</v>
      </c>
      <c r="L9" s="303" t="e">
        <f t="shared" si="1"/>
        <v>#VALUE!</v>
      </c>
    </row>
    <row r="10" spans="1:12" x14ac:dyDescent="0.3">
      <c r="A10" s="288"/>
      <c r="B10" s="288"/>
      <c r="C10" s="288"/>
      <c r="F10" s="302" t="str">
        <f>'Resultados - 2'!$G$12</f>
        <v>µL</v>
      </c>
      <c r="G10">
        <f>VLOOKUP(F10,'Unidades de medida'!$A$2:$B$9,2,FALSE)/1000</f>
        <v>1</v>
      </c>
      <c r="H10" s="308" t="str">
        <f t="shared" si="0"/>
        <v>2.3</v>
      </c>
      <c r="I10">
        <f t="shared" si="2"/>
        <v>2</v>
      </c>
      <c r="J10" s="302">
        <v>3</v>
      </c>
      <c r="K10" t="e">
        <f>VLOOKUP(CONCATENATE(J10,".20"),'Resultados - 2'!$A$10:$CF$156,42,FALSE)/G10</f>
        <v>#VALUE!</v>
      </c>
      <c r="L10" s="303" t="e">
        <f t="shared" si="1"/>
        <v>#VALUE!</v>
      </c>
    </row>
    <row r="11" spans="1:12" x14ac:dyDescent="0.3">
      <c r="A11" t="s">
        <v>623</v>
      </c>
      <c r="B11">
        <f>MAX(B2:B10)</f>
        <v>1000</v>
      </c>
      <c r="C11">
        <f>VLOOKUP(B11,$B$2:$C$10,2,FALSE)</f>
        <v>2.7000000000000001E-3</v>
      </c>
      <c r="F11" s="302" t="str">
        <f>'Resultados - 2'!$G$12</f>
        <v>µL</v>
      </c>
      <c r="G11">
        <f>VLOOKUP(F11,'Unidades de medida'!$A$2:$B$9,2,FALSE)/1000</f>
        <v>1</v>
      </c>
      <c r="H11" s="308" t="str">
        <f t="shared" si="0"/>
        <v>2.4</v>
      </c>
      <c r="I11">
        <f t="shared" si="2"/>
        <v>2</v>
      </c>
      <c r="J11" s="302">
        <v>4</v>
      </c>
      <c r="K11" t="e">
        <f>VLOOKUP(CONCATENATE(J11,".20"),'Resultados - 2'!$A$10:$CF$156,42,FALSE)/G11</f>
        <v>#VALUE!</v>
      </c>
      <c r="L11" s="303" t="e">
        <f t="shared" si="1"/>
        <v>#VALUE!</v>
      </c>
    </row>
    <row r="12" spans="1:12" x14ac:dyDescent="0.3">
      <c r="F12" s="302" t="str">
        <f>'Resultados - 2'!$G$12</f>
        <v>µL</v>
      </c>
      <c r="G12">
        <f>VLOOKUP(F12,'Unidades de medida'!$A$2:$B$9,2,FALSE)/1000</f>
        <v>1</v>
      </c>
      <c r="H12" s="308" t="str">
        <f t="shared" si="0"/>
        <v>2.5</v>
      </c>
      <c r="I12">
        <f t="shared" si="2"/>
        <v>2</v>
      </c>
      <c r="J12" s="302">
        <v>5</v>
      </c>
      <c r="K12" t="e">
        <f>VLOOKUP(CONCATENATE(J12,".20"),'Resultados - 2'!$A$10:$CF$156,42,FALSE)/G12</f>
        <v>#VALUE!</v>
      </c>
      <c r="L12" s="303" t="e">
        <f t="shared" si="1"/>
        <v>#VALUE!</v>
      </c>
    </row>
    <row r="13" spans="1:12" x14ac:dyDescent="0.3">
      <c r="F13" s="302" t="str">
        <f>'Resultados - 2'!$G$12</f>
        <v>µL</v>
      </c>
      <c r="G13">
        <f>VLOOKUP(F13,'Unidades de medida'!$A$2:$B$9,2,FALSE)/1000</f>
        <v>1</v>
      </c>
      <c r="H13" s="308" t="str">
        <f t="shared" si="0"/>
        <v>2.6</v>
      </c>
      <c r="I13">
        <f t="shared" si="2"/>
        <v>2</v>
      </c>
      <c r="J13" s="302">
        <v>6</v>
      </c>
      <c r="K13" t="e">
        <f>VLOOKUP(CONCATENATE(J13,".20"),'Resultados - 2'!$A$10:$CF$156,42,FALSE)/G13</f>
        <v>#VALUE!</v>
      </c>
      <c r="L13" s="303" t="e">
        <f t="shared" si="1"/>
        <v>#VALUE!</v>
      </c>
    </row>
    <row r="14" spans="1:12" x14ac:dyDescent="0.3">
      <c r="F14" s="304" t="str">
        <f>'Resultados - 2'!$G$12</f>
        <v>µL</v>
      </c>
      <c r="G14" s="305">
        <f>VLOOKUP(F14,'Unidades de medida'!$A$2:$B$9,2,FALSE)/1000</f>
        <v>1</v>
      </c>
      <c r="H14" s="309" t="str">
        <f t="shared" si="0"/>
        <v>2.7</v>
      </c>
      <c r="I14" s="305">
        <f t="shared" si="2"/>
        <v>2</v>
      </c>
      <c r="J14" s="304">
        <v>7</v>
      </c>
      <c r="K14" s="305" t="e">
        <f>VLOOKUP(CONCATENATE(J14,".20"),'Resultados - 2'!$A$10:$CF$156,42,FALSE)/G14</f>
        <v>#VALUE!</v>
      </c>
      <c r="L14" s="306" t="e">
        <f t="shared" si="1"/>
        <v>#VALUE!</v>
      </c>
    </row>
    <row r="15" spans="1:12" x14ac:dyDescent="0.3">
      <c r="F15" s="299" t="str">
        <f>'Resultados - 3'!$G$12</f>
        <v>µL</v>
      </c>
      <c r="G15" s="300">
        <f>VLOOKUP(F15,'Unidades de medida'!$A$2:$B$9,2,FALSE)/1000</f>
        <v>1</v>
      </c>
      <c r="H15" s="307" t="str">
        <f t="shared" si="0"/>
        <v>3.1</v>
      </c>
      <c r="I15" s="300">
        <f t="shared" ref="I15" si="3">I14+1</f>
        <v>3</v>
      </c>
      <c r="J15" s="299">
        <v>1</v>
      </c>
      <c r="K15" s="300" t="e">
        <f>VLOOKUP(CONCATENATE(J15,".20"),'Resultados - 3'!$A$10:$CF$156,42,FALSE)/G15</f>
        <v>#VALUE!</v>
      </c>
      <c r="L15" s="301" t="e">
        <f t="shared" ref="L15:L78" si="4">IF(K15&gt;$B$11,$C$11,IF(AND(K15&gt;=$A$2,K15&lt;=$B$2),$C$2,IF(AND(K15&gt;$A$3,K15&lt;=$B$3),$C$3,IF(AND(K15&gt;$A$4,K15&lt;=$B$4),$C$4,IF(AND(K15&gt;$A$5,K15&lt;=$B$5),$C$5,"-")))))</f>
        <v>#VALUE!</v>
      </c>
    </row>
    <row r="16" spans="1:12" x14ac:dyDescent="0.3">
      <c r="F16" s="302" t="str">
        <f>'Resultados - 3'!$G$12</f>
        <v>µL</v>
      </c>
      <c r="G16">
        <f>VLOOKUP(F16,'Unidades de medida'!$A$2:$B$9,2,FALSE)/1000</f>
        <v>1</v>
      </c>
      <c r="H16" s="308" t="str">
        <f t="shared" si="0"/>
        <v>3.2</v>
      </c>
      <c r="I16">
        <f t="shared" si="2"/>
        <v>3</v>
      </c>
      <c r="J16" s="302">
        <v>2</v>
      </c>
      <c r="K16" t="e">
        <f>VLOOKUP(CONCATENATE(J16,".20"),'Resultados - 3'!$A$10:$CF$156,42,FALSE)/G16</f>
        <v>#VALUE!</v>
      </c>
      <c r="L16" s="303" t="e">
        <f t="shared" si="4"/>
        <v>#VALUE!</v>
      </c>
    </row>
    <row r="17" spans="6:12" x14ac:dyDescent="0.3">
      <c r="F17" s="302" t="str">
        <f>'Resultados - 3'!$G$12</f>
        <v>µL</v>
      </c>
      <c r="G17">
        <f>VLOOKUP(F17,'Unidades de medida'!$A$2:$B$9,2,FALSE)/1000</f>
        <v>1</v>
      </c>
      <c r="H17" s="308" t="str">
        <f t="shared" si="0"/>
        <v>3.3</v>
      </c>
      <c r="I17">
        <f t="shared" si="2"/>
        <v>3</v>
      </c>
      <c r="J17" s="302">
        <v>3</v>
      </c>
      <c r="K17" t="e">
        <f>VLOOKUP(CONCATENATE(J17,".20"),'Resultados - 3'!$A$10:$CF$156,42,FALSE)/G17</f>
        <v>#VALUE!</v>
      </c>
      <c r="L17" s="303" t="e">
        <f t="shared" si="4"/>
        <v>#VALUE!</v>
      </c>
    </row>
    <row r="18" spans="6:12" x14ac:dyDescent="0.3">
      <c r="F18" s="302" t="str">
        <f>'Resultados - 3'!$G$12</f>
        <v>µL</v>
      </c>
      <c r="G18">
        <f>VLOOKUP(F18,'Unidades de medida'!$A$2:$B$9,2,FALSE)/1000</f>
        <v>1</v>
      </c>
      <c r="H18" s="308" t="str">
        <f t="shared" si="0"/>
        <v>3.4</v>
      </c>
      <c r="I18">
        <f t="shared" si="2"/>
        <v>3</v>
      </c>
      <c r="J18" s="302">
        <v>4</v>
      </c>
      <c r="K18" t="e">
        <f>VLOOKUP(CONCATENATE(J18,".20"),'Resultados - 3'!$A$10:$CF$156,42,FALSE)/G18</f>
        <v>#VALUE!</v>
      </c>
      <c r="L18" s="303" t="e">
        <f t="shared" si="4"/>
        <v>#VALUE!</v>
      </c>
    </row>
    <row r="19" spans="6:12" x14ac:dyDescent="0.3">
      <c r="F19" s="302" t="str">
        <f>'Resultados - 3'!$G$12</f>
        <v>µL</v>
      </c>
      <c r="G19">
        <f>VLOOKUP(F19,'Unidades de medida'!$A$2:$B$9,2,FALSE)/1000</f>
        <v>1</v>
      </c>
      <c r="H19" s="308" t="str">
        <f t="shared" si="0"/>
        <v>3.5</v>
      </c>
      <c r="I19">
        <f t="shared" si="2"/>
        <v>3</v>
      </c>
      <c r="J19" s="302">
        <v>5</v>
      </c>
      <c r="K19" t="e">
        <f>VLOOKUP(CONCATENATE(J19,".20"),'Resultados - 3'!$A$10:$CF$156,42,FALSE)/G19</f>
        <v>#VALUE!</v>
      </c>
      <c r="L19" s="303" t="e">
        <f t="shared" si="4"/>
        <v>#VALUE!</v>
      </c>
    </row>
    <row r="20" spans="6:12" x14ac:dyDescent="0.3">
      <c r="F20" s="302" t="str">
        <f>'Resultados - 3'!$G$12</f>
        <v>µL</v>
      </c>
      <c r="G20">
        <f>VLOOKUP(F20,'Unidades de medida'!$A$2:$B$9,2,FALSE)/1000</f>
        <v>1</v>
      </c>
      <c r="H20" s="308" t="str">
        <f t="shared" si="0"/>
        <v>3.6</v>
      </c>
      <c r="I20">
        <f t="shared" si="2"/>
        <v>3</v>
      </c>
      <c r="J20" s="302">
        <v>6</v>
      </c>
      <c r="K20" t="e">
        <f>VLOOKUP(CONCATENATE(J20,".20"),'Resultados - 3'!$A$10:$CF$156,42,FALSE)/G20</f>
        <v>#VALUE!</v>
      </c>
      <c r="L20" s="303" t="e">
        <f t="shared" si="4"/>
        <v>#VALUE!</v>
      </c>
    </row>
    <row r="21" spans="6:12" x14ac:dyDescent="0.3">
      <c r="F21" s="304" t="str">
        <f>'Resultados - 3'!$G$12</f>
        <v>µL</v>
      </c>
      <c r="G21" s="305">
        <f>VLOOKUP(F21,'Unidades de medida'!$A$2:$B$9,2,FALSE)/1000</f>
        <v>1</v>
      </c>
      <c r="H21" s="309" t="str">
        <f t="shared" si="0"/>
        <v>3.7</v>
      </c>
      <c r="I21" s="305">
        <f t="shared" si="2"/>
        <v>3</v>
      </c>
      <c r="J21" s="304">
        <v>7</v>
      </c>
      <c r="K21" s="305" t="e">
        <f>VLOOKUP(CONCATENATE(J21,".20"),'Resultados - 3'!$A$10:$CF$156,42,FALSE)/G21</f>
        <v>#VALUE!</v>
      </c>
      <c r="L21" s="306" t="e">
        <f t="shared" si="4"/>
        <v>#VALUE!</v>
      </c>
    </row>
    <row r="22" spans="6:12" x14ac:dyDescent="0.3">
      <c r="F22" s="299" t="str">
        <f>'Resultados - 4'!$G$12</f>
        <v>µL</v>
      </c>
      <c r="G22" s="300">
        <f>VLOOKUP(F22,'Unidades de medida'!$A$2:$B$9,2,FALSE)/1000</f>
        <v>1</v>
      </c>
      <c r="H22" s="307" t="str">
        <f t="shared" si="0"/>
        <v>4.1</v>
      </c>
      <c r="I22" s="300">
        <f t="shared" ref="I22" si="5">I21+1</f>
        <v>4</v>
      </c>
      <c r="J22" s="299">
        <v>1</v>
      </c>
      <c r="K22" s="300" t="e">
        <f>VLOOKUP(CONCATENATE(J22,".20"),'Resultados - 4'!$A$10:$CF$156,42,FALSE)/G22</f>
        <v>#VALUE!</v>
      </c>
      <c r="L22" s="301" t="e">
        <f t="shared" si="4"/>
        <v>#VALUE!</v>
      </c>
    </row>
    <row r="23" spans="6:12" x14ac:dyDescent="0.3">
      <c r="F23" s="302" t="str">
        <f>'Resultados - 4'!$G$12</f>
        <v>µL</v>
      </c>
      <c r="G23">
        <f>VLOOKUP(F23,'Unidades de medida'!$A$2:$B$9,2,FALSE)/1000</f>
        <v>1</v>
      </c>
      <c r="H23" s="308" t="str">
        <f t="shared" si="0"/>
        <v>4.2</v>
      </c>
      <c r="I23">
        <f t="shared" si="2"/>
        <v>4</v>
      </c>
      <c r="J23" s="302">
        <v>2</v>
      </c>
      <c r="K23" t="e">
        <f>VLOOKUP(CONCATENATE(J23,".20"),'Resultados - 4'!$A$10:$CF$156,42,FALSE)/G23</f>
        <v>#VALUE!</v>
      </c>
      <c r="L23" s="303" t="e">
        <f t="shared" si="4"/>
        <v>#VALUE!</v>
      </c>
    </row>
    <row r="24" spans="6:12" x14ac:dyDescent="0.3">
      <c r="F24" s="302" t="str">
        <f>'Resultados - 4'!$G$12</f>
        <v>µL</v>
      </c>
      <c r="G24">
        <f>VLOOKUP(F24,'Unidades de medida'!$A$2:$B$9,2,FALSE)/1000</f>
        <v>1</v>
      </c>
      <c r="H24" s="308" t="str">
        <f t="shared" si="0"/>
        <v>4.3</v>
      </c>
      <c r="I24">
        <f t="shared" si="2"/>
        <v>4</v>
      </c>
      <c r="J24" s="302">
        <v>3</v>
      </c>
      <c r="K24" t="e">
        <f>VLOOKUP(CONCATENATE(J24,".20"),'Resultados - 4'!$A$10:$CF$156,42,FALSE)/G24</f>
        <v>#VALUE!</v>
      </c>
      <c r="L24" s="303" t="e">
        <f t="shared" si="4"/>
        <v>#VALUE!</v>
      </c>
    </row>
    <row r="25" spans="6:12" x14ac:dyDescent="0.3">
      <c r="F25" s="302" t="str">
        <f>'Resultados - 4'!$G$12</f>
        <v>µL</v>
      </c>
      <c r="G25">
        <f>VLOOKUP(F25,'Unidades de medida'!$A$2:$B$9,2,FALSE)/1000</f>
        <v>1</v>
      </c>
      <c r="H25" s="308" t="str">
        <f t="shared" si="0"/>
        <v>4.4</v>
      </c>
      <c r="I25">
        <f t="shared" si="2"/>
        <v>4</v>
      </c>
      <c r="J25" s="302">
        <v>4</v>
      </c>
      <c r="K25" t="e">
        <f>VLOOKUP(CONCATENATE(J25,".20"),'Resultados - 4'!$A$10:$CF$156,42,FALSE)/G25</f>
        <v>#VALUE!</v>
      </c>
      <c r="L25" s="303" t="e">
        <f t="shared" si="4"/>
        <v>#VALUE!</v>
      </c>
    </row>
    <row r="26" spans="6:12" x14ac:dyDescent="0.3">
      <c r="F26" s="302" t="str">
        <f>'Resultados - 4'!$G$12</f>
        <v>µL</v>
      </c>
      <c r="G26">
        <f>VLOOKUP(F26,'Unidades de medida'!$A$2:$B$9,2,FALSE)/1000</f>
        <v>1</v>
      </c>
      <c r="H26" s="308" t="str">
        <f t="shared" si="0"/>
        <v>4.5</v>
      </c>
      <c r="I26">
        <f t="shared" si="2"/>
        <v>4</v>
      </c>
      <c r="J26" s="302">
        <v>5</v>
      </c>
      <c r="K26" t="e">
        <f>VLOOKUP(CONCATENATE(J26,".20"),'Resultados - 4'!$A$10:$CF$156,42,FALSE)/G26</f>
        <v>#VALUE!</v>
      </c>
      <c r="L26" s="303" t="e">
        <f t="shared" si="4"/>
        <v>#VALUE!</v>
      </c>
    </row>
    <row r="27" spans="6:12" x14ac:dyDescent="0.3">
      <c r="F27" s="302" t="str">
        <f>'Resultados - 4'!$G$12</f>
        <v>µL</v>
      </c>
      <c r="G27">
        <f>VLOOKUP(F27,'Unidades de medida'!$A$2:$B$9,2,FALSE)/1000</f>
        <v>1</v>
      </c>
      <c r="H27" s="308" t="str">
        <f t="shared" si="0"/>
        <v>4.6</v>
      </c>
      <c r="I27">
        <f t="shared" si="2"/>
        <v>4</v>
      </c>
      <c r="J27" s="302">
        <v>6</v>
      </c>
      <c r="K27" t="e">
        <f>VLOOKUP(CONCATENATE(J27,".20"),'Resultados - 4'!$A$10:$CF$156,42,FALSE)/G27</f>
        <v>#VALUE!</v>
      </c>
      <c r="L27" s="303" t="e">
        <f t="shared" si="4"/>
        <v>#VALUE!</v>
      </c>
    </row>
    <row r="28" spans="6:12" x14ac:dyDescent="0.3">
      <c r="F28" s="304" t="str">
        <f>'Resultados - 4'!$G$12</f>
        <v>µL</v>
      </c>
      <c r="G28" s="305">
        <f>VLOOKUP(F28,'Unidades de medida'!$A$2:$B$9,2,FALSE)/1000</f>
        <v>1</v>
      </c>
      <c r="H28" s="309" t="str">
        <f t="shared" si="0"/>
        <v>4.7</v>
      </c>
      <c r="I28" s="305">
        <f t="shared" si="2"/>
        <v>4</v>
      </c>
      <c r="J28" s="304">
        <v>7</v>
      </c>
      <c r="K28" s="305" t="e">
        <f>VLOOKUP(CONCATENATE(J28,".20"),'Resultados - 4'!$A$10:$CF$156,42,FALSE)/G28</f>
        <v>#VALUE!</v>
      </c>
      <c r="L28" s="306" t="e">
        <f t="shared" si="4"/>
        <v>#VALUE!</v>
      </c>
    </row>
    <row r="29" spans="6:12" x14ac:dyDescent="0.3">
      <c r="F29" s="299" t="str">
        <f>'Resultados - 5'!$G$12</f>
        <v>µL</v>
      </c>
      <c r="G29" s="300">
        <f>VLOOKUP(F29,'Unidades de medida'!$A$2:$B$9,2,FALSE)/1000</f>
        <v>1</v>
      </c>
      <c r="H29" s="307" t="str">
        <f t="shared" si="0"/>
        <v>5.1</v>
      </c>
      <c r="I29" s="300">
        <f t="shared" ref="I29" si="6">I28+1</f>
        <v>5</v>
      </c>
      <c r="J29" s="299">
        <v>1</v>
      </c>
      <c r="K29" s="300" t="e">
        <f>VLOOKUP(CONCATENATE(J29,".20"),'Resultados - 5'!$A$10:$CF$156,42,FALSE)/G29</f>
        <v>#VALUE!</v>
      </c>
      <c r="L29" s="301" t="e">
        <f t="shared" si="4"/>
        <v>#VALUE!</v>
      </c>
    </row>
    <row r="30" spans="6:12" x14ac:dyDescent="0.3">
      <c r="F30" s="302" t="str">
        <f>'Resultados - 5'!$G$12</f>
        <v>µL</v>
      </c>
      <c r="G30">
        <f>VLOOKUP(F30,'Unidades de medida'!$A$2:$B$9,2,FALSE)/1000</f>
        <v>1</v>
      </c>
      <c r="H30" s="308" t="str">
        <f t="shared" si="0"/>
        <v>5.2</v>
      </c>
      <c r="I30">
        <f t="shared" si="2"/>
        <v>5</v>
      </c>
      <c r="J30" s="302">
        <v>2</v>
      </c>
      <c r="K30" t="e">
        <f>VLOOKUP(CONCATENATE(J30,".20"),'Resultados - 5'!$A$10:$CF$156,42,FALSE)/G30</f>
        <v>#VALUE!</v>
      </c>
      <c r="L30" s="303" t="e">
        <f t="shared" si="4"/>
        <v>#VALUE!</v>
      </c>
    </row>
    <row r="31" spans="6:12" x14ac:dyDescent="0.3">
      <c r="F31" s="302" t="str">
        <f>'Resultados - 5'!$G$12</f>
        <v>µL</v>
      </c>
      <c r="G31">
        <f>VLOOKUP(F31,'Unidades de medida'!$A$2:$B$9,2,FALSE)/1000</f>
        <v>1</v>
      </c>
      <c r="H31" s="308" t="str">
        <f t="shared" si="0"/>
        <v>5.3</v>
      </c>
      <c r="I31">
        <f t="shared" si="2"/>
        <v>5</v>
      </c>
      <c r="J31" s="302">
        <v>3</v>
      </c>
      <c r="K31" t="e">
        <f>VLOOKUP(CONCATENATE(J31,".20"),'Resultados - 5'!$A$10:$CF$156,42,FALSE)/G31</f>
        <v>#VALUE!</v>
      </c>
      <c r="L31" s="303" t="e">
        <f t="shared" si="4"/>
        <v>#VALUE!</v>
      </c>
    </row>
    <row r="32" spans="6:12" x14ac:dyDescent="0.3">
      <c r="F32" s="302" t="str">
        <f>'Resultados - 5'!$G$12</f>
        <v>µL</v>
      </c>
      <c r="G32">
        <f>VLOOKUP(F32,'Unidades de medida'!$A$2:$B$9,2,FALSE)/1000</f>
        <v>1</v>
      </c>
      <c r="H32" s="308" t="str">
        <f t="shared" si="0"/>
        <v>5.4</v>
      </c>
      <c r="I32">
        <f t="shared" si="2"/>
        <v>5</v>
      </c>
      <c r="J32" s="302">
        <v>4</v>
      </c>
      <c r="K32" t="e">
        <f>VLOOKUP(CONCATENATE(J32,".20"),'Resultados - 5'!$A$10:$CF$156,42,FALSE)/G32</f>
        <v>#VALUE!</v>
      </c>
      <c r="L32" s="303" t="e">
        <f t="shared" si="4"/>
        <v>#VALUE!</v>
      </c>
    </row>
    <row r="33" spans="6:12" x14ac:dyDescent="0.3">
      <c r="F33" s="302" t="str">
        <f>'Resultados - 5'!$G$12</f>
        <v>µL</v>
      </c>
      <c r="G33">
        <f>VLOOKUP(F33,'Unidades de medida'!$A$2:$B$9,2,FALSE)/1000</f>
        <v>1</v>
      </c>
      <c r="H33" s="308" t="str">
        <f t="shared" ref="H33:H64" si="7">CONCATENATE(I33,".",J33)</f>
        <v>5.5</v>
      </c>
      <c r="I33">
        <f t="shared" si="2"/>
        <v>5</v>
      </c>
      <c r="J33" s="302">
        <v>5</v>
      </c>
      <c r="K33" t="e">
        <f>VLOOKUP(CONCATENATE(J33,".20"),'Resultados - 5'!$A$10:$CF$156,42,FALSE)/G33</f>
        <v>#VALUE!</v>
      </c>
      <c r="L33" s="303" t="e">
        <f t="shared" si="4"/>
        <v>#VALUE!</v>
      </c>
    </row>
    <row r="34" spans="6:12" x14ac:dyDescent="0.3">
      <c r="F34" s="302" t="str">
        <f>'Resultados - 5'!$G$12</f>
        <v>µL</v>
      </c>
      <c r="G34">
        <f>VLOOKUP(F34,'Unidades de medida'!$A$2:$B$9,2,FALSE)/1000</f>
        <v>1</v>
      </c>
      <c r="H34" s="308" t="str">
        <f t="shared" si="7"/>
        <v>5.6</v>
      </c>
      <c r="I34">
        <f t="shared" si="2"/>
        <v>5</v>
      </c>
      <c r="J34" s="302">
        <v>6</v>
      </c>
      <c r="K34" t="e">
        <f>VLOOKUP(CONCATENATE(J34,".20"),'Resultados - 5'!$A$10:$CF$156,42,FALSE)/G34</f>
        <v>#VALUE!</v>
      </c>
      <c r="L34" s="303" t="e">
        <f t="shared" si="4"/>
        <v>#VALUE!</v>
      </c>
    </row>
    <row r="35" spans="6:12" x14ac:dyDescent="0.3">
      <c r="F35" s="304" t="str">
        <f>'Resultados - 5'!$G$12</f>
        <v>µL</v>
      </c>
      <c r="G35" s="305">
        <f>VLOOKUP(F35,'Unidades de medida'!$A$2:$B$9,2,FALSE)/1000</f>
        <v>1</v>
      </c>
      <c r="H35" s="309" t="str">
        <f t="shared" si="7"/>
        <v>5.7</v>
      </c>
      <c r="I35" s="305">
        <f t="shared" si="2"/>
        <v>5</v>
      </c>
      <c r="J35" s="304">
        <v>7</v>
      </c>
      <c r="K35" s="305" t="e">
        <f>VLOOKUP(CONCATENATE(J35,".20"),'Resultados - 5'!$A$10:$CF$156,42,FALSE)/G35</f>
        <v>#VALUE!</v>
      </c>
      <c r="L35" s="306" t="e">
        <f t="shared" si="4"/>
        <v>#VALUE!</v>
      </c>
    </row>
    <row r="36" spans="6:12" x14ac:dyDescent="0.3">
      <c r="F36" s="299" t="str">
        <f>'Resultados - 6'!$G$12</f>
        <v>µL</v>
      </c>
      <c r="G36" s="300">
        <f>VLOOKUP(F36,'Unidades de medida'!$A$2:$B$9,2,FALSE)/1000</f>
        <v>1</v>
      </c>
      <c r="H36" s="307" t="str">
        <f t="shared" si="7"/>
        <v>6.1</v>
      </c>
      <c r="I36" s="300">
        <f t="shared" ref="I36" si="8">I35+1</f>
        <v>6</v>
      </c>
      <c r="J36" s="299">
        <v>1</v>
      </c>
      <c r="K36" s="300" t="e">
        <f>VLOOKUP(CONCATENATE(J36,".20"),'Resultados - 6'!$A$10:$CF$156,42,FALSE)/G36</f>
        <v>#VALUE!</v>
      </c>
      <c r="L36" s="301" t="e">
        <f t="shared" si="4"/>
        <v>#VALUE!</v>
      </c>
    </row>
    <row r="37" spans="6:12" x14ac:dyDescent="0.3">
      <c r="F37" s="302" t="str">
        <f>'Resultados - 6'!$G$12</f>
        <v>µL</v>
      </c>
      <c r="G37">
        <f>VLOOKUP(F37,'Unidades de medida'!$A$2:$B$9,2,FALSE)/1000</f>
        <v>1</v>
      </c>
      <c r="H37" s="308" t="str">
        <f t="shared" si="7"/>
        <v>6.2</v>
      </c>
      <c r="I37">
        <f t="shared" si="2"/>
        <v>6</v>
      </c>
      <c r="J37" s="302">
        <v>2</v>
      </c>
      <c r="K37" t="e">
        <f>VLOOKUP(CONCATENATE(J37,".20"),'Resultados - 6'!$A$10:$CF$156,42,FALSE)/G37</f>
        <v>#VALUE!</v>
      </c>
      <c r="L37" s="303" t="e">
        <f t="shared" si="4"/>
        <v>#VALUE!</v>
      </c>
    </row>
    <row r="38" spans="6:12" x14ac:dyDescent="0.3">
      <c r="F38" s="302" t="str">
        <f>'Resultados - 6'!$G$12</f>
        <v>µL</v>
      </c>
      <c r="G38">
        <f>VLOOKUP(F38,'Unidades de medida'!$A$2:$B$9,2,FALSE)/1000</f>
        <v>1</v>
      </c>
      <c r="H38" s="308" t="str">
        <f t="shared" si="7"/>
        <v>6.3</v>
      </c>
      <c r="I38">
        <f t="shared" si="2"/>
        <v>6</v>
      </c>
      <c r="J38" s="302">
        <v>3</v>
      </c>
      <c r="K38" t="e">
        <f>VLOOKUP(CONCATENATE(J38,".20"),'Resultados - 6'!$A$10:$CF$156,42,FALSE)/G38</f>
        <v>#VALUE!</v>
      </c>
      <c r="L38" s="303" t="e">
        <f t="shared" si="4"/>
        <v>#VALUE!</v>
      </c>
    </row>
    <row r="39" spans="6:12" x14ac:dyDescent="0.3">
      <c r="F39" s="302" t="str">
        <f>'Resultados - 6'!$G$12</f>
        <v>µL</v>
      </c>
      <c r="G39">
        <f>VLOOKUP(F39,'Unidades de medida'!$A$2:$B$9,2,FALSE)/1000</f>
        <v>1</v>
      </c>
      <c r="H39" s="308" t="str">
        <f t="shared" si="7"/>
        <v>6.4</v>
      </c>
      <c r="I39">
        <f t="shared" si="2"/>
        <v>6</v>
      </c>
      <c r="J39" s="302">
        <v>4</v>
      </c>
      <c r="K39" t="e">
        <f>VLOOKUP(CONCATENATE(J39,".20"),'Resultados - 6'!$A$10:$CF$156,42,FALSE)/G39</f>
        <v>#VALUE!</v>
      </c>
      <c r="L39" s="303" t="e">
        <f t="shared" si="4"/>
        <v>#VALUE!</v>
      </c>
    </row>
    <row r="40" spans="6:12" x14ac:dyDescent="0.3">
      <c r="F40" s="302" t="str">
        <f>'Resultados - 6'!$G$12</f>
        <v>µL</v>
      </c>
      <c r="G40">
        <f>VLOOKUP(F40,'Unidades de medida'!$A$2:$B$9,2,FALSE)/1000</f>
        <v>1</v>
      </c>
      <c r="H40" s="308" t="str">
        <f t="shared" si="7"/>
        <v>6.5</v>
      </c>
      <c r="I40">
        <f t="shared" si="2"/>
        <v>6</v>
      </c>
      <c r="J40" s="302">
        <v>5</v>
      </c>
      <c r="K40" t="e">
        <f>VLOOKUP(CONCATENATE(J40,".20"),'Resultados - 6'!$A$10:$CF$156,42,FALSE)/G40</f>
        <v>#VALUE!</v>
      </c>
      <c r="L40" s="303" t="e">
        <f t="shared" si="4"/>
        <v>#VALUE!</v>
      </c>
    </row>
    <row r="41" spans="6:12" x14ac:dyDescent="0.3">
      <c r="F41" s="302" t="str">
        <f>'Resultados - 6'!$G$12</f>
        <v>µL</v>
      </c>
      <c r="G41">
        <f>VLOOKUP(F41,'Unidades de medida'!$A$2:$B$9,2,FALSE)/1000</f>
        <v>1</v>
      </c>
      <c r="H41" s="308" t="str">
        <f t="shared" si="7"/>
        <v>6.6</v>
      </c>
      <c r="I41">
        <f t="shared" si="2"/>
        <v>6</v>
      </c>
      <c r="J41" s="302">
        <v>6</v>
      </c>
      <c r="K41" t="e">
        <f>VLOOKUP(CONCATENATE(J41,".20"),'Resultados - 6'!$A$10:$CF$156,42,FALSE)/G41</f>
        <v>#VALUE!</v>
      </c>
      <c r="L41" s="303" t="e">
        <f t="shared" si="4"/>
        <v>#VALUE!</v>
      </c>
    </row>
    <row r="42" spans="6:12" x14ac:dyDescent="0.3">
      <c r="F42" s="304" t="str">
        <f>'Resultados - 6'!$G$12</f>
        <v>µL</v>
      </c>
      <c r="G42" s="305">
        <f>VLOOKUP(F42,'Unidades de medida'!$A$2:$B$9,2,FALSE)/1000</f>
        <v>1</v>
      </c>
      <c r="H42" s="309" t="str">
        <f t="shared" si="7"/>
        <v>6.7</v>
      </c>
      <c r="I42" s="305">
        <f t="shared" si="2"/>
        <v>6</v>
      </c>
      <c r="J42" s="304">
        <v>7</v>
      </c>
      <c r="K42" s="305" t="e">
        <f>VLOOKUP(CONCATENATE(J42,".20"),'Resultados - 6'!$A$10:$CF$156,42,FALSE)/G42</f>
        <v>#VALUE!</v>
      </c>
      <c r="L42" s="306" t="e">
        <f t="shared" si="4"/>
        <v>#VALUE!</v>
      </c>
    </row>
    <row r="43" spans="6:12" x14ac:dyDescent="0.3">
      <c r="F43" s="299" t="str">
        <f>'Resultados - 7'!$G$12</f>
        <v>µL</v>
      </c>
      <c r="G43" s="300">
        <f>VLOOKUP(F43,'Unidades de medida'!$A$2:$B$9,2,FALSE)/1000</f>
        <v>1</v>
      </c>
      <c r="H43" s="307" t="str">
        <f t="shared" si="7"/>
        <v>7.1</v>
      </c>
      <c r="I43" s="300">
        <f t="shared" ref="I43" si="9">I42+1</f>
        <v>7</v>
      </c>
      <c r="J43" s="299">
        <v>1</v>
      </c>
      <c r="K43" s="300" t="e">
        <f>VLOOKUP(CONCATENATE(J43,".20"),'Resultados - 7'!$A$10:$CF$156,42,FALSE)/G43</f>
        <v>#VALUE!</v>
      </c>
      <c r="L43" s="301" t="e">
        <f t="shared" si="4"/>
        <v>#VALUE!</v>
      </c>
    </row>
    <row r="44" spans="6:12" x14ac:dyDescent="0.3">
      <c r="F44" s="302" t="str">
        <f>'Resultados - 7'!$G$12</f>
        <v>µL</v>
      </c>
      <c r="G44">
        <f>VLOOKUP(F44,'Unidades de medida'!$A$2:$B$9,2,FALSE)/1000</f>
        <v>1</v>
      </c>
      <c r="H44" s="308" t="str">
        <f t="shared" si="7"/>
        <v>7.2</v>
      </c>
      <c r="I44">
        <f t="shared" si="2"/>
        <v>7</v>
      </c>
      <c r="J44" s="302">
        <v>2</v>
      </c>
      <c r="K44" t="e">
        <f>VLOOKUP(CONCATENATE(J44,".20"),'Resultados - 7'!$A$10:$CF$156,42,FALSE)/G44</f>
        <v>#VALUE!</v>
      </c>
      <c r="L44" s="303" t="e">
        <f t="shared" si="4"/>
        <v>#VALUE!</v>
      </c>
    </row>
    <row r="45" spans="6:12" x14ac:dyDescent="0.3">
      <c r="F45" s="302" t="str">
        <f>'Resultados - 7'!$G$12</f>
        <v>µL</v>
      </c>
      <c r="G45">
        <f>VLOOKUP(F45,'Unidades de medida'!$A$2:$B$9,2,FALSE)/1000</f>
        <v>1</v>
      </c>
      <c r="H45" s="308" t="str">
        <f t="shared" si="7"/>
        <v>7.3</v>
      </c>
      <c r="I45">
        <f t="shared" si="2"/>
        <v>7</v>
      </c>
      <c r="J45" s="302">
        <v>3</v>
      </c>
      <c r="K45" t="e">
        <f>VLOOKUP(CONCATENATE(J45,".20"),'Resultados - 7'!$A$10:$CF$156,42,FALSE)/G45</f>
        <v>#VALUE!</v>
      </c>
      <c r="L45" s="303" t="e">
        <f t="shared" si="4"/>
        <v>#VALUE!</v>
      </c>
    </row>
    <row r="46" spans="6:12" x14ac:dyDescent="0.3">
      <c r="F46" s="302" t="str">
        <f>'Resultados - 7'!$G$12</f>
        <v>µL</v>
      </c>
      <c r="G46">
        <f>VLOOKUP(F46,'Unidades de medida'!$A$2:$B$9,2,FALSE)/1000</f>
        <v>1</v>
      </c>
      <c r="H46" s="308" t="str">
        <f t="shared" si="7"/>
        <v>7.4</v>
      </c>
      <c r="I46">
        <f t="shared" si="2"/>
        <v>7</v>
      </c>
      <c r="J46" s="302">
        <v>4</v>
      </c>
      <c r="K46" t="e">
        <f>VLOOKUP(CONCATENATE(J46,".20"),'Resultados - 7'!$A$10:$CF$156,42,FALSE)/G46</f>
        <v>#VALUE!</v>
      </c>
      <c r="L46" s="303" t="e">
        <f t="shared" si="4"/>
        <v>#VALUE!</v>
      </c>
    </row>
    <row r="47" spans="6:12" x14ac:dyDescent="0.3">
      <c r="F47" s="302" t="str">
        <f>'Resultados - 7'!$G$12</f>
        <v>µL</v>
      </c>
      <c r="G47">
        <f>VLOOKUP(F47,'Unidades de medida'!$A$2:$B$9,2,FALSE)/1000</f>
        <v>1</v>
      </c>
      <c r="H47" s="308" t="str">
        <f t="shared" si="7"/>
        <v>7.5</v>
      </c>
      <c r="I47">
        <f t="shared" si="2"/>
        <v>7</v>
      </c>
      <c r="J47" s="302">
        <v>5</v>
      </c>
      <c r="K47" t="e">
        <f>VLOOKUP(CONCATENATE(J47,".20"),'Resultados - 7'!$A$10:$CF$156,42,FALSE)/G47</f>
        <v>#VALUE!</v>
      </c>
      <c r="L47" s="303" t="e">
        <f t="shared" si="4"/>
        <v>#VALUE!</v>
      </c>
    </row>
    <row r="48" spans="6:12" x14ac:dyDescent="0.3">
      <c r="F48" s="302" t="str">
        <f>'Resultados - 7'!$G$12</f>
        <v>µL</v>
      </c>
      <c r="G48">
        <f>VLOOKUP(F48,'Unidades de medida'!$A$2:$B$9,2,FALSE)/1000</f>
        <v>1</v>
      </c>
      <c r="H48" s="308" t="str">
        <f t="shared" si="7"/>
        <v>7.6</v>
      </c>
      <c r="I48">
        <f t="shared" si="2"/>
        <v>7</v>
      </c>
      <c r="J48" s="302">
        <v>6</v>
      </c>
      <c r="K48" t="e">
        <f>VLOOKUP(CONCATENATE(J48,".20"),'Resultados - 7'!$A$10:$CF$156,42,FALSE)/G48</f>
        <v>#VALUE!</v>
      </c>
      <c r="L48" s="303" t="e">
        <f t="shared" si="4"/>
        <v>#VALUE!</v>
      </c>
    </row>
    <row r="49" spans="6:12" x14ac:dyDescent="0.3">
      <c r="F49" s="304" t="str">
        <f>'Resultados - 7'!$G$12</f>
        <v>µL</v>
      </c>
      <c r="G49" s="305">
        <f>VLOOKUP(F49,'Unidades de medida'!$A$2:$B$9,2,FALSE)/1000</f>
        <v>1</v>
      </c>
      <c r="H49" s="309" t="str">
        <f t="shared" si="7"/>
        <v>7.7</v>
      </c>
      <c r="I49" s="305">
        <f t="shared" si="2"/>
        <v>7</v>
      </c>
      <c r="J49" s="304">
        <v>7</v>
      </c>
      <c r="K49" s="305" t="e">
        <f>VLOOKUP(CONCATENATE(J49,".20"),'Resultados - 7'!$A$10:$CF$156,42,FALSE)/G49</f>
        <v>#VALUE!</v>
      </c>
      <c r="L49" s="306" t="e">
        <f t="shared" si="4"/>
        <v>#VALUE!</v>
      </c>
    </row>
    <row r="50" spans="6:12" x14ac:dyDescent="0.3">
      <c r="F50" s="299" t="str">
        <f>'Resultados - 8'!$G$12</f>
        <v>µL</v>
      </c>
      <c r="G50" s="300">
        <f>VLOOKUP(F50,'Unidades de medida'!$A$2:$B$9,2,FALSE)/1000</f>
        <v>1</v>
      </c>
      <c r="H50" s="307" t="str">
        <f t="shared" si="7"/>
        <v>8.1</v>
      </c>
      <c r="I50" s="300">
        <f t="shared" ref="I50" si="10">I49+1</f>
        <v>8</v>
      </c>
      <c r="J50" s="299">
        <v>1</v>
      </c>
      <c r="K50" s="300" t="e">
        <f>VLOOKUP(CONCATENATE(J50,".20"),'Resultados - 8'!$A$10:$CF$156,42,FALSE)/G50</f>
        <v>#VALUE!</v>
      </c>
      <c r="L50" s="301" t="e">
        <f t="shared" si="4"/>
        <v>#VALUE!</v>
      </c>
    </row>
    <row r="51" spans="6:12" x14ac:dyDescent="0.3">
      <c r="F51" s="302" t="str">
        <f>'Resultados - 8'!$G$12</f>
        <v>µL</v>
      </c>
      <c r="G51">
        <f>VLOOKUP(F51,'Unidades de medida'!$A$2:$B$9,2,FALSE)/1000</f>
        <v>1</v>
      </c>
      <c r="H51" s="308" t="str">
        <f t="shared" si="7"/>
        <v>8.2</v>
      </c>
      <c r="I51">
        <f t="shared" si="2"/>
        <v>8</v>
      </c>
      <c r="J51" s="302">
        <v>2</v>
      </c>
      <c r="K51" t="e">
        <f>VLOOKUP(CONCATENATE(J51,".20"),'Resultados - 8'!$A$10:$CF$156,42,FALSE)/G51</f>
        <v>#VALUE!</v>
      </c>
      <c r="L51" s="303" t="e">
        <f t="shared" si="4"/>
        <v>#VALUE!</v>
      </c>
    </row>
    <row r="52" spans="6:12" x14ac:dyDescent="0.3">
      <c r="F52" s="302" t="str">
        <f>'Resultados - 8'!$G$12</f>
        <v>µL</v>
      </c>
      <c r="G52">
        <f>VLOOKUP(F52,'Unidades de medida'!$A$2:$B$9,2,FALSE)/1000</f>
        <v>1</v>
      </c>
      <c r="H52" s="308" t="str">
        <f t="shared" si="7"/>
        <v>8.3</v>
      </c>
      <c r="I52">
        <f t="shared" si="2"/>
        <v>8</v>
      </c>
      <c r="J52" s="302">
        <v>3</v>
      </c>
      <c r="K52" t="e">
        <f>VLOOKUP(CONCATENATE(J52,".20"),'Resultados - 8'!$A$10:$CF$156,42,FALSE)/G52</f>
        <v>#VALUE!</v>
      </c>
      <c r="L52" s="303" t="e">
        <f t="shared" si="4"/>
        <v>#VALUE!</v>
      </c>
    </row>
    <row r="53" spans="6:12" x14ac:dyDescent="0.3">
      <c r="F53" s="302" t="str">
        <f>'Resultados - 8'!$G$12</f>
        <v>µL</v>
      </c>
      <c r="G53">
        <f>VLOOKUP(F53,'Unidades de medida'!$A$2:$B$9,2,FALSE)/1000</f>
        <v>1</v>
      </c>
      <c r="H53" s="308" t="str">
        <f t="shared" si="7"/>
        <v>8.4</v>
      </c>
      <c r="I53">
        <f t="shared" si="2"/>
        <v>8</v>
      </c>
      <c r="J53" s="302">
        <v>4</v>
      </c>
      <c r="K53" t="e">
        <f>VLOOKUP(CONCATENATE(J53,".20"),'Resultados - 8'!$A$10:$CF$156,42,FALSE)/G53</f>
        <v>#VALUE!</v>
      </c>
      <c r="L53" s="303" t="e">
        <f t="shared" si="4"/>
        <v>#VALUE!</v>
      </c>
    </row>
    <row r="54" spans="6:12" x14ac:dyDescent="0.3">
      <c r="F54" s="302" t="str">
        <f>'Resultados - 8'!$G$12</f>
        <v>µL</v>
      </c>
      <c r="G54">
        <f>VLOOKUP(F54,'Unidades de medida'!$A$2:$B$9,2,FALSE)/1000</f>
        <v>1</v>
      </c>
      <c r="H54" s="308" t="str">
        <f t="shared" si="7"/>
        <v>8.5</v>
      </c>
      <c r="I54">
        <f t="shared" si="2"/>
        <v>8</v>
      </c>
      <c r="J54" s="302">
        <v>5</v>
      </c>
      <c r="K54" t="e">
        <f>VLOOKUP(CONCATENATE(J54,".20"),'Resultados - 8'!$A$10:$CF$156,42,FALSE)/G54</f>
        <v>#VALUE!</v>
      </c>
      <c r="L54" s="303" t="e">
        <f t="shared" si="4"/>
        <v>#VALUE!</v>
      </c>
    </row>
    <row r="55" spans="6:12" x14ac:dyDescent="0.3">
      <c r="F55" s="302" t="str">
        <f>'Resultados - 8'!$G$12</f>
        <v>µL</v>
      </c>
      <c r="G55">
        <f>VLOOKUP(F55,'Unidades de medida'!$A$2:$B$9,2,FALSE)/1000</f>
        <v>1</v>
      </c>
      <c r="H55" s="308" t="str">
        <f t="shared" si="7"/>
        <v>8.6</v>
      </c>
      <c r="I55">
        <f t="shared" si="2"/>
        <v>8</v>
      </c>
      <c r="J55" s="302">
        <v>6</v>
      </c>
      <c r="K55" t="e">
        <f>VLOOKUP(CONCATENATE(J55,".20"),'Resultados - 8'!$A$10:$CF$156,42,FALSE)/G55</f>
        <v>#VALUE!</v>
      </c>
      <c r="L55" s="303" t="e">
        <f t="shared" si="4"/>
        <v>#VALUE!</v>
      </c>
    </row>
    <row r="56" spans="6:12" x14ac:dyDescent="0.3">
      <c r="F56" s="304" t="str">
        <f>'Resultados - 8'!$G$12</f>
        <v>µL</v>
      </c>
      <c r="G56" s="305">
        <f>VLOOKUP(F56,'Unidades de medida'!$A$2:$B$9,2,FALSE)/1000</f>
        <v>1</v>
      </c>
      <c r="H56" s="309" t="str">
        <f t="shared" si="7"/>
        <v>8.7</v>
      </c>
      <c r="I56" s="305">
        <f t="shared" si="2"/>
        <v>8</v>
      </c>
      <c r="J56" s="304">
        <v>7</v>
      </c>
      <c r="K56" s="305" t="e">
        <f>VLOOKUP(CONCATENATE(J56,".20"),'Resultados - 8'!$A$10:$CF$156,42,FALSE)/G56</f>
        <v>#VALUE!</v>
      </c>
      <c r="L56" s="306" t="e">
        <f t="shared" si="4"/>
        <v>#VALUE!</v>
      </c>
    </row>
    <row r="57" spans="6:12" x14ac:dyDescent="0.3">
      <c r="F57" s="299" t="str">
        <f>'Resultados - 9'!$G$12</f>
        <v>µL</v>
      </c>
      <c r="G57" s="300">
        <f>VLOOKUP(F57,'Unidades de medida'!$A$2:$B$9,2,FALSE)/1000</f>
        <v>1</v>
      </c>
      <c r="H57" s="307" t="str">
        <f t="shared" si="7"/>
        <v>9.1</v>
      </c>
      <c r="I57" s="300">
        <f t="shared" ref="I57" si="11">I56+1</f>
        <v>9</v>
      </c>
      <c r="J57" s="299">
        <v>1</v>
      </c>
      <c r="K57" s="300" t="e">
        <f>VLOOKUP(CONCATENATE(J57,".20"),'Resultados - 9'!$A$10:$CF$156,42,FALSE)/G57</f>
        <v>#VALUE!</v>
      </c>
      <c r="L57" s="301" t="e">
        <f t="shared" si="4"/>
        <v>#VALUE!</v>
      </c>
    </row>
    <row r="58" spans="6:12" x14ac:dyDescent="0.3">
      <c r="F58" s="302" t="str">
        <f>'Resultados - 9'!$G$12</f>
        <v>µL</v>
      </c>
      <c r="G58">
        <f>VLOOKUP(F58,'Unidades de medida'!$A$2:$B$9,2,FALSE)/1000</f>
        <v>1</v>
      </c>
      <c r="H58" s="308" t="str">
        <f t="shared" si="7"/>
        <v>9.2</v>
      </c>
      <c r="I58">
        <f t="shared" si="2"/>
        <v>9</v>
      </c>
      <c r="J58" s="302">
        <v>2</v>
      </c>
      <c r="K58" t="e">
        <f>VLOOKUP(CONCATENATE(J58,".20"),'Resultados - 9'!$A$10:$CF$156,42,FALSE)/G58</f>
        <v>#VALUE!</v>
      </c>
      <c r="L58" s="303" t="e">
        <f t="shared" si="4"/>
        <v>#VALUE!</v>
      </c>
    </row>
    <row r="59" spans="6:12" x14ac:dyDescent="0.3">
      <c r="F59" s="302" t="str">
        <f>'Resultados - 9'!$G$12</f>
        <v>µL</v>
      </c>
      <c r="G59">
        <f>VLOOKUP(F59,'Unidades de medida'!$A$2:$B$9,2,FALSE)/1000</f>
        <v>1</v>
      </c>
      <c r="H59" s="308" t="str">
        <f t="shared" si="7"/>
        <v>9.3</v>
      </c>
      <c r="I59">
        <f t="shared" si="2"/>
        <v>9</v>
      </c>
      <c r="J59" s="302">
        <v>3</v>
      </c>
      <c r="K59" t="e">
        <f>VLOOKUP(CONCATENATE(J59,".20"),'Resultados - 9'!$A$10:$CF$156,42,FALSE)/G59</f>
        <v>#VALUE!</v>
      </c>
      <c r="L59" s="303" t="e">
        <f t="shared" si="4"/>
        <v>#VALUE!</v>
      </c>
    </row>
    <row r="60" spans="6:12" x14ac:dyDescent="0.3">
      <c r="F60" s="302" t="str">
        <f>'Resultados - 9'!$G$12</f>
        <v>µL</v>
      </c>
      <c r="G60">
        <f>VLOOKUP(F60,'Unidades de medida'!$A$2:$B$9,2,FALSE)/1000</f>
        <v>1</v>
      </c>
      <c r="H60" s="308" t="str">
        <f t="shared" si="7"/>
        <v>9.4</v>
      </c>
      <c r="I60">
        <f t="shared" si="2"/>
        <v>9</v>
      </c>
      <c r="J60" s="302">
        <v>4</v>
      </c>
      <c r="K60" t="e">
        <f>VLOOKUP(CONCATENATE(J60,".20"),'Resultados - 9'!$A$10:$CF$156,42,FALSE)/G60</f>
        <v>#VALUE!</v>
      </c>
      <c r="L60" s="303" t="e">
        <f t="shared" si="4"/>
        <v>#VALUE!</v>
      </c>
    </row>
    <row r="61" spans="6:12" x14ac:dyDescent="0.3">
      <c r="F61" s="302" t="str">
        <f>'Resultados - 9'!$G$12</f>
        <v>µL</v>
      </c>
      <c r="G61">
        <f>VLOOKUP(F61,'Unidades de medida'!$A$2:$B$9,2,FALSE)/1000</f>
        <v>1</v>
      </c>
      <c r="H61" s="308" t="str">
        <f t="shared" si="7"/>
        <v>9.5</v>
      </c>
      <c r="I61">
        <f t="shared" si="2"/>
        <v>9</v>
      </c>
      <c r="J61" s="302">
        <v>5</v>
      </c>
      <c r="K61" t="e">
        <f>VLOOKUP(CONCATENATE(J61,".20"),'Resultados - 9'!$A$10:$CF$156,42,FALSE)/G61</f>
        <v>#VALUE!</v>
      </c>
      <c r="L61" s="303" t="e">
        <f t="shared" si="4"/>
        <v>#VALUE!</v>
      </c>
    </row>
    <row r="62" spans="6:12" x14ac:dyDescent="0.3">
      <c r="F62" s="302" t="str">
        <f>'Resultados - 9'!$G$12</f>
        <v>µL</v>
      </c>
      <c r="G62">
        <f>VLOOKUP(F62,'Unidades de medida'!$A$2:$B$9,2,FALSE)/1000</f>
        <v>1</v>
      </c>
      <c r="H62" s="308" t="str">
        <f t="shared" si="7"/>
        <v>9.6</v>
      </c>
      <c r="I62">
        <f t="shared" si="2"/>
        <v>9</v>
      </c>
      <c r="J62" s="302">
        <v>6</v>
      </c>
      <c r="K62" t="e">
        <f>VLOOKUP(CONCATENATE(J62,".20"),'Resultados - 9'!$A$10:$CF$156,42,FALSE)/G62</f>
        <v>#VALUE!</v>
      </c>
      <c r="L62" s="303" t="e">
        <f t="shared" si="4"/>
        <v>#VALUE!</v>
      </c>
    </row>
    <row r="63" spans="6:12" x14ac:dyDescent="0.3">
      <c r="F63" s="304" t="str">
        <f>'Resultados - 9'!$G$12</f>
        <v>µL</v>
      </c>
      <c r="G63" s="305">
        <f>VLOOKUP(F63,'Unidades de medida'!$A$2:$B$9,2,FALSE)/1000</f>
        <v>1</v>
      </c>
      <c r="H63" s="309" t="str">
        <f t="shared" si="7"/>
        <v>9.7</v>
      </c>
      <c r="I63" s="305">
        <f t="shared" si="2"/>
        <v>9</v>
      </c>
      <c r="J63" s="304">
        <v>7</v>
      </c>
      <c r="K63" s="305" t="e">
        <f>VLOOKUP(CONCATENATE(J63,".20"),'Resultados - 9'!$A$10:$CF$156,42,FALSE)/G63</f>
        <v>#VALUE!</v>
      </c>
      <c r="L63" s="306" t="e">
        <f t="shared" si="4"/>
        <v>#VALUE!</v>
      </c>
    </row>
    <row r="64" spans="6:12" x14ac:dyDescent="0.3">
      <c r="F64" s="299" t="str">
        <f>'Resultados - 10'!$G$12</f>
        <v>µL</v>
      </c>
      <c r="G64" s="300">
        <f>VLOOKUP(F64,'Unidades de medida'!$A$2:$B$9,2,FALSE)/1000</f>
        <v>1</v>
      </c>
      <c r="H64" s="307" t="str">
        <f t="shared" si="7"/>
        <v>10.1</v>
      </c>
      <c r="I64" s="300">
        <f t="shared" ref="I64" si="12">I63+1</f>
        <v>10</v>
      </c>
      <c r="J64" s="299">
        <v>1</v>
      </c>
      <c r="K64" s="300" t="e">
        <f>VLOOKUP(CONCATENATE(J64,".20"),'Resultados - 10'!$A$10:$CF$156,42,FALSE)/G64</f>
        <v>#VALUE!</v>
      </c>
      <c r="L64" s="301" t="e">
        <f t="shared" si="4"/>
        <v>#VALUE!</v>
      </c>
    </row>
    <row r="65" spans="6:12" x14ac:dyDescent="0.3">
      <c r="F65" s="302" t="str">
        <f>'Resultados - 10'!$G$12</f>
        <v>µL</v>
      </c>
      <c r="G65">
        <f>VLOOKUP(F65,'Unidades de medida'!$A$2:$B$9,2,FALSE)/1000</f>
        <v>1</v>
      </c>
      <c r="H65" s="308" t="str">
        <f t="shared" ref="H65:H84" si="13">CONCATENATE(I65,".",J65)</f>
        <v>10.2</v>
      </c>
      <c r="I65">
        <f t="shared" si="2"/>
        <v>10</v>
      </c>
      <c r="J65" s="302">
        <v>2</v>
      </c>
      <c r="K65" t="e">
        <f>VLOOKUP(CONCATENATE(J65,".20"),'Resultados - 10'!$A$10:$CF$156,42,FALSE)/G65</f>
        <v>#VALUE!</v>
      </c>
      <c r="L65" s="303" t="e">
        <f t="shared" si="4"/>
        <v>#VALUE!</v>
      </c>
    </row>
    <row r="66" spans="6:12" x14ac:dyDescent="0.3">
      <c r="F66" s="302" t="str">
        <f>'Resultados - 10'!$G$12</f>
        <v>µL</v>
      </c>
      <c r="G66">
        <f>VLOOKUP(F66,'Unidades de medida'!$A$2:$B$9,2,FALSE)/1000</f>
        <v>1</v>
      </c>
      <c r="H66" s="308" t="str">
        <f t="shared" si="13"/>
        <v>10.3</v>
      </c>
      <c r="I66">
        <f t="shared" si="2"/>
        <v>10</v>
      </c>
      <c r="J66" s="302">
        <v>3</v>
      </c>
      <c r="K66" t="e">
        <f>VLOOKUP(CONCATENATE(J66,".20"),'Resultados - 10'!$A$10:$CF$156,42,FALSE)/G66</f>
        <v>#VALUE!</v>
      </c>
      <c r="L66" s="303" t="e">
        <f t="shared" si="4"/>
        <v>#VALUE!</v>
      </c>
    </row>
    <row r="67" spans="6:12" x14ac:dyDescent="0.3">
      <c r="F67" s="302" t="str">
        <f>'Resultados - 10'!$G$12</f>
        <v>µL</v>
      </c>
      <c r="G67">
        <f>VLOOKUP(F67,'Unidades de medida'!$A$2:$B$9,2,FALSE)/1000</f>
        <v>1</v>
      </c>
      <c r="H67" s="308" t="str">
        <f t="shared" si="13"/>
        <v>10.4</v>
      </c>
      <c r="I67">
        <f t="shared" si="2"/>
        <v>10</v>
      </c>
      <c r="J67" s="302">
        <v>4</v>
      </c>
      <c r="K67" t="e">
        <f>VLOOKUP(CONCATENATE(J67,".20"),'Resultados - 10'!$A$10:$CF$156,42,FALSE)/G67</f>
        <v>#VALUE!</v>
      </c>
      <c r="L67" s="303" t="e">
        <f t="shared" si="4"/>
        <v>#VALUE!</v>
      </c>
    </row>
    <row r="68" spans="6:12" x14ac:dyDescent="0.3">
      <c r="F68" s="302" t="str">
        <f>'Resultados - 10'!$G$12</f>
        <v>µL</v>
      </c>
      <c r="G68">
        <f>VLOOKUP(F68,'Unidades de medida'!$A$2:$B$9,2,FALSE)/1000</f>
        <v>1</v>
      </c>
      <c r="H68" s="308" t="str">
        <f t="shared" si="13"/>
        <v>10.5</v>
      </c>
      <c r="I68">
        <f t="shared" si="2"/>
        <v>10</v>
      </c>
      <c r="J68" s="302">
        <v>5</v>
      </c>
      <c r="K68" t="e">
        <f>VLOOKUP(CONCATENATE(J68,".20"),'Resultados - 10'!$A$10:$CF$156,42,FALSE)/G68</f>
        <v>#VALUE!</v>
      </c>
      <c r="L68" s="303" t="e">
        <f t="shared" si="4"/>
        <v>#VALUE!</v>
      </c>
    </row>
    <row r="69" spans="6:12" x14ac:dyDescent="0.3">
      <c r="F69" s="302" t="str">
        <f>'Resultados - 10'!$G$12</f>
        <v>µL</v>
      </c>
      <c r="G69">
        <f>VLOOKUP(F69,'Unidades de medida'!$A$2:$B$9,2,FALSE)/1000</f>
        <v>1</v>
      </c>
      <c r="H69" s="308" t="str">
        <f t="shared" si="13"/>
        <v>10.6</v>
      </c>
      <c r="I69">
        <f t="shared" si="2"/>
        <v>10</v>
      </c>
      <c r="J69" s="302">
        <v>6</v>
      </c>
      <c r="K69" t="e">
        <f>VLOOKUP(CONCATENATE(J69,".20"),'Resultados - 10'!$A$10:$CF$156,42,FALSE)/G69</f>
        <v>#VALUE!</v>
      </c>
      <c r="L69" s="303" t="e">
        <f t="shared" si="4"/>
        <v>#VALUE!</v>
      </c>
    </row>
    <row r="70" spans="6:12" x14ac:dyDescent="0.3">
      <c r="F70" s="304" t="str">
        <f>'Resultados - 10'!$G$12</f>
        <v>µL</v>
      </c>
      <c r="G70" s="305">
        <f>VLOOKUP(F70,'Unidades de medida'!$A$2:$B$9,2,FALSE)/1000</f>
        <v>1</v>
      </c>
      <c r="H70" s="309" t="str">
        <f t="shared" si="13"/>
        <v>10.7</v>
      </c>
      <c r="I70" s="305">
        <f t="shared" si="2"/>
        <v>10</v>
      </c>
      <c r="J70" s="304">
        <v>7</v>
      </c>
      <c r="K70" s="305" t="e">
        <f>VLOOKUP(CONCATENATE(J70,".20"),'Resultados - 10'!$A$10:$CF$156,42,FALSE)/G70</f>
        <v>#VALUE!</v>
      </c>
      <c r="L70" s="306" t="e">
        <f t="shared" si="4"/>
        <v>#VALUE!</v>
      </c>
    </row>
    <row r="71" spans="6:12" x14ac:dyDescent="0.3">
      <c r="F71" s="299" t="str">
        <f>'Resultados - 11'!$G$12</f>
        <v>µL</v>
      </c>
      <c r="G71" s="300">
        <f>VLOOKUP(F71,'Unidades de medida'!$A$2:$B$9,2,FALSE)/1000</f>
        <v>1</v>
      </c>
      <c r="H71" s="307" t="str">
        <f t="shared" si="13"/>
        <v>11.1</v>
      </c>
      <c r="I71" s="300">
        <f t="shared" ref="I71" si="14">I70+1</f>
        <v>11</v>
      </c>
      <c r="J71" s="299">
        <v>1</v>
      </c>
      <c r="K71" s="300" t="e">
        <f>VLOOKUP(CONCATENATE(J71,".20"),'Resultados - 11'!$A$10:$CF$156,42,FALSE)/G71</f>
        <v>#VALUE!</v>
      </c>
      <c r="L71" s="301" t="e">
        <f t="shared" si="4"/>
        <v>#VALUE!</v>
      </c>
    </row>
    <row r="72" spans="6:12" x14ac:dyDescent="0.3">
      <c r="F72" s="302" t="str">
        <f>'Resultados - 11'!$G$12</f>
        <v>µL</v>
      </c>
      <c r="G72">
        <f>VLOOKUP(F72,'Unidades de medida'!$A$2:$B$9,2,FALSE)/1000</f>
        <v>1</v>
      </c>
      <c r="H72" s="308" t="str">
        <f t="shared" si="13"/>
        <v>11.2</v>
      </c>
      <c r="I72">
        <f t="shared" si="2"/>
        <v>11</v>
      </c>
      <c r="J72" s="302">
        <v>2</v>
      </c>
      <c r="K72" t="e">
        <f>VLOOKUP(CONCATENATE(J72,".20"),'Resultados - 11'!$A$10:$CF$156,42,FALSE)/G72</f>
        <v>#VALUE!</v>
      </c>
      <c r="L72" s="303" t="e">
        <f t="shared" si="4"/>
        <v>#VALUE!</v>
      </c>
    </row>
    <row r="73" spans="6:12" x14ac:dyDescent="0.3">
      <c r="F73" s="302" t="str">
        <f>'Resultados - 11'!$G$12</f>
        <v>µL</v>
      </c>
      <c r="G73">
        <f>VLOOKUP(F73,'Unidades de medida'!$A$2:$B$9,2,FALSE)/1000</f>
        <v>1</v>
      </c>
      <c r="H73" s="308" t="str">
        <f t="shared" si="13"/>
        <v>11.3</v>
      </c>
      <c r="I73">
        <f t="shared" ref="I73:I84" si="15">I72</f>
        <v>11</v>
      </c>
      <c r="J73" s="302">
        <v>3</v>
      </c>
      <c r="K73" t="e">
        <f>VLOOKUP(CONCATENATE(J73,".20"),'Resultados - 11'!$A$10:$CF$156,42,FALSE)/G73</f>
        <v>#VALUE!</v>
      </c>
      <c r="L73" s="303" t="e">
        <f t="shared" si="4"/>
        <v>#VALUE!</v>
      </c>
    </row>
    <row r="74" spans="6:12" x14ac:dyDescent="0.3">
      <c r="F74" s="302" t="str">
        <f>'Resultados - 11'!$G$12</f>
        <v>µL</v>
      </c>
      <c r="G74">
        <f>VLOOKUP(F74,'Unidades de medida'!$A$2:$B$9,2,FALSE)/1000</f>
        <v>1</v>
      </c>
      <c r="H74" s="308" t="str">
        <f t="shared" si="13"/>
        <v>11.4</v>
      </c>
      <c r="I74">
        <f t="shared" si="15"/>
        <v>11</v>
      </c>
      <c r="J74" s="302">
        <v>4</v>
      </c>
      <c r="K74" t="e">
        <f>VLOOKUP(CONCATENATE(J74,".20"),'Resultados - 11'!$A$10:$CF$156,42,FALSE)/G74</f>
        <v>#VALUE!</v>
      </c>
      <c r="L74" s="303" t="e">
        <f t="shared" si="4"/>
        <v>#VALUE!</v>
      </c>
    </row>
    <row r="75" spans="6:12" x14ac:dyDescent="0.3">
      <c r="F75" s="302" t="str">
        <f>'Resultados - 11'!$G$12</f>
        <v>µL</v>
      </c>
      <c r="G75">
        <f>VLOOKUP(F75,'Unidades de medida'!$A$2:$B$9,2,FALSE)/1000</f>
        <v>1</v>
      </c>
      <c r="H75" s="308" t="str">
        <f t="shared" si="13"/>
        <v>11.5</v>
      </c>
      <c r="I75">
        <f t="shared" si="15"/>
        <v>11</v>
      </c>
      <c r="J75" s="302">
        <v>5</v>
      </c>
      <c r="K75" t="e">
        <f>VLOOKUP(CONCATENATE(J75,".20"),'Resultados - 11'!$A$10:$CF$156,42,FALSE)/G75</f>
        <v>#VALUE!</v>
      </c>
      <c r="L75" s="303" t="e">
        <f t="shared" si="4"/>
        <v>#VALUE!</v>
      </c>
    </row>
    <row r="76" spans="6:12" x14ac:dyDescent="0.3">
      <c r="F76" s="302" t="str">
        <f>'Resultados - 11'!$G$12</f>
        <v>µL</v>
      </c>
      <c r="G76">
        <f>VLOOKUP(F76,'Unidades de medida'!$A$2:$B$9,2,FALSE)/1000</f>
        <v>1</v>
      </c>
      <c r="H76" s="308" t="str">
        <f t="shared" si="13"/>
        <v>11.6</v>
      </c>
      <c r="I76">
        <f t="shared" si="15"/>
        <v>11</v>
      </c>
      <c r="J76" s="302">
        <v>6</v>
      </c>
      <c r="K76" t="e">
        <f>VLOOKUP(CONCATENATE(J76,".20"),'Resultados - 11'!$A$10:$CF$156,42,FALSE)/G76</f>
        <v>#VALUE!</v>
      </c>
      <c r="L76" s="303" t="e">
        <f t="shared" si="4"/>
        <v>#VALUE!</v>
      </c>
    </row>
    <row r="77" spans="6:12" x14ac:dyDescent="0.3">
      <c r="F77" s="304" t="str">
        <f>'Resultados - 11'!$G$12</f>
        <v>µL</v>
      </c>
      <c r="G77" s="305">
        <f>VLOOKUP(F77,'Unidades de medida'!$A$2:$B$9,2,FALSE)/1000</f>
        <v>1</v>
      </c>
      <c r="H77" s="309" t="str">
        <f t="shared" si="13"/>
        <v>11.7</v>
      </c>
      <c r="I77" s="305">
        <f t="shared" si="15"/>
        <v>11</v>
      </c>
      <c r="J77" s="304">
        <v>7</v>
      </c>
      <c r="K77" s="305" t="e">
        <f>VLOOKUP(CONCATENATE(J77,".20"),'Resultados - 11'!$A$10:$CF$156,42,FALSE)/G77</f>
        <v>#VALUE!</v>
      </c>
      <c r="L77" s="306" t="e">
        <f t="shared" si="4"/>
        <v>#VALUE!</v>
      </c>
    </row>
    <row r="78" spans="6:12" x14ac:dyDescent="0.3">
      <c r="F78" s="299" t="str">
        <f>'Resultados - 12'!$G$12</f>
        <v>µL</v>
      </c>
      <c r="G78" s="300">
        <f>VLOOKUP(F78,'Unidades de medida'!$A$2:$B$9,2,FALSE)/1000</f>
        <v>1</v>
      </c>
      <c r="H78" s="307" t="str">
        <f t="shared" si="13"/>
        <v>12.1</v>
      </c>
      <c r="I78" s="300">
        <f t="shared" ref="I78" si="16">I77+1</f>
        <v>12</v>
      </c>
      <c r="J78" s="299">
        <v>1</v>
      </c>
      <c r="K78" s="300" t="e">
        <f>VLOOKUP(CONCATENATE(J78,".20"),'Resultados - 12'!$A$10:$CF$156,42,FALSE)/G78</f>
        <v>#VALUE!</v>
      </c>
      <c r="L78" s="301" t="e">
        <f t="shared" si="4"/>
        <v>#VALUE!</v>
      </c>
    </row>
    <row r="79" spans="6:12" x14ac:dyDescent="0.3">
      <c r="F79" s="302" t="str">
        <f>'Resultados - 12'!$G$12</f>
        <v>µL</v>
      </c>
      <c r="G79">
        <f>VLOOKUP(F79,'Unidades de medida'!$A$2:$B$9,2,FALSE)/1000</f>
        <v>1</v>
      </c>
      <c r="H79" s="308" t="str">
        <f t="shared" si="13"/>
        <v>12.2</v>
      </c>
      <c r="I79">
        <f t="shared" si="15"/>
        <v>12</v>
      </c>
      <c r="J79" s="302">
        <v>2</v>
      </c>
      <c r="K79" t="e">
        <f>VLOOKUP(CONCATENATE(J79,".20"),'Resultados - 12'!$A$10:$CF$156,42,FALSE)/G79</f>
        <v>#VALUE!</v>
      </c>
      <c r="L79" s="303" t="e">
        <f t="shared" ref="L79:L84" si="17">IF(K79&gt;$B$11,$C$11,IF(AND(K79&gt;=$A$2,K79&lt;=$B$2),$C$2,IF(AND(K79&gt;$A$3,K79&lt;=$B$3),$C$3,IF(AND(K79&gt;$A$4,K79&lt;=$B$4),$C$4,IF(AND(K79&gt;$A$5,K79&lt;=$B$5),$C$5,"-")))))</f>
        <v>#VALUE!</v>
      </c>
    </row>
    <row r="80" spans="6:12" x14ac:dyDescent="0.3">
      <c r="F80" s="302" t="str">
        <f>'Resultados - 12'!$G$12</f>
        <v>µL</v>
      </c>
      <c r="G80">
        <f>VLOOKUP(F80,'Unidades de medida'!$A$2:$B$9,2,FALSE)/1000</f>
        <v>1</v>
      </c>
      <c r="H80" s="308" t="str">
        <f t="shared" si="13"/>
        <v>12.3</v>
      </c>
      <c r="I80">
        <f t="shared" si="15"/>
        <v>12</v>
      </c>
      <c r="J80" s="302">
        <v>3</v>
      </c>
      <c r="K80" t="e">
        <f>VLOOKUP(CONCATENATE(J80,".20"),'Resultados - 12'!$A$10:$CF$156,42,FALSE)/G80</f>
        <v>#VALUE!</v>
      </c>
      <c r="L80" s="303" t="e">
        <f t="shared" si="17"/>
        <v>#VALUE!</v>
      </c>
    </row>
    <row r="81" spans="6:12" x14ac:dyDescent="0.3">
      <c r="F81" s="302" t="str">
        <f>'Resultados - 12'!$G$12</f>
        <v>µL</v>
      </c>
      <c r="G81">
        <f>VLOOKUP(F81,'Unidades de medida'!$A$2:$B$9,2,FALSE)/1000</f>
        <v>1</v>
      </c>
      <c r="H81" s="308" t="str">
        <f t="shared" si="13"/>
        <v>12.4</v>
      </c>
      <c r="I81">
        <f t="shared" si="15"/>
        <v>12</v>
      </c>
      <c r="J81" s="302">
        <v>4</v>
      </c>
      <c r="K81" t="e">
        <f>VLOOKUP(CONCATENATE(J81,".20"),'Resultados - 12'!$A$10:$CF$156,42,FALSE)/G81</f>
        <v>#VALUE!</v>
      </c>
      <c r="L81" s="303" t="e">
        <f t="shared" si="17"/>
        <v>#VALUE!</v>
      </c>
    </row>
    <row r="82" spans="6:12" x14ac:dyDescent="0.3">
      <c r="F82" s="302" t="str">
        <f>'Resultados - 12'!$G$12</f>
        <v>µL</v>
      </c>
      <c r="G82">
        <f>VLOOKUP(F82,'Unidades de medida'!$A$2:$B$9,2,FALSE)/1000</f>
        <v>1</v>
      </c>
      <c r="H82" s="308" t="str">
        <f t="shared" si="13"/>
        <v>12.5</v>
      </c>
      <c r="I82">
        <f t="shared" si="15"/>
        <v>12</v>
      </c>
      <c r="J82" s="302">
        <v>5</v>
      </c>
      <c r="K82" t="e">
        <f>VLOOKUP(CONCATENATE(J82,".20"),'Resultados - 12'!$A$10:$CF$156,42,FALSE)/G82</f>
        <v>#VALUE!</v>
      </c>
      <c r="L82" s="303" t="e">
        <f t="shared" si="17"/>
        <v>#VALUE!</v>
      </c>
    </row>
    <row r="83" spans="6:12" x14ac:dyDescent="0.3">
      <c r="F83" s="302" t="str">
        <f>'Resultados - 12'!$G$12</f>
        <v>µL</v>
      </c>
      <c r="G83">
        <f>VLOOKUP(F83,'Unidades de medida'!$A$2:$B$9,2,FALSE)/1000</f>
        <v>1</v>
      </c>
      <c r="H83" s="308" t="str">
        <f t="shared" si="13"/>
        <v>12.6</v>
      </c>
      <c r="I83">
        <f t="shared" si="15"/>
        <v>12</v>
      </c>
      <c r="J83" s="302">
        <v>6</v>
      </c>
      <c r="K83" t="e">
        <f>VLOOKUP(CONCATENATE(J83,".20"),'Resultados - 12'!$A$10:$CF$156,42,FALSE)/G83</f>
        <v>#VALUE!</v>
      </c>
      <c r="L83" s="303" t="e">
        <f t="shared" si="17"/>
        <v>#VALUE!</v>
      </c>
    </row>
    <row r="84" spans="6:12" x14ac:dyDescent="0.3">
      <c r="F84" s="304" t="str">
        <f>'Resultados - 12'!$G$12</f>
        <v>µL</v>
      </c>
      <c r="G84" s="305">
        <f>VLOOKUP(F84,'Unidades de medida'!$A$2:$B$9,2,FALSE)/1000</f>
        <v>1</v>
      </c>
      <c r="H84" s="309" t="str">
        <f t="shared" si="13"/>
        <v>12.7</v>
      </c>
      <c r="I84" s="305">
        <f t="shared" si="15"/>
        <v>12</v>
      </c>
      <c r="J84" s="304">
        <v>7</v>
      </c>
      <c r="K84" s="305" t="e">
        <f>VLOOKUP(CONCATENATE(J84,".20"),'Resultados - 12'!$A$10:$CF$156,42,FALSE)/G84</f>
        <v>#VALUE!</v>
      </c>
      <c r="L84" s="306" t="e">
        <f t="shared" si="17"/>
        <v>#VALUE!</v>
      </c>
    </row>
  </sheetData>
  <sheetProtection algorithmName="SHA-512" hashValue="2rZSiaF0G/Ep2qrb+L2q9XenODJ18JzEYsJP7/JmoCU3RMSrWeZ6hnbZYBz6KVAZzMVd13BIgyN7mGO0R0blUg==" saltValue="zJVXZ0AtdW0EoCuhlIBd0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A8597-3F02-4F0F-8F54-1B158F83968F}">
  <sheetPr codeName="Planilha14"/>
  <dimension ref="A1:G86"/>
  <sheetViews>
    <sheetView workbookViewId="0">
      <pane ySplit="7" topLeftCell="A73" activePane="bottomLeft" state="frozen"/>
      <selection pane="bottomLeft" activeCell="A81" sqref="A81"/>
    </sheetView>
  </sheetViews>
  <sheetFormatPr defaultColWidth="9.109375" defaultRowHeight="14.4" x14ac:dyDescent="0.3"/>
  <cols>
    <col min="1" max="1" width="9.109375" style="246"/>
    <col min="2" max="2" width="11.88671875" style="246" customWidth="1"/>
    <col min="3" max="3" width="13.109375" style="246" bestFit="1" customWidth="1"/>
    <col min="4" max="4" width="14.33203125" style="246" bestFit="1" customWidth="1"/>
    <col min="5" max="16384" width="9.109375" style="247"/>
  </cols>
  <sheetData>
    <row r="1" spans="1:7" ht="21" x14ac:dyDescent="0.4">
      <c r="A1" s="245" t="s">
        <v>513</v>
      </c>
    </row>
    <row r="3" spans="1:7" x14ac:dyDescent="0.3">
      <c r="A3" s="508" t="s">
        <v>500</v>
      </c>
      <c r="B3" s="509"/>
      <c r="C3" s="510" t="s">
        <v>524</v>
      </c>
      <c r="D3" s="510"/>
      <c r="E3" s="510"/>
      <c r="F3" s="510"/>
      <c r="G3" s="510"/>
    </row>
    <row r="4" spans="1:7" x14ac:dyDescent="0.3">
      <c r="A4" s="508" t="s">
        <v>501</v>
      </c>
      <c r="B4" s="509"/>
      <c r="C4" s="248">
        <v>0</v>
      </c>
      <c r="D4" s="249">
        <v>41094</v>
      </c>
      <c r="E4" s="248" t="s">
        <v>502</v>
      </c>
      <c r="F4" s="508" t="s">
        <v>514</v>
      </c>
      <c r="G4" s="509"/>
    </row>
    <row r="5" spans="1:7" x14ac:dyDescent="0.3">
      <c r="A5" s="508" t="s">
        <v>503</v>
      </c>
      <c r="B5" s="509"/>
      <c r="C5" s="248">
        <f>MAX(A8:A85)</f>
        <v>73</v>
      </c>
      <c r="D5" s="249">
        <f>VLOOKUP(C5,A8:C85,2,FALSE)</f>
        <v>45761</v>
      </c>
      <c r="E5" s="248" t="s">
        <v>502</v>
      </c>
      <c r="F5" s="508" t="str">
        <f>VLOOKUP(C5,A8:C85,3,FALSE)</f>
        <v>Caio C.</v>
      </c>
      <c r="G5" s="509"/>
    </row>
    <row r="7" spans="1:7" s="251" customFormat="1" x14ac:dyDescent="0.3">
      <c r="A7" s="250" t="s">
        <v>515</v>
      </c>
      <c r="B7" s="248" t="s">
        <v>516</v>
      </c>
      <c r="C7" s="248" t="s">
        <v>517</v>
      </c>
      <c r="D7" s="248" t="s">
        <v>518</v>
      </c>
      <c r="E7" s="251" t="s">
        <v>519</v>
      </c>
    </row>
    <row r="8" spans="1:7" s="255" customFormat="1" x14ac:dyDescent="0.3">
      <c r="A8" s="252">
        <v>0</v>
      </c>
      <c r="B8" s="253"/>
      <c r="C8" s="253"/>
      <c r="D8" s="253"/>
      <c r="E8" s="254" t="s">
        <v>525</v>
      </c>
    </row>
    <row r="9" spans="1:7" s="258" customFormat="1" x14ac:dyDescent="0.3">
      <c r="A9" s="256">
        <v>1</v>
      </c>
      <c r="B9" s="257"/>
      <c r="C9" s="257"/>
      <c r="D9" s="257"/>
      <c r="E9" s="258" t="s">
        <v>526</v>
      </c>
    </row>
    <row r="10" spans="1:7" s="258" customFormat="1" x14ac:dyDescent="0.3">
      <c r="A10" s="256">
        <v>2</v>
      </c>
      <c r="B10" s="257"/>
      <c r="C10" s="257"/>
      <c r="D10" s="257"/>
      <c r="E10" s="258" t="s">
        <v>527</v>
      </c>
    </row>
    <row r="11" spans="1:7" s="258" customFormat="1" x14ac:dyDescent="0.3">
      <c r="A11" s="256">
        <v>3</v>
      </c>
      <c r="B11" s="257"/>
      <c r="C11" s="257"/>
      <c r="D11" s="257"/>
      <c r="E11" s="258" t="s">
        <v>528</v>
      </c>
    </row>
    <row r="12" spans="1:7" s="258" customFormat="1" x14ac:dyDescent="0.3">
      <c r="A12" s="256">
        <v>4</v>
      </c>
      <c r="B12" s="257"/>
      <c r="C12" s="257"/>
      <c r="D12" s="257"/>
      <c r="E12" s="258" t="s">
        <v>529</v>
      </c>
    </row>
    <row r="13" spans="1:7" s="258" customFormat="1" x14ac:dyDescent="0.3">
      <c r="A13" s="256">
        <v>5</v>
      </c>
      <c r="B13" s="257"/>
      <c r="C13" s="257"/>
      <c r="D13" s="257"/>
      <c r="E13" s="258" t="s">
        <v>530</v>
      </c>
    </row>
    <row r="14" spans="1:7" s="258" customFormat="1" x14ac:dyDescent="0.3">
      <c r="A14" s="256">
        <v>6</v>
      </c>
      <c r="B14" s="257"/>
      <c r="C14" s="257"/>
      <c r="D14" s="257"/>
      <c r="E14" s="258" t="s">
        <v>531</v>
      </c>
    </row>
    <row r="15" spans="1:7" s="258" customFormat="1" x14ac:dyDescent="0.3">
      <c r="A15" s="256">
        <v>7</v>
      </c>
      <c r="B15" s="257"/>
      <c r="C15" s="257"/>
      <c r="D15" s="257"/>
      <c r="E15" s="258" t="s">
        <v>532</v>
      </c>
    </row>
    <row r="16" spans="1:7" s="258" customFormat="1" x14ac:dyDescent="0.3">
      <c r="A16" s="256">
        <v>8</v>
      </c>
      <c r="B16" s="257"/>
      <c r="C16" s="257"/>
      <c r="D16" s="257"/>
      <c r="E16" s="258" t="s">
        <v>533</v>
      </c>
    </row>
    <row r="17" spans="1:5" s="258" customFormat="1" x14ac:dyDescent="0.3">
      <c r="A17" s="256">
        <v>9</v>
      </c>
      <c r="B17" s="257"/>
      <c r="C17" s="257"/>
      <c r="D17" s="257"/>
      <c r="E17" s="258" t="s">
        <v>534</v>
      </c>
    </row>
    <row r="18" spans="1:5" s="258" customFormat="1" x14ac:dyDescent="0.3">
      <c r="A18" s="256">
        <v>10</v>
      </c>
      <c r="B18" s="257"/>
      <c r="C18" s="257"/>
      <c r="D18" s="257"/>
      <c r="E18" s="258" t="s">
        <v>535</v>
      </c>
    </row>
    <row r="19" spans="1:5" s="258" customFormat="1" x14ac:dyDescent="0.3">
      <c r="A19" s="256">
        <v>11</v>
      </c>
      <c r="B19" s="257"/>
      <c r="C19" s="257"/>
      <c r="D19" s="257"/>
      <c r="E19" s="258" t="s">
        <v>536</v>
      </c>
    </row>
    <row r="20" spans="1:5" s="258" customFormat="1" x14ac:dyDescent="0.3">
      <c r="A20" s="256">
        <v>12</v>
      </c>
      <c r="B20" s="257"/>
      <c r="C20" s="257"/>
      <c r="D20" s="257"/>
      <c r="E20" s="258" t="s">
        <v>537</v>
      </c>
    </row>
    <row r="21" spans="1:5" s="258" customFormat="1" x14ac:dyDescent="0.3">
      <c r="A21" s="256">
        <v>13</v>
      </c>
      <c r="B21" s="257"/>
      <c r="C21" s="257"/>
      <c r="D21" s="257"/>
      <c r="E21" s="258" t="s">
        <v>538</v>
      </c>
    </row>
    <row r="22" spans="1:5" s="258" customFormat="1" x14ac:dyDescent="0.3">
      <c r="A22" s="256">
        <v>14</v>
      </c>
      <c r="B22" s="257"/>
      <c r="C22" s="257"/>
      <c r="D22" s="257"/>
      <c r="E22" s="258" t="s">
        <v>539</v>
      </c>
    </row>
    <row r="23" spans="1:5" s="258" customFormat="1" x14ac:dyDescent="0.3">
      <c r="A23" s="256">
        <v>15</v>
      </c>
      <c r="B23" s="257"/>
      <c r="C23" s="257"/>
      <c r="D23" s="257"/>
      <c r="E23" s="258" t="s">
        <v>540</v>
      </c>
    </row>
    <row r="24" spans="1:5" s="258" customFormat="1" x14ac:dyDescent="0.3">
      <c r="A24" s="256">
        <v>16</v>
      </c>
      <c r="B24" s="257"/>
      <c r="C24" s="257"/>
      <c r="D24" s="257"/>
      <c r="E24" s="258" t="s">
        <v>541</v>
      </c>
    </row>
    <row r="25" spans="1:5" s="258" customFormat="1" x14ac:dyDescent="0.3">
      <c r="A25" s="256">
        <v>17</v>
      </c>
      <c r="B25" s="257"/>
      <c r="C25" s="257"/>
      <c r="D25" s="257"/>
      <c r="E25" s="258" t="s">
        <v>542</v>
      </c>
    </row>
    <row r="26" spans="1:5" s="258" customFormat="1" x14ac:dyDescent="0.3">
      <c r="A26" s="256">
        <v>18</v>
      </c>
      <c r="B26" s="257"/>
      <c r="C26" s="257"/>
      <c r="D26" s="257"/>
      <c r="E26" s="258" t="s">
        <v>543</v>
      </c>
    </row>
    <row r="27" spans="1:5" s="258" customFormat="1" x14ac:dyDescent="0.3">
      <c r="A27" s="256">
        <v>19</v>
      </c>
      <c r="B27" s="257"/>
      <c r="C27" s="257"/>
      <c r="D27" s="257"/>
      <c r="E27" s="258" t="s">
        <v>544</v>
      </c>
    </row>
    <row r="28" spans="1:5" s="258" customFormat="1" x14ac:dyDescent="0.3">
      <c r="A28" s="256">
        <v>20</v>
      </c>
      <c r="B28" s="257"/>
      <c r="C28" s="257"/>
      <c r="D28" s="257"/>
      <c r="E28" s="258" t="s">
        <v>545</v>
      </c>
    </row>
    <row r="29" spans="1:5" s="258" customFormat="1" x14ac:dyDescent="0.3">
      <c r="A29" s="256">
        <v>21</v>
      </c>
      <c r="B29" s="257"/>
      <c r="C29" s="257"/>
      <c r="D29" s="257"/>
      <c r="E29" s="258" t="s">
        <v>546</v>
      </c>
    </row>
    <row r="30" spans="1:5" s="258" customFormat="1" x14ac:dyDescent="0.3">
      <c r="A30" s="256">
        <v>22</v>
      </c>
      <c r="B30" s="257"/>
      <c r="C30" s="257"/>
      <c r="D30" s="257"/>
      <c r="E30" s="258" t="s">
        <v>547</v>
      </c>
    </row>
    <row r="31" spans="1:5" s="258" customFormat="1" x14ac:dyDescent="0.3">
      <c r="A31" s="256">
        <v>23</v>
      </c>
      <c r="B31" s="257"/>
      <c r="C31" s="257"/>
      <c r="D31" s="257"/>
      <c r="E31" s="258" t="s">
        <v>548</v>
      </c>
    </row>
    <row r="32" spans="1:5" s="258" customFormat="1" x14ac:dyDescent="0.3">
      <c r="A32" s="256">
        <v>24</v>
      </c>
      <c r="B32" s="257"/>
      <c r="C32" s="257"/>
      <c r="D32" s="257"/>
      <c r="E32" s="258" t="s">
        <v>549</v>
      </c>
    </row>
    <row r="33" spans="1:5" s="258" customFormat="1" x14ac:dyDescent="0.3">
      <c r="A33" s="256">
        <v>25</v>
      </c>
      <c r="B33" s="257"/>
      <c r="C33" s="257"/>
      <c r="D33" s="257"/>
      <c r="E33" s="258" t="s">
        <v>550</v>
      </c>
    </row>
    <row r="34" spans="1:5" s="258" customFormat="1" x14ac:dyDescent="0.3">
      <c r="A34" s="256">
        <v>26</v>
      </c>
      <c r="B34" s="257"/>
      <c r="C34" s="257"/>
      <c r="D34" s="257"/>
      <c r="E34" s="258" t="s">
        <v>551</v>
      </c>
    </row>
    <row r="35" spans="1:5" s="258" customFormat="1" x14ac:dyDescent="0.3">
      <c r="A35" s="256">
        <v>27</v>
      </c>
      <c r="B35" s="257"/>
      <c r="C35" s="257"/>
      <c r="D35" s="257"/>
      <c r="E35" s="258" t="s">
        <v>552</v>
      </c>
    </row>
    <row r="36" spans="1:5" s="258" customFormat="1" x14ac:dyDescent="0.3">
      <c r="A36" s="256">
        <v>28</v>
      </c>
      <c r="B36" s="257"/>
      <c r="C36" s="257"/>
      <c r="D36" s="257"/>
      <c r="E36" s="258" t="s">
        <v>553</v>
      </c>
    </row>
    <row r="37" spans="1:5" s="258" customFormat="1" x14ac:dyDescent="0.3">
      <c r="A37" s="256">
        <v>29</v>
      </c>
      <c r="B37" s="257"/>
      <c r="C37" s="257"/>
      <c r="D37" s="257"/>
      <c r="E37" s="258" t="s">
        <v>554</v>
      </c>
    </row>
    <row r="38" spans="1:5" s="258" customFormat="1" x14ac:dyDescent="0.3">
      <c r="A38" s="256">
        <v>30</v>
      </c>
      <c r="B38" s="257"/>
      <c r="C38" s="257"/>
      <c r="D38" s="257"/>
      <c r="E38" s="258" t="s">
        <v>555</v>
      </c>
    </row>
    <row r="39" spans="1:5" s="258" customFormat="1" x14ac:dyDescent="0.3">
      <c r="A39" s="256">
        <v>31</v>
      </c>
      <c r="B39" s="257"/>
      <c r="C39" s="257"/>
      <c r="D39" s="257"/>
      <c r="E39" s="258" t="s">
        <v>556</v>
      </c>
    </row>
    <row r="40" spans="1:5" s="258" customFormat="1" x14ac:dyDescent="0.3">
      <c r="A40" s="256">
        <v>32</v>
      </c>
      <c r="B40" s="257"/>
      <c r="C40" s="257"/>
      <c r="D40" s="257"/>
      <c r="E40" s="258" t="s">
        <v>557</v>
      </c>
    </row>
    <row r="41" spans="1:5" s="258" customFormat="1" x14ac:dyDescent="0.3">
      <c r="A41" s="256">
        <v>33</v>
      </c>
      <c r="B41" s="257"/>
      <c r="C41" s="257"/>
      <c r="D41" s="257"/>
      <c r="E41" s="258" t="s">
        <v>558</v>
      </c>
    </row>
    <row r="42" spans="1:5" s="258" customFormat="1" x14ac:dyDescent="0.3">
      <c r="A42" s="256">
        <v>34</v>
      </c>
      <c r="B42" s="257"/>
      <c r="C42" s="257"/>
      <c r="D42" s="257"/>
      <c r="E42" s="258" t="s">
        <v>559</v>
      </c>
    </row>
    <row r="43" spans="1:5" s="258" customFormat="1" x14ac:dyDescent="0.3">
      <c r="A43" s="256">
        <v>35</v>
      </c>
      <c r="B43" s="257"/>
      <c r="C43" s="257"/>
      <c r="D43" s="257"/>
      <c r="E43" s="258" t="s">
        <v>560</v>
      </c>
    </row>
    <row r="44" spans="1:5" s="258" customFormat="1" x14ac:dyDescent="0.3">
      <c r="A44" s="256">
        <v>36</v>
      </c>
      <c r="B44" s="257"/>
      <c r="C44" s="257"/>
      <c r="D44" s="257"/>
      <c r="E44" s="258" t="s">
        <v>561</v>
      </c>
    </row>
    <row r="45" spans="1:5" s="258" customFormat="1" x14ac:dyDescent="0.3">
      <c r="A45" s="256">
        <v>37</v>
      </c>
      <c r="B45" s="257"/>
      <c r="C45" s="257"/>
      <c r="D45" s="257"/>
      <c r="E45" s="258" t="s">
        <v>562</v>
      </c>
    </row>
    <row r="46" spans="1:5" s="258" customFormat="1" x14ac:dyDescent="0.3">
      <c r="A46" s="256">
        <v>38</v>
      </c>
      <c r="B46" s="257"/>
      <c r="C46" s="257"/>
      <c r="D46" s="257"/>
      <c r="E46" s="258" t="s">
        <v>563</v>
      </c>
    </row>
    <row r="47" spans="1:5" s="258" customFormat="1" x14ac:dyDescent="0.3">
      <c r="A47" s="256">
        <v>39</v>
      </c>
      <c r="B47" s="257">
        <v>43404</v>
      </c>
      <c r="C47" s="257" t="s">
        <v>520</v>
      </c>
      <c r="D47" s="257" t="s">
        <v>54</v>
      </c>
      <c r="E47" s="258" t="s">
        <v>564</v>
      </c>
    </row>
    <row r="48" spans="1:5" s="258" customFormat="1" x14ac:dyDescent="0.3">
      <c r="A48" s="256">
        <v>40</v>
      </c>
      <c r="B48" s="257">
        <v>43404</v>
      </c>
      <c r="C48" s="257" t="s">
        <v>565</v>
      </c>
      <c r="D48" s="257" t="s">
        <v>520</v>
      </c>
      <c r="E48" s="258" t="s">
        <v>566</v>
      </c>
    </row>
    <row r="49" spans="1:5" s="258" customFormat="1" x14ac:dyDescent="0.3">
      <c r="A49" s="256">
        <v>41</v>
      </c>
      <c r="B49" s="257">
        <v>43412</v>
      </c>
      <c r="C49" s="257" t="s">
        <v>565</v>
      </c>
      <c r="D49" s="257" t="s">
        <v>567</v>
      </c>
      <c r="E49" s="258" t="s">
        <v>568</v>
      </c>
    </row>
    <row r="50" spans="1:5" s="258" customFormat="1" x14ac:dyDescent="0.3">
      <c r="A50" s="256">
        <v>42</v>
      </c>
      <c r="B50" s="257">
        <v>43434</v>
      </c>
      <c r="C50" s="257" t="s">
        <v>569</v>
      </c>
      <c r="D50" s="257" t="s">
        <v>521</v>
      </c>
      <c r="E50" s="258" t="s">
        <v>570</v>
      </c>
    </row>
    <row r="51" spans="1:5" s="258" customFormat="1" x14ac:dyDescent="0.3">
      <c r="A51" s="256">
        <v>43</v>
      </c>
      <c r="B51" s="257">
        <v>43439</v>
      </c>
      <c r="C51" s="257" t="s">
        <v>565</v>
      </c>
      <c r="D51" s="257" t="s">
        <v>520</v>
      </c>
      <c r="E51" s="258" t="s">
        <v>571</v>
      </c>
    </row>
    <row r="52" spans="1:5" s="258" customFormat="1" x14ac:dyDescent="0.3">
      <c r="A52" s="256">
        <v>44</v>
      </c>
      <c r="B52" s="257">
        <v>43496</v>
      </c>
      <c r="C52" s="257" t="s">
        <v>520</v>
      </c>
      <c r="D52" s="257" t="s">
        <v>567</v>
      </c>
      <c r="E52" s="258" t="s">
        <v>572</v>
      </c>
    </row>
    <row r="53" spans="1:5" s="258" customFormat="1" x14ac:dyDescent="0.3">
      <c r="A53" s="256">
        <v>45</v>
      </c>
      <c r="B53" s="257">
        <v>43539</v>
      </c>
      <c r="C53" s="257" t="s">
        <v>565</v>
      </c>
      <c r="D53" s="257" t="s">
        <v>567</v>
      </c>
      <c r="E53" s="258" t="s">
        <v>573</v>
      </c>
    </row>
    <row r="54" spans="1:5" s="258" customFormat="1" x14ac:dyDescent="0.3">
      <c r="A54" s="256">
        <v>46</v>
      </c>
      <c r="B54" s="257">
        <v>43626</v>
      </c>
      <c r="C54" s="257" t="s">
        <v>520</v>
      </c>
      <c r="D54" s="257" t="s">
        <v>567</v>
      </c>
      <c r="E54" s="258" t="s">
        <v>574</v>
      </c>
    </row>
    <row r="55" spans="1:5" s="258" customFormat="1" x14ac:dyDescent="0.3">
      <c r="A55" s="256">
        <v>47</v>
      </c>
      <c r="B55" s="257">
        <v>43753</v>
      </c>
      <c r="C55" s="257" t="s">
        <v>521</v>
      </c>
      <c r="D55" s="257" t="s">
        <v>567</v>
      </c>
      <c r="E55" s="258" t="s">
        <v>575</v>
      </c>
    </row>
    <row r="56" spans="1:5" s="258" customFormat="1" x14ac:dyDescent="0.3">
      <c r="A56" s="256">
        <v>48</v>
      </c>
      <c r="B56" s="257">
        <v>43773</v>
      </c>
      <c r="C56" s="257" t="s">
        <v>565</v>
      </c>
      <c r="D56" s="257" t="s">
        <v>567</v>
      </c>
      <c r="E56" s="258" t="s">
        <v>576</v>
      </c>
    </row>
    <row r="57" spans="1:5" s="258" customFormat="1" x14ac:dyDescent="0.3">
      <c r="A57" s="256">
        <v>49</v>
      </c>
      <c r="B57" s="257">
        <v>43811</v>
      </c>
      <c r="C57" s="257" t="s">
        <v>565</v>
      </c>
      <c r="D57" s="257" t="s">
        <v>567</v>
      </c>
      <c r="E57" s="258" t="s">
        <v>577</v>
      </c>
    </row>
    <row r="58" spans="1:5" s="258" customFormat="1" x14ac:dyDescent="0.3">
      <c r="A58" s="256">
        <v>50</v>
      </c>
      <c r="B58" s="257">
        <v>43865</v>
      </c>
      <c r="C58" s="257" t="s">
        <v>520</v>
      </c>
      <c r="D58" s="257" t="s">
        <v>567</v>
      </c>
      <c r="E58" s="258" t="s">
        <v>578</v>
      </c>
    </row>
    <row r="59" spans="1:5" s="258" customFormat="1" x14ac:dyDescent="0.3">
      <c r="A59" s="256">
        <v>51</v>
      </c>
      <c r="B59" s="257">
        <v>43987</v>
      </c>
      <c r="C59" s="257" t="s">
        <v>565</v>
      </c>
      <c r="D59" s="257" t="s">
        <v>567</v>
      </c>
      <c r="E59" s="258" t="s">
        <v>579</v>
      </c>
    </row>
    <row r="60" spans="1:5" s="258" customFormat="1" x14ac:dyDescent="0.3">
      <c r="A60" s="256">
        <v>52</v>
      </c>
      <c r="B60" s="257">
        <v>44043</v>
      </c>
      <c r="C60" s="257" t="s">
        <v>565</v>
      </c>
      <c r="D60" s="257" t="s">
        <v>567</v>
      </c>
      <c r="E60" s="258" t="s">
        <v>580</v>
      </c>
    </row>
    <row r="61" spans="1:5" s="258" customFormat="1" x14ac:dyDescent="0.3">
      <c r="A61" s="256">
        <v>53</v>
      </c>
      <c r="B61" s="257">
        <v>44144</v>
      </c>
      <c r="C61" s="257" t="s">
        <v>565</v>
      </c>
      <c r="D61" s="257" t="s">
        <v>567</v>
      </c>
      <c r="E61" s="258" t="s">
        <v>581</v>
      </c>
    </row>
    <row r="62" spans="1:5" s="258" customFormat="1" x14ac:dyDescent="0.3">
      <c r="A62" s="256">
        <v>54</v>
      </c>
      <c r="B62" s="257">
        <v>44165</v>
      </c>
      <c r="C62" s="257" t="s">
        <v>565</v>
      </c>
      <c r="D62" s="257" t="s">
        <v>567</v>
      </c>
      <c r="E62" s="258" t="s">
        <v>582</v>
      </c>
    </row>
    <row r="63" spans="1:5" s="258" customFormat="1" x14ac:dyDescent="0.3">
      <c r="A63" s="256">
        <v>55</v>
      </c>
      <c r="B63" s="257">
        <v>44208</v>
      </c>
      <c r="C63" s="257" t="s">
        <v>565</v>
      </c>
      <c r="D63" s="257" t="s">
        <v>567</v>
      </c>
      <c r="E63" s="258" t="s">
        <v>583</v>
      </c>
    </row>
    <row r="64" spans="1:5" s="258" customFormat="1" x14ac:dyDescent="0.3">
      <c r="A64" s="256">
        <v>56</v>
      </c>
      <c r="B64" s="257">
        <v>44336</v>
      </c>
      <c r="C64" s="257" t="s">
        <v>520</v>
      </c>
      <c r="D64" s="257" t="s">
        <v>567</v>
      </c>
      <c r="E64" s="258" t="s">
        <v>584</v>
      </c>
    </row>
    <row r="65" spans="1:5" s="258" customFormat="1" x14ac:dyDescent="0.3">
      <c r="A65" s="256">
        <v>57</v>
      </c>
      <c r="B65" s="257">
        <v>44504</v>
      </c>
      <c r="C65" s="257" t="s">
        <v>565</v>
      </c>
      <c r="D65" s="257" t="s">
        <v>567</v>
      </c>
      <c r="E65" s="258" t="s">
        <v>585</v>
      </c>
    </row>
    <row r="66" spans="1:5" s="258" customFormat="1" x14ac:dyDescent="0.3">
      <c r="A66" s="256">
        <v>58</v>
      </c>
      <c r="B66" s="257">
        <v>44531</v>
      </c>
      <c r="C66" s="257" t="s">
        <v>565</v>
      </c>
      <c r="D66" s="257" t="s">
        <v>567</v>
      </c>
      <c r="E66" s="258" t="s">
        <v>586</v>
      </c>
    </row>
    <row r="67" spans="1:5" s="258" customFormat="1" x14ac:dyDescent="0.3">
      <c r="A67" s="256">
        <v>59</v>
      </c>
      <c r="B67" s="257">
        <v>44593</v>
      </c>
      <c r="C67" s="257" t="s">
        <v>565</v>
      </c>
      <c r="D67" s="257" t="s">
        <v>567</v>
      </c>
      <c r="E67" s="258" t="s">
        <v>587</v>
      </c>
    </row>
    <row r="68" spans="1:5" s="258" customFormat="1" x14ac:dyDescent="0.3">
      <c r="A68" s="256">
        <v>60</v>
      </c>
      <c r="B68" s="257">
        <v>44714</v>
      </c>
      <c r="C68" s="257" t="s">
        <v>565</v>
      </c>
      <c r="D68" s="257" t="s">
        <v>567</v>
      </c>
      <c r="E68" s="258" t="s">
        <v>588</v>
      </c>
    </row>
    <row r="69" spans="1:5" s="258" customFormat="1" x14ac:dyDescent="0.3">
      <c r="A69" s="256">
        <v>61</v>
      </c>
      <c r="B69" s="257">
        <v>44957</v>
      </c>
      <c r="C69" s="257" t="s">
        <v>565</v>
      </c>
      <c r="D69" s="257" t="s">
        <v>567</v>
      </c>
      <c r="E69" s="258" t="s">
        <v>589</v>
      </c>
    </row>
    <row r="70" spans="1:5" s="258" customFormat="1" x14ac:dyDescent="0.3">
      <c r="A70" s="256">
        <v>62</v>
      </c>
      <c r="B70" s="257">
        <v>44960</v>
      </c>
      <c r="C70" s="257" t="s">
        <v>520</v>
      </c>
      <c r="D70" s="257" t="s">
        <v>522</v>
      </c>
      <c r="E70" s="258" t="s">
        <v>590</v>
      </c>
    </row>
    <row r="71" spans="1:5" s="258" customFormat="1" x14ac:dyDescent="0.3">
      <c r="A71" s="256">
        <v>63</v>
      </c>
      <c r="B71" s="257">
        <v>45112</v>
      </c>
      <c r="C71" s="257" t="s">
        <v>565</v>
      </c>
      <c r="D71" s="257" t="s">
        <v>567</v>
      </c>
      <c r="E71" s="258" t="s">
        <v>591</v>
      </c>
    </row>
    <row r="72" spans="1:5" s="258" customFormat="1" x14ac:dyDescent="0.3">
      <c r="A72" s="256">
        <v>64</v>
      </c>
      <c r="B72" s="257">
        <v>45174</v>
      </c>
      <c r="C72" s="257" t="s">
        <v>565</v>
      </c>
      <c r="D72" s="257" t="s">
        <v>567</v>
      </c>
      <c r="E72" s="258" t="s">
        <v>588</v>
      </c>
    </row>
    <row r="73" spans="1:5" s="258" customFormat="1" x14ac:dyDescent="0.3">
      <c r="A73" s="256">
        <v>65</v>
      </c>
      <c r="B73" s="257">
        <v>45325</v>
      </c>
      <c r="C73" s="257" t="s">
        <v>520</v>
      </c>
      <c r="D73" s="257" t="s">
        <v>522</v>
      </c>
      <c r="E73" s="258" t="s">
        <v>592</v>
      </c>
    </row>
    <row r="74" spans="1:5" s="258" customFormat="1" x14ac:dyDescent="0.3">
      <c r="A74" s="256">
        <v>66</v>
      </c>
      <c r="B74" s="257">
        <v>45328</v>
      </c>
      <c r="C74" s="257" t="s">
        <v>565</v>
      </c>
      <c r="D74" s="257" t="s">
        <v>567</v>
      </c>
      <c r="E74" s="258" t="s">
        <v>593</v>
      </c>
    </row>
    <row r="75" spans="1:5" s="258" customFormat="1" x14ac:dyDescent="0.3">
      <c r="A75" s="256">
        <v>67</v>
      </c>
      <c r="B75" s="257">
        <v>45331</v>
      </c>
      <c r="C75" s="257" t="s">
        <v>565</v>
      </c>
      <c r="D75" s="257" t="s">
        <v>567</v>
      </c>
      <c r="E75" s="258" t="s">
        <v>594</v>
      </c>
    </row>
    <row r="76" spans="1:5" s="258" customFormat="1" x14ac:dyDescent="0.3">
      <c r="A76" s="256">
        <v>68</v>
      </c>
      <c r="B76" s="257">
        <v>45503</v>
      </c>
      <c r="C76" s="257" t="s">
        <v>595</v>
      </c>
      <c r="D76" s="257" t="s">
        <v>522</v>
      </c>
      <c r="E76" s="258" t="s">
        <v>596</v>
      </c>
    </row>
    <row r="77" spans="1:5" s="258" customFormat="1" x14ac:dyDescent="0.3">
      <c r="A77" s="256">
        <v>69</v>
      </c>
      <c r="B77" s="257">
        <v>45537</v>
      </c>
      <c r="C77" s="257" t="s">
        <v>565</v>
      </c>
      <c r="D77" s="257" t="s">
        <v>522</v>
      </c>
      <c r="E77" s="258" t="s">
        <v>597</v>
      </c>
    </row>
    <row r="78" spans="1:5" s="258" customFormat="1" x14ac:dyDescent="0.3">
      <c r="A78" s="256">
        <v>70</v>
      </c>
      <c r="B78" s="257">
        <v>45553</v>
      </c>
      <c r="C78" s="257" t="s">
        <v>520</v>
      </c>
      <c r="D78" s="257" t="s">
        <v>522</v>
      </c>
      <c r="E78" s="258" t="s">
        <v>598</v>
      </c>
    </row>
    <row r="79" spans="1:5" s="258" customFormat="1" x14ac:dyDescent="0.3">
      <c r="A79" s="256">
        <v>71</v>
      </c>
      <c r="B79" s="257">
        <v>45679</v>
      </c>
      <c r="C79" s="257" t="s">
        <v>520</v>
      </c>
      <c r="D79" s="257" t="s">
        <v>522</v>
      </c>
      <c r="E79" s="258" t="s">
        <v>599</v>
      </c>
    </row>
    <row r="80" spans="1:5" s="258" customFormat="1" x14ac:dyDescent="0.3">
      <c r="A80" s="256">
        <v>72</v>
      </c>
      <c r="B80" s="257">
        <v>45692</v>
      </c>
      <c r="C80" s="257" t="s">
        <v>595</v>
      </c>
      <c r="D80" s="257" t="s">
        <v>522</v>
      </c>
      <c r="E80" s="258" t="s">
        <v>600</v>
      </c>
    </row>
    <row r="81" spans="1:5" s="258" customFormat="1" x14ac:dyDescent="0.3">
      <c r="A81" s="256">
        <v>73</v>
      </c>
      <c r="B81" s="257">
        <v>45761</v>
      </c>
      <c r="C81" s="257" t="s">
        <v>520</v>
      </c>
      <c r="D81" s="257" t="s">
        <v>522</v>
      </c>
      <c r="E81" s="258" t="s">
        <v>523</v>
      </c>
    </row>
    <row r="82" spans="1:5" s="258" customFormat="1" x14ac:dyDescent="0.3">
      <c r="A82" s="256"/>
      <c r="B82" s="257"/>
      <c r="C82" s="257"/>
      <c r="D82" s="257"/>
    </row>
    <row r="83" spans="1:5" s="258" customFormat="1" x14ac:dyDescent="0.3">
      <c r="A83" s="256"/>
      <c r="B83" s="257"/>
      <c r="C83" s="257"/>
      <c r="D83" s="257"/>
    </row>
    <row r="84" spans="1:5" s="258" customFormat="1" x14ac:dyDescent="0.3">
      <c r="A84" s="256"/>
      <c r="B84" s="257"/>
      <c r="C84" s="257"/>
      <c r="D84" s="257"/>
    </row>
    <row r="85" spans="1:5" s="262" customFormat="1" x14ac:dyDescent="0.3">
      <c r="A85" s="259"/>
      <c r="B85" s="260"/>
      <c r="C85" s="261"/>
      <c r="D85" s="261"/>
    </row>
    <row r="86" spans="1:5" s="264" customFormat="1" x14ac:dyDescent="0.3">
      <c r="A86" s="263"/>
      <c r="B86" s="263"/>
      <c r="C86" s="263"/>
      <c r="D86" s="263"/>
    </row>
  </sheetData>
  <sheetProtection sheet="1" objects="1" scenarios="1"/>
  <mergeCells count="6">
    <mergeCell ref="A3:B3"/>
    <mergeCell ref="C3:G3"/>
    <mergeCell ref="A4:B4"/>
    <mergeCell ref="F4:G4"/>
    <mergeCell ref="A5:B5"/>
    <mergeCell ref="F5:G5"/>
  </mergeCell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074D9-A839-401E-8502-455551C47C05}">
  <sheetPr codeName="Planilha15"/>
  <dimension ref="A1:A4"/>
  <sheetViews>
    <sheetView workbookViewId="0"/>
  </sheetViews>
  <sheetFormatPr defaultRowHeight="14.4" x14ac:dyDescent="0.3"/>
  <cols>
    <col min="1" max="1" width="9.109375" customWidth="1"/>
    <col min="2" max="2" width="28.44140625" customWidth="1"/>
  </cols>
  <sheetData>
    <row r="1" spans="1:1" ht="93.75" customHeight="1" x14ac:dyDescent="0.3"/>
    <row r="2" spans="1:1" ht="93.75" customHeight="1" x14ac:dyDescent="0.3">
      <c r="A2" t="str">
        <f>Dados!AM2</f>
        <v>Elus</v>
      </c>
    </row>
    <row r="3" spans="1:1" ht="93.75" customHeight="1" x14ac:dyDescent="0.3">
      <c r="A3" t="str">
        <f>Dados!AM3</f>
        <v>Metrolab</v>
      </c>
    </row>
    <row r="4" spans="1:1" ht="93.75" customHeight="1" x14ac:dyDescent="0.3">
      <c r="A4" t="str">
        <f>Dados!AM4</f>
        <v>XCal</v>
      </c>
    </row>
  </sheetData>
  <sheetProtection algorithmName="SHA-512" hashValue="XKoA5JQvF40Y/8/h004LHsE9UeK2JeIZChvvKeWJZOI+ApCw+vEnTN0aNGvgUkkxju6Kx2paU/LYEVR7WIqB6A==" saltValue="1sW3I2Bq00butyCSJ+KCRA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CE034-4619-4F45-8359-238D08D4CF6D}">
  <sheetPr codeName="Planilha8"/>
  <dimension ref="A1:E51"/>
  <sheetViews>
    <sheetView workbookViewId="0"/>
  </sheetViews>
  <sheetFormatPr defaultRowHeight="14.4" x14ac:dyDescent="0.3"/>
  <cols>
    <col min="1" max="1" width="29.44140625" bestFit="1" customWidth="1"/>
    <col min="3" max="3" width="32.109375" bestFit="1" customWidth="1"/>
  </cols>
  <sheetData>
    <row r="1" spans="1:5" x14ac:dyDescent="0.3">
      <c r="A1" t="str">
        <f>Dados!AM2</f>
        <v>Elus</v>
      </c>
      <c r="C1" t="str">
        <f>Dados!AM3</f>
        <v>Metrolab</v>
      </c>
      <c r="E1" t="str">
        <f>Dados!AM4</f>
        <v>XCal</v>
      </c>
    </row>
    <row r="2" spans="1:5" x14ac:dyDescent="0.3">
      <c r="A2" t="str">
        <f>[1]Técnicos!A1</f>
        <v>Alessandro Severiano dos Santos</v>
      </c>
      <c r="C2" t="str">
        <f>[1]Técnicos!C1</f>
        <v>Alexandre Do Nascimento Oliveira</v>
      </c>
      <c r="E2" t="str">
        <f>[1]Técnicos!E1</f>
        <v>Alessandro Severiano dos Santos</v>
      </c>
    </row>
    <row r="3" spans="1:5" x14ac:dyDescent="0.3">
      <c r="A3" t="str">
        <f>[1]Técnicos!A2</f>
        <v>Alexandre do Nascimento</v>
      </c>
      <c r="C3" t="str">
        <f>[1]Técnicos!C2</f>
        <v>Bruno Moraes Oliveira</v>
      </c>
      <c r="E3" t="str">
        <f>[1]Técnicos!E2</f>
        <v>André Chaves de Souza</v>
      </c>
    </row>
    <row r="4" spans="1:5" x14ac:dyDescent="0.3">
      <c r="A4" t="str">
        <f>[1]Técnicos!A3</f>
        <v>Aline Roque da Cruz</v>
      </c>
      <c r="C4" t="str">
        <f>[1]Técnicos!C3</f>
        <v>Gabriel Job Borges da Silva</v>
      </c>
      <c r="E4" t="str">
        <f>[1]Técnicos!E3</f>
        <v>Celson José dos Santos</v>
      </c>
    </row>
    <row r="5" spans="1:5" x14ac:dyDescent="0.3">
      <c r="A5" t="str">
        <f>[1]Técnicos!A4</f>
        <v>André Chaves de Souza</v>
      </c>
      <c r="C5" t="str">
        <f>[1]Técnicos!C4</f>
        <v>Gustavo Vinícius Neres Carneiro</v>
      </c>
      <c r="E5" t="str">
        <f>[1]Técnicos!E4</f>
        <v>Renan Andrade da Annunciação</v>
      </c>
    </row>
    <row r="6" spans="1:5" x14ac:dyDescent="0.3">
      <c r="A6" t="str">
        <f>[1]Técnicos!A5</f>
        <v>Bruno Moraes Oliveira</v>
      </c>
      <c r="C6" t="str">
        <f>[1]Técnicos!C5</f>
        <v>Marcos Rodrigues</v>
      </c>
      <c r="E6" t="str">
        <f>[1]Técnicos!E5</f>
        <v>-</v>
      </c>
    </row>
    <row r="7" spans="1:5" x14ac:dyDescent="0.3">
      <c r="A7" t="str">
        <f>[1]Técnicos!A6</f>
        <v>Caio Cesar Silva</v>
      </c>
      <c r="C7" t="str">
        <f>[1]Técnicos!C6</f>
        <v>Robson Crepaldi</v>
      </c>
      <c r="E7" t="str">
        <f>[1]Técnicos!E6</f>
        <v>-</v>
      </c>
    </row>
    <row r="8" spans="1:5" x14ac:dyDescent="0.3">
      <c r="A8" t="str">
        <f>[1]Técnicos!A7</f>
        <v>Carlos Augusto Benevides</v>
      </c>
      <c r="C8" t="str">
        <f>[1]Técnicos!C7</f>
        <v>Rodrigo Gomes Cordeiro</v>
      </c>
      <c r="E8" t="str">
        <f>[1]Técnicos!E7</f>
        <v>-</v>
      </c>
    </row>
    <row r="9" spans="1:5" x14ac:dyDescent="0.3">
      <c r="A9" t="str">
        <f>[1]Técnicos!A8</f>
        <v>Celson José dos Santos</v>
      </c>
      <c r="C9" t="str">
        <f>[1]Técnicos!C8</f>
        <v>Uendel Ranieres B. de Carvalho</v>
      </c>
      <c r="E9" t="str">
        <f>[1]Técnicos!E8</f>
        <v>-</v>
      </c>
    </row>
    <row r="10" spans="1:5" x14ac:dyDescent="0.3">
      <c r="A10" t="str">
        <f>[1]Técnicos!A9</f>
        <v>Douglas Camargo da Silva</v>
      </c>
      <c r="C10" t="str">
        <f>[1]Técnicos!C9</f>
        <v>-</v>
      </c>
      <c r="E10" t="str">
        <f>[1]Técnicos!E9</f>
        <v>-</v>
      </c>
    </row>
    <row r="11" spans="1:5" x14ac:dyDescent="0.3">
      <c r="A11" t="str">
        <f>[1]Técnicos!A10</f>
        <v>Everaldo José da Silva</v>
      </c>
      <c r="C11" t="str">
        <f>[1]Técnicos!C10</f>
        <v>-</v>
      </c>
      <c r="E11" t="str">
        <f>[1]Técnicos!E10</f>
        <v>-</v>
      </c>
    </row>
    <row r="12" spans="1:5" x14ac:dyDescent="0.3">
      <c r="A12" t="str">
        <f>[1]Técnicos!A11</f>
        <v>Ezequiel Antonio da Silva</v>
      </c>
      <c r="C12" t="str">
        <f>[1]Técnicos!C11</f>
        <v>-</v>
      </c>
      <c r="E12" t="str">
        <f>[1]Técnicos!E11</f>
        <v>-</v>
      </c>
    </row>
    <row r="13" spans="1:5" x14ac:dyDescent="0.3">
      <c r="A13" t="str">
        <f>[1]Técnicos!A12</f>
        <v>Felipe Vicente Leite</v>
      </c>
      <c r="C13" t="str">
        <f>[1]Técnicos!C12</f>
        <v>-</v>
      </c>
      <c r="E13" t="str">
        <f>[1]Técnicos!E12</f>
        <v>-</v>
      </c>
    </row>
    <row r="14" spans="1:5" x14ac:dyDescent="0.3">
      <c r="A14" t="str">
        <f>[1]Técnicos!A13</f>
        <v>Fernando Fardin Soares</v>
      </c>
      <c r="C14" t="str">
        <f>[1]Técnicos!C13</f>
        <v>-</v>
      </c>
      <c r="E14" t="str">
        <f>[1]Técnicos!E13</f>
        <v>-</v>
      </c>
    </row>
    <row r="15" spans="1:5" x14ac:dyDescent="0.3">
      <c r="A15" t="str">
        <f>[1]Técnicos!A14</f>
        <v>Gabriel Job Borges da Silva</v>
      </c>
      <c r="C15" t="str">
        <f>[1]Técnicos!C14</f>
        <v>-</v>
      </c>
      <c r="E15" t="str">
        <f>[1]Técnicos!E14</f>
        <v>-</v>
      </c>
    </row>
    <row r="16" spans="1:5" x14ac:dyDescent="0.3">
      <c r="A16" t="str">
        <f>[1]Técnicos!A15</f>
        <v>Gabriel Moura Ribeiro</v>
      </c>
      <c r="C16" t="str">
        <f>[1]Técnicos!C15</f>
        <v>-</v>
      </c>
      <c r="E16" t="str">
        <f>[1]Técnicos!E15</f>
        <v>-</v>
      </c>
    </row>
    <row r="17" spans="1:5" x14ac:dyDescent="0.3">
      <c r="A17" t="str">
        <f>[1]Técnicos!A16</f>
        <v>Geovani Silva Pereira Borges</v>
      </c>
      <c r="C17" t="str">
        <f>[1]Técnicos!C16</f>
        <v>-</v>
      </c>
      <c r="E17" t="str">
        <f>[1]Técnicos!E16</f>
        <v>-</v>
      </c>
    </row>
    <row r="18" spans="1:5" x14ac:dyDescent="0.3">
      <c r="A18" t="str">
        <f>[1]Técnicos!A17</f>
        <v xml:space="preserve">Guilherme Tullio Sellini </v>
      </c>
      <c r="C18" t="str">
        <f>[1]Técnicos!C17</f>
        <v>-</v>
      </c>
      <c r="E18" t="str">
        <f>[1]Técnicos!E17</f>
        <v>-</v>
      </c>
    </row>
    <row r="19" spans="1:5" x14ac:dyDescent="0.3">
      <c r="A19" t="str">
        <f>[1]Técnicos!A18</f>
        <v>Gustavo Nonato Sanfelici</v>
      </c>
      <c r="C19" t="str">
        <f>[1]Técnicos!C18</f>
        <v>-</v>
      </c>
      <c r="E19" t="str">
        <f>[1]Técnicos!E18</f>
        <v>-</v>
      </c>
    </row>
    <row r="20" spans="1:5" x14ac:dyDescent="0.3">
      <c r="A20" t="str">
        <f>[1]Técnicos!A19</f>
        <v>Gustavo Vinicius Neres Carneiro</v>
      </c>
      <c r="C20" t="str">
        <f>[1]Técnicos!C19</f>
        <v>-</v>
      </c>
      <c r="E20" t="str">
        <f>[1]Técnicos!E19</f>
        <v>-</v>
      </c>
    </row>
    <row r="21" spans="1:5" x14ac:dyDescent="0.3">
      <c r="A21" t="str">
        <f>[1]Técnicos!A20</f>
        <v>Ivao Joab de Souza Tochizawa</v>
      </c>
      <c r="C21" t="str">
        <f>[1]Técnicos!C20</f>
        <v>-</v>
      </c>
      <c r="E21" t="str">
        <f>[1]Técnicos!E20</f>
        <v>-</v>
      </c>
    </row>
    <row r="22" spans="1:5" x14ac:dyDescent="0.3">
      <c r="A22" t="str">
        <f>[1]Técnicos!A21</f>
        <v>João Lucas Meris Flausino</v>
      </c>
      <c r="C22" t="str">
        <f>[1]Técnicos!C21</f>
        <v>-</v>
      </c>
      <c r="E22" t="str">
        <f>[1]Técnicos!E21</f>
        <v>-</v>
      </c>
    </row>
    <row r="23" spans="1:5" x14ac:dyDescent="0.3">
      <c r="A23" t="str">
        <f>[1]Técnicos!A22</f>
        <v xml:space="preserve">Joelson José Batista de Faria </v>
      </c>
      <c r="C23" t="str">
        <f>[1]Técnicos!C22</f>
        <v>-</v>
      </c>
      <c r="E23" t="str">
        <f>[1]Técnicos!E22</f>
        <v>-</v>
      </c>
    </row>
    <row r="24" spans="1:5" x14ac:dyDescent="0.3">
      <c r="A24" t="str">
        <f>[1]Técnicos!A23</f>
        <v>Joyce Carvalho Moreira</v>
      </c>
      <c r="C24" t="str">
        <f>[1]Técnicos!C23</f>
        <v>-</v>
      </c>
      <c r="E24" t="str">
        <f>[1]Técnicos!E23</f>
        <v>-</v>
      </c>
    </row>
    <row r="25" spans="1:5" x14ac:dyDescent="0.3">
      <c r="A25" t="str">
        <f>[1]Técnicos!A24</f>
        <v>Julio Cesar Pereira de Souza</v>
      </c>
      <c r="C25" t="str">
        <f>[1]Técnicos!C24</f>
        <v>-</v>
      </c>
      <c r="E25" t="str">
        <f>[1]Técnicos!E24</f>
        <v>-</v>
      </c>
    </row>
    <row r="26" spans="1:5" x14ac:dyDescent="0.3">
      <c r="A26" t="str">
        <f>[1]Técnicos!A25</f>
        <v xml:space="preserve">Leandra Luiza Oliveira de Araújo </v>
      </c>
      <c r="C26" t="str">
        <f>[1]Técnicos!C25</f>
        <v>-</v>
      </c>
      <c r="E26" t="str">
        <f>[1]Técnicos!E25</f>
        <v>-</v>
      </c>
    </row>
    <row r="27" spans="1:5" x14ac:dyDescent="0.3">
      <c r="A27" t="str">
        <f>[1]Técnicos!A26</f>
        <v>Leonardo Portolani da Silva</v>
      </c>
      <c r="C27" t="str">
        <f>[1]Técnicos!C26</f>
        <v>-</v>
      </c>
      <c r="E27" t="str">
        <f>[1]Técnicos!E26</f>
        <v>-</v>
      </c>
    </row>
    <row r="28" spans="1:5" x14ac:dyDescent="0.3">
      <c r="A28" t="str">
        <f>[1]Técnicos!A27</f>
        <v xml:space="preserve">Leonardo Sousa Araújo </v>
      </c>
      <c r="C28" t="str">
        <f>[1]Técnicos!C27</f>
        <v>-</v>
      </c>
      <c r="E28" t="str">
        <f>[1]Técnicos!E27</f>
        <v>-</v>
      </c>
    </row>
    <row r="29" spans="1:5" x14ac:dyDescent="0.3">
      <c r="A29" t="str">
        <f>[1]Técnicos!A28</f>
        <v>Lucas Rodrigues Amador</v>
      </c>
      <c r="C29" t="str">
        <f>[1]Técnicos!C28</f>
        <v>-</v>
      </c>
      <c r="E29" t="str">
        <f>[1]Técnicos!E28</f>
        <v>-</v>
      </c>
    </row>
    <row r="30" spans="1:5" x14ac:dyDescent="0.3">
      <c r="A30" t="str">
        <f>[1]Técnicos!A29</f>
        <v>Luiz de Jesus F. Neto</v>
      </c>
      <c r="C30" t="str">
        <f>[1]Técnicos!C29</f>
        <v>-</v>
      </c>
      <c r="E30" t="str">
        <f>[1]Técnicos!E29</f>
        <v>-</v>
      </c>
    </row>
    <row r="31" spans="1:5" x14ac:dyDescent="0.3">
      <c r="A31" t="str">
        <f>[1]Técnicos!A30</f>
        <v>Luiz Roberto Hiller</v>
      </c>
      <c r="C31" t="str">
        <f>[1]Técnicos!C30</f>
        <v>-</v>
      </c>
      <c r="E31" t="str">
        <f>[1]Técnicos!E30</f>
        <v>-</v>
      </c>
    </row>
    <row r="32" spans="1:5" x14ac:dyDescent="0.3">
      <c r="A32" t="str">
        <f>[1]Técnicos!A31</f>
        <v>Marcelo Bueno da Silva</v>
      </c>
      <c r="C32" t="str">
        <f>[1]Técnicos!C31</f>
        <v>-</v>
      </c>
      <c r="E32" t="str">
        <f>[1]Técnicos!E31</f>
        <v>-</v>
      </c>
    </row>
    <row r="33" spans="1:5" x14ac:dyDescent="0.3">
      <c r="A33" t="str">
        <f>[1]Técnicos!A32</f>
        <v>Marcos Benedito P. de Souza</v>
      </c>
      <c r="C33" t="str">
        <f>[1]Técnicos!C32</f>
        <v>-</v>
      </c>
      <c r="E33" t="str">
        <f>[1]Técnicos!E32</f>
        <v>-</v>
      </c>
    </row>
    <row r="34" spans="1:5" x14ac:dyDescent="0.3">
      <c r="A34" t="str">
        <f>[1]Técnicos!A33</f>
        <v>Marcos Franco da Silva</v>
      </c>
      <c r="C34" t="str">
        <f>[1]Técnicos!C33</f>
        <v>-</v>
      </c>
      <c r="E34" t="str">
        <f>[1]Técnicos!E33</f>
        <v>-</v>
      </c>
    </row>
    <row r="35" spans="1:5" x14ac:dyDescent="0.3">
      <c r="A35" t="str">
        <f>[1]Técnicos!A34</f>
        <v>Mariana dos Santos Dias</v>
      </c>
      <c r="C35" t="str">
        <f>[1]Técnicos!C34</f>
        <v>-</v>
      </c>
      <c r="E35" t="str">
        <f>[1]Técnicos!E34</f>
        <v>-</v>
      </c>
    </row>
    <row r="36" spans="1:5" x14ac:dyDescent="0.3">
      <c r="A36" t="str">
        <f>[1]Técnicos!A35</f>
        <v>Matheus Pereira dos Santos</v>
      </c>
      <c r="C36" t="str">
        <f>[1]Técnicos!C35</f>
        <v>-</v>
      </c>
      <c r="E36" t="str">
        <f>[1]Técnicos!E35</f>
        <v>-</v>
      </c>
    </row>
    <row r="37" spans="1:5" x14ac:dyDescent="0.3">
      <c r="A37" t="str">
        <f>[1]Técnicos!A36</f>
        <v>Maurício Barros de A. Júnior</v>
      </c>
      <c r="C37" t="str">
        <f>[1]Técnicos!C36</f>
        <v>-</v>
      </c>
      <c r="E37" t="str">
        <f>[1]Técnicos!E36</f>
        <v>-</v>
      </c>
    </row>
    <row r="38" spans="1:5" x14ac:dyDescent="0.3">
      <c r="A38" t="str">
        <f>[1]Técnicos!A37</f>
        <v>Mayko Vasconcelos Rodrigues</v>
      </c>
      <c r="C38" t="str">
        <f>[1]Técnicos!C37</f>
        <v>-</v>
      </c>
      <c r="E38" t="str">
        <f>[1]Técnicos!E37</f>
        <v>-</v>
      </c>
    </row>
    <row r="39" spans="1:5" x14ac:dyDescent="0.3">
      <c r="A39" t="str">
        <f>[1]Técnicos!A38</f>
        <v>Mônica Alves da Silva</v>
      </c>
      <c r="C39" t="str">
        <f>[1]Técnicos!C38</f>
        <v>-</v>
      </c>
      <c r="E39" t="str">
        <f>[1]Técnicos!E38</f>
        <v>-</v>
      </c>
    </row>
    <row r="40" spans="1:5" x14ac:dyDescent="0.3">
      <c r="A40" t="str">
        <f>[1]Técnicos!A39</f>
        <v>Nathan Aragão Aguiar</v>
      </c>
      <c r="C40" t="str">
        <f>[1]Técnicos!C39</f>
        <v>-</v>
      </c>
      <c r="E40" t="str">
        <f>[1]Técnicos!E39</f>
        <v>-</v>
      </c>
    </row>
    <row r="41" spans="1:5" x14ac:dyDescent="0.3">
      <c r="A41" t="str">
        <f>[1]Técnicos!A40</f>
        <v>Nicolas Santos Assunção</v>
      </c>
      <c r="C41" t="str">
        <f>[1]Técnicos!C40</f>
        <v>-</v>
      </c>
      <c r="E41" t="str">
        <f>[1]Técnicos!E40</f>
        <v>-</v>
      </c>
    </row>
    <row r="42" spans="1:5" x14ac:dyDescent="0.3">
      <c r="A42" t="str">
        <f>[1]Técnicos!A41</f>
        <v>Renan Andrade da Annunciação</v>
      </c>
      <c r="C42" t="str">
        <f>[1]Técnicos!C41</f>
        <v>-</v>
      </c>
      <c r="E42" t="str">
        <f>[1]Técnicos!E41</f>
        <v>-</v>
      </c>
    </row>
    <row r="43" spans="1:5" x14ac:dyDescent="0.3">
      <c r="A43" t="str">
        <f>[1]Técnicos!A42</f>
        <v>Rinaldo Alves Martinez</v>
      </c>
      <c r="C43" t="str">
        <f>[1]Técnicos!C42</f>
        <v>-</v>
      </c>
      <c r="E43" t="str">
        <f>[1]Técnicos!E42</f>
        <v>-</v>
      </c>
    </row>
    <row r="44" spans="1:5" x14ac:dyDescent="0.3">
      <c r="A44" t="str">
        <f>[1]Técnicos!A43</f>
        <v>Robson Crepaldi</v>
      </c>
      <c r="C44" t="str">
        <f>[1]Técnicos!C43</f>
        <v>-</v>
      </c>
      <c r="E44" t="str">
        <f>[1]Técnicos!E43</f>
        <v>-</v>
      </c>
    </row>
    <row r="45" spans="1:5" x14ac:dyDescent="0.3">
      <c r="A45" t="str">
        <f>[1]Técnicos!A44</f>
        <v>Rodrigo Gomes Cordeiro</v>
      </c>
      <c r="C45" t="str">
        <f>[1]Técnicos!C44</f>
        <v>-</v>
      </c>
      <c r="E45" t="str">
        <f>[1]Técnicos!E44</f>
        <v>-</v>
      </c>
    </row>
    <row r="46" spans="1:5" x14ac:dyDescent="0.3">
      <c r="A46" t="str">
        <f>[1]Técnicos!A45</f>
        <v>Rodrigo Merida Silva</v>
      </c>
      <c r="C46" t="str">
        <f>[1]Técnicos!C45</f>
        <v>-</v>
      </c>
      <c r="E46" t="str">
        <f>[1]Técnicos!E45</f>
        <v>-</v>
      </c>
    </row>
    <row r="47" spans="1:5" x14ac:dyDescent="0.3">
      <c r="A47" t="str">
        <f>[1]Técnicos!A46</f>
        <v>Uendel Ranieres B. de Carvalho</v>
      </c>
      <c r="C47" t="str">
        <f>[1]Técnicos!C46</f>
        <v>-</v>
      </c>
      <c r="E47" t="str">
        <f>[1]Técnicos!E46</f>
        <v>-</v>
      </c>
    </row>
    <row r="48" spans="1:5" x14ac:dyDescent="0.3">
      <c r="A48" t="str">
        <f>[1]Técnicos!A47</f>
        <v>Vitor Santos Nunes</v>
      </c>
      <c r="C48" t="str">
        <f>[1]Técnicos!C47</f>
        <v>-</v>
      </c>
      <c r="E48" t="str">
        <f>[1]Técnicos!E47</f>
        <v>-</v>
      </c>
    </row>
    <row r="49" spans="1:5" x14ac:dyDescent="0.3">
      <c r="A49" t="str">
        <f>[1]Técnicos!A48</f>
        <v>Weverton Santos Oliveira</v>
      </c>
      <c r="C49" t="str">
        <f>[1]Técnicos!C48</f>
        <v>-</v>
      </c>
      <c r="E49" t="str">
        <f>[1]Técnicos!E48</f>
        <v>-</v>
      </c>
    </row>
    <row r="50" spans="1:5" x14ac:dyDescent="0.3">
      <c r="A50" t="str">
        <f>[1]Técnicos!A49</f>
        <v>-</v>
      </c>
      <c r="C50" t="str">
        <f>[1]Técnicos!C49</f>
        <v>-</v>
      </c>
      <c r="E50" t="str">
        <f>[1]Técnicos!E49</f>
        <v>-</v>
      </c>
    </row>
    <row r="51" spans="1:5" x14ac:dyDescent="0.3">
      <c r="A51" t="str">
        <f>[1]Técnicos!A50</f>
        <v>-</v>
      </c>
      <c r="C51" t="str">
        <f>[1]Técnicos!C50</f>
        <v>-</v>
      </c>
      <c r="E51" t="str">
        <f>[1]Técnicos!E50</f>
        <v>-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E8C5-2071-4CEC-8B77-AD4882C12A76}">
  <sheetPr codeName="Planilha9"/>
  <dimension ref="A1:CY313"/>
  <sheetViews>
    <sheetView workbookViewId="0"/>
  </sheetViews>
  <sheetFormatPr defaultColWidth="17.33203125" defaultRowHeight="14.4" x14ac:dyDescent="0.3"/>
  <cols>
    <col min="1" max="1" width="4" style="39" bestFit="1" customWidth="1"/>
    <col min="2" max="2" width="17.33203125" style="41"/>
    <col min="3" max="3" width="41.6640625" style="41" customWidth="1"/>
    <col min="4" max="6" width="17.33203125" style="41"/>
    <col min="7" max="7" width="17.5546875" style="41" customWidth="1"/>
    <col min="8" max="94" width="17.33203125" style="41"/>
    <col min="95" max="95" width="24.88671875" style="41" bestFit="1" customWidth="1"/>
    <col min="96" max="99" width="17.33203125" style="41"/>
    <col min="100" max="100" width="20.44140625" style="41" bestFit="1" customWidth="1"/>
    <col min="101" max="102" width="3" style="41" bestFit="1" customWidth="1"/>
    <col min="103" max="16384" width="17.33203125" style="41"/>
  </cols>
  <sheetData>
    <row r="1" spans="1:103" ht="21" x14ac:dyDescent="0.3">
      <c r="B1" s="40" t="s">
        <v>139</v>
      </c>
      <c r="G1" s="42">
        <f ca="1">IF(Dados!F18="",TODAY(),Dados!F18)</f>
        <v>46076</v>
      </c>
      <c r="CY1" s="41" t="str">
        <f>Dados!$AM$1</f>
        <v>E</v>
      </c>
    </row>
    <row r="2" spans="1:103" s="44" customFormat="1" x14ac:dyDescent="0.3">
      <c r="A2" s="43">
        <v>1</v>
      </c>
      <c r="B2" s="44">
        <f t="shared" ref="B2:BM2" si="0">A2+1</f>
        <v>2</v>
      </c>
      <c r="C2" s="44">
        <f t="shared" si="0"/>
        <v>3</v>
      </c>
      <c r="D2" s="44">
        <f t="shared" si="0"/>
        <v>4</v>
      </c>
      <c r="E2" s="44">
        <f t="shared" si="0"/>
        <v>5</v>
      </c>
      <c r="F2" s="44">
        <f t="shared" si="0"/>
        <v>6</v>
      </c>
      <c r="G2" s="44">
        <f t="shared" si="0"/>
        <v>7</v>
      </c>
      <c r="H2" s="44">
        <f t="shared" si="0"/>
        <v>8</v>
      </c>
      <c r="I2" s="44">
        <f t="shared" si="0"/>
        <v>9</v>
      </c>
      <c r="J2" s="44">
        <f t="shared" si="0"/>
        <v>10</v>
      </c>
      <c r="K2" s="44">
        <f t="shared" si="0"/>
        <v>11</v>
      </c>
      <c r="L2" s="44">
        <f t="shared" si="0"/>
        <v>12</v>
      </c>
      <c r="M2" s="44">
        <f t="shared" si="0"/>
        <v>13</v>
      </c>
      <c r="N2" s="44">
        <f t="shared" si="0"/>
        <v>14</v>
      </c>
      <c r="O2" s="44">
        <f t="shared" si="0"/>
        <v>15</v>
      </c>
      <c r="P2" s="44">
        <f t="shared" si="0"/>
        <v>16</v>
      </c>
      <c r="Q2" s="44">
        <f t="shared" si="0"/>
        <v>17</v>
      </c>
      <c r="R2" s="44">
        <f t="shared" si="0"/>
        <v>18</v>
      </c>
      <c r="S2" s="44">
        <f t="shared" si="0"/>
        <v>19</v>
      </c>
      <c r="T2" s="44">
        <f t="shared" si="0"/>
        <v>20</v>
      </c>
      <c r="U2" s="44">
        <f t="shared" si="0"/>
        <v>21</v>
      </c>
      <c r="V2" s="44">
        <f t="shared" si="0"/>
        <v>22</v>
      </c>
      <c r="W2" s="44">
        <f t="shared" si="0"/>
        <v>23</v>
      </c>
      <c r="X2" s="44">
        <f t="shared" si="0"/>
        <v>24</v>
      </c>
      <c r="Y2" s="44">
        <f t="shared" si="0"/>
        <v>25</v>
      </c>
      <c r="Z2" s="44">
        <f t="shared" si="0"/>
        <v>26</v>
      </c>
      <c r="AA2" s="44">
        <f t="shared" si="0"/>
        <v>27</v>
      </c>
      <c r="AB2" s="44">
        <f t="shared" si="0"/>
        <v>28</v>
      </c>
      <c r="AC2" s="44">
        <f t="shared" si="0"/>
        <v>29</v>
      </c>
      <c r="AD2" s="44">
        <f t="shared" si="0"/>
        <v>30</v>
      </c>
      <c r="AE2" s="44">
        <f t="shared" si="0"/>
        <v>31</v>
      </c>
      <c r="AF2" s="44">
        <f t="shared" si="0"/>
        <v>32</v>
      </c>
      <c r="AG2" s="44">
        <f t="shared" si="0"/>
        <v>33</v>
      </c>
      <c r="AH2" s="44">
        <f t="shared" si="0"/>
        <v>34</v>
      </c>
      <c r="AI2" s="44">
        <f t="shared" si="0"/>
        <v>35</v>
      </c>
      <c r="AJ2" s="44">
        <f t="shared" si="0"/>
        <v>36</v>
      </c>
      <c r="AK2" s="44">
        <f t="shared" si="0"/>
        <v>37</v>
      </c>
      <c r="AL2" s="44">
        <f t="shared" si="0"/>
        <v>38</v>
      </c>
      <c r="AM2" s="44">
        <f t="shared" si="0"/>
        <v>39</v>
      </c>
      <c r="AN2" s="44">
        <f t="shared" si="0"/>
        <v>40</v>
      </c>
      <c r="AO2" s="44">
        <f t="shared" si="0"/>
        <v>41</v>
      </c>
      <c r="AP2" s="44">
        <f t="shared" si="0"/>
        <v>42</v>
      </c>
      <c r="AQ2" s="44">
        <f t="shared" si="0"/>
        <v>43</v>
      </c>
      <c r="AR2" s="44">
        <f t="shared" si="0"/>
        <v>44</v>
      </c>
      <c r="AS2" s="44">
        <f t="shared" si="0"/>
        <v>45</v>
      </c>
      <c r="AT2" s="44">
        <f t="shared" si="0"/>
        <v>46</v>
      </c>
      <c r="AU2" s="44">
        <f t="shared" si="0"/>
        <v>47</v>
      </c>
      <c r="AV2" s="44">
        <f t="shared" si="0"/>
        <v>48</v>
      </c>
      <c r="AW2" s="44">
        <f t="shared" si="0"/>
        <v>49</v>
      </c>
      <c r="AX2" s="44">
        <f t="shared" si="0"/>
        <v>50</v>
      </c>
      <c r="AY2" s="44">
        <f t="shared" si="0"/>
        <v>51</v>
      </c>
      <c r="AZ2" s="44">
        <f t="shared" si="0"/>
        <v>52</v>
      </c>
      <c r="BA2" s="44">
        <f t="shared" si="0"/>
        <v>53</v>
      </c>
      <c r="BB2" s="44">
        <f t="shared" si="0"/>
        <v>54</v>
      </c>
      <c r="BC2" s="44">
        <f t="shared" si="0"/>
        <v>55</v>
      </c>
      <c r="BD2" s="44">
        <f t="shared" si="0"/>
        <v>56</v>
      </c>
      <c r="BE2" s="44">
        <f t="shared" si="0"/>
        <v>57</v>
      </c>
      <c r="BF2" s="44">
        <f t="shared" si="0"/>
        <v>58</v>
      </c>
      <c r="BG2" s="44">
        <f t="shared" si="0"/>
        <v>59</v>
      </c>
      <c r="BH2" s="44">
        <f t="shared" si="0"/>
        <v>60</v>
      </c>
      <c r="BI2" s="44">
        <f t="shared" si="0"/>
        <v>61</v>
      </c>
      <c r="BJ2" s="44">
        <f t="shared" si="0"/>
        <v>62</v>
      </c>
      <c r="BK2" s="44">
        <f t="shared" si="0"/>
        <v>63</v>
      </c>
      <c r="BL2" s="44">
        <f t="shared" si="0"/>
        <v>64</v>
      </c>
      <c r="BM2" s="44">
        <f t="shared" si="0"/>
        <v>65</v>
      </c>
      <c r="BN2" s="44">
        <f t="shared" ref="BN2:CV2" si="1">BM2+1</f>
        <v>66</v>
      </c>
      <c r="BO2" s="44">
        <f t="shared" si="1"/>
        <v>67</v>
      </c>
      <c r="BP2" s="44">
        <f t="shared" si="1"/>
        <v>68</v>
      </c>
      <c r="BQ2" s="44">
        <f t="shared" si="1"/>
        <v>69</v>
      </c>
      <c r="BR2" s="44">
        <f t="shared" si="1"/>
        <v>70</v>
      </c>
      <c r="BS2" s="44">
        <f t="shared" si="1"/>
        <v>71</v>
      </c>
      <c r="BT2" s="44">
        <f t="shared" si="1"/>
        <v>72</v>
      </c>
      <c r="BU2" s="44">
        <f t="shared" si="1"/>
        <v>73</v>
      </c>
      <c r="BV2" s="44">
        <f t="shared" si="1"/>
        <v>74</v>
      </c>
      <c r="BW2" s="44">
        <f t="shared" si="1"/>
        <v>75</v>
      </c>
      <c r="BX2" s="44">
        <f t="shared" si="1"/>
        <v>76</v>
      </c>
      <c r="BY2" s="44">
        <f t="shared" si="1"/>
        <v>77</v>
      </c>
      <c r="BZ2" s="44">
        <f t="shared" si="1"/>
        <v>78</v>
      </c>
      <c r="CA2" s="44">
        <f t="shared" si="1"/>
        <v>79</v>
      </c>
      <c r="CB2" s="44">
        <f t="shared" si="1"/>
        <v>80</v>
      </c>
      <c r="CC2" s="44">
        <f t="shared" si="1"/>
        <v>81</v>
      </c>
      <c r="CD2" s="44">
        <f t="shared" si="1"/>
        <v>82</v>
      </c>
      <c r="CE2" s="44">
        <f t="shared" si="1"/>
        <v>83</v>
      </c>
      <c r="CF2" s="44">
        <f t="shared" si="1"/>
        <v>84</v>
      </c>
      <c r="CG2" s="44">
        <f t="shared" si="1"/>
        <v>85</v>
      </c>
      <c r="CH2" s="44">
        <f t="shared" si="1"/>
        <v>86</v>
      </c>
      <c r="CI2" s="44">
        <f t="shared" si="1"/>
        <v>87</v>
      </c>
      <c r="CJ2" s="44">
        <f t="shared" si="1"/>
        <v>88</v>
      </c>
      <c r="CK2" s="44">
        <f t="shared" si="1"/>
        <v>89</v>
      </c>
      <c r="CL2" s="44">
        <f t="shared" si="1"/>
        <v>90</v>
      </c>
      <c r="CM2" s="44">
        <f t="shared" si="1"/>
        <v>91</v>
      </c>
      <c r="CN2" s="44">
        <f t="shared" si="1"/>
        <v>92</v>
      </c>
      <c r="CO2" s="44">
        <f t="shared" si="1"/>
        <v>93</v>
      </c>
      <c r="CP2" s="44">
        <f t="shared" si="1"/>
        <v>94</v>
      </c>
      <c r="CQ2" s="44">
        <f t="shared" si="1"/>
        <v>95</v>
      </c>
      <c r="CR2" s="44">
        <f t="shared" si="1"/>
        <v>96</v>
      </c>
      <c r="CS2" s="44">
        <f t="shared" si="1"/>
        <v>97</v>
      </c>
      <c r="CT2" s="44">
        <f t="shared" si="1"/>
        <v>98</v>
      </c>
      <c r="CU2" s="44">
        <f t="shared" si="1"/>
        <v>99</v>
      </c>
      <c r="CV2" s="44">
        <f t="shared" si="1"/>
        <v>100</v>
      </c>
    </row>
    <row r="3" spans="1:103" s="28" customFormat="1" ht="21" x14ac:dyDescent="0.3">
      <c r="A3" s="45"/>
      <c r="B3" s="40" t="s">
        <v>140</v>
      </c>
      <c r="R3" s="515" t="s">
        <v>141</v>
      </c>
      <c r="S3" s="516"/>
      <c r="T3" s="516"/>
      <c r="U3" s="516"/>
      <c r="V3" s="516"/>
      <c r="W3" s="516"/>
      <c r="X3" s="516"/>
      <c r="Y3" s="516"/>
      <c r="Z3" s="516"/>
      <c r="AA3" s="516"/>
      <c r="AB3" s="517"/>
      <c r="AC3" s="518" t="s">
        <v>142</v>
      </c>
      <c r="AD3" s="519"/>
      <c r="AE3" s="519"/>
      <c r="AF3" s="520"/>
      <c r="AG3" s="511" t="s">
        <v>143</v>
      </c>
      <c r="AH3" s="512"/>
      <c r="AI3" s="512"/>
      <c r="AJ3" s="513"/>
      <c r="AK3" s="518" t="s">
        <v>144</v>
      </c>
      <c r="AL3" s="519"/>
      <c r="AM3" s="519"/>
      <c r="AN3" s="520"/>
      <c r="AO3" s="511" t="s">
        <v>145</v>
      </c>
      <c r="AP3" s="512"/>
      <c r="AQ3" s="512"/>
      <c r="AR3" s="513"/>
      <c r="AS3" s="518" t="s">
        <v>146</v>
      </c>
      <c r="AT3" s="519"/>
      <c r="AU3" s="519"/>
      <c r="AV3" s="520"/>
      <c r="AW3" s="511" t="s">
        <v>147</v>
      </c>
      <c r="AX3" s="512"/>
      <c r="AY3" s="512"/>
      <c r="AZ3" s="513"/>
      <c r="BA3" s="518" t="s">
        <v>148</v>
      </c>
      <c r="BB3" s="519"/>
      <c r="BC3" s="519"/>
      <c r="BD3" s="520"/>
      <c r="BE3" s="511" t="s">
        <v>149</v>
      </c>
      <c r="BF3" s="512"/>
      <c r="BG3" s="512"/>
      <c r="BH3" s="513"/>
      <c r="BI3" s="518" t="s">
        <v>150</v>
      </c>
      <c r="BJ3" s="519"/>
      <c r="BK3" s="519"/>
      <c r="BL3" s="520"/>
      <c r="BM3" s="511" t="s">
        <v>151</v>
      </c>
      <c r="BN3" s="512"/>
      <c r="BO3" s="512"/>
      <c r="BP3" s="513"/>
      <c r="CU3" s="46"/>
    </row>
    <row r="4" spans="1:103" s="28" customFormat="1" x14ac:dyDescent="0.3">
      <c r="A4" s="45"/>
      <c r="B4" s="47" t="s">
        <v>152</v>
      </c>
      <c r="C4" s="47" t="s">
        <v>153</v>
      </c>
      <c r="D4" s="47" t="s">
        <v>154</v>
      </c>
      <c r="E4" s="47" t="s">
        <v>155</v>
      </c>
      <c r="F4" s="47" t="s">
        <v>156</v>
      </c>
      <c r="G4" s="47" t="s">
        <v>157</v>
      </c>
      <c r="H4" s="47" t="s">
        <v>158</v>
      </c>
      <c r="I4" s="47" t="s">
        <v>159</v>
      </c>
      <c r="J4" s="47" t="s">
        <v>160</v>
      </c>
      <c r="K4" s="47" t="s">
        <v>161</v>
      </c>
      <c r="L4" s="47" t="s">
        <v>162</v>
      </c>
      <c r="M4" s="47" t="s">
        <v>163</v>
      </c>
      <c r="N4" s="47" t="s">
        <v>134</v>
      </c>
      <c r="O4" s="47" t="s">
        <v>164</v>
      </c>
      <c r="P4" s="47" t="s">
        <v>165</v>
      </c>
      <c r="Q4" s="47" t="s">
        <v>135</v>
      </c>
      <c r="R4" s="48" t="s">
        <v>166</v>
      </c>
      <c r="S4" s="48" t="s">
        <v>167</v>
      </c>
      <c r="T4" s="48" t="s">
        <v>168</v>
      </c>
      <c r="U4" s="48" t="s">
        <v>169</v>
      </c>
      <c r="V4" s="48" t="s">
        <v>170</v>
      </c>
      <c r="W4" s="48" t="s">
        <v>171</v>
      </c>
      <c r="X4" s="48" t="s">
        <v>172</v>
      </c>
      <c r="Y4" s="48" t="s">
        <v>173</v>
      </c>
      <c r="Z4" s="48" t="s">
        <v>174</v>
      </c>
      <c r="AA4" s="48" t="s">
        <v>175</v>
      </c>
      <c r="AB4" s="48" t="s">
        <v>176</v>
      </c>
      <c r="AC4" s="49" t="s">
        <v>177</v>
      </c>
      <c r="AD4" s="49" t="s">
        <v>178</v>
      </c>
      <c r="AE4" s="49" t="s">
        <v>179</v>
      </c>
      <c r="AF4" s="49" t="s">
        <v>180</v>
      </c>
      <c r="AG4" s="50" t="s">
        <v>181</v>
      </c>
      <c r="AH4" s="50" t="s">
        <v>182</v>
      </c>
      <c r="AI4" s="50" t="s">
        <v>183</v>
      </c>
      <c r="AJ4" s="50" t="s">
        <v>184</v>
      </c>
      <c r="AK4" s="49" t="s">
        <v>185</v>
      </c>
      <c r="AL4" s="49" t="s">
        <v>186</v>
      </c>
      <c r="AM4" s="49" t="s">
        <v>187</v>
      </c>
      <c r="AN4" s="49" t="s">
        <v>188</v>
      </c>
      <c r="AO4" s="50" t="s">
        <v>189</v>
      </c>
      <c r="AP4" s="50" t="s">
        <v>190</v>
      </c>
      <c r="AQ4" s="50" t="s">
        <v>191</v>
      </c>
      <c r="AR4" s="50" t="s">
        <v>192</v>
      </c>
      <c r="AS4" s="49" t="s">
        <v>193</v>
      </c>
      <c r="AT4" s="49" t="s">
        <v>194</v>
      </c>
      <c r="AU4" s="49" t="s">
        <v>195</v>
      </c>
      <c r="AV4" s="49" t="s">
        <v>196</v>
      </c>
      <c r="AW4" s="50" t="s">
        <v>197</v>
      </c>
      <c r="AX4" s="50" t="s">
        <v>198</v>
      </c>
      <c r="AY4" s="50" t="s">
        <v>199</v>
      </c>
      <c r="AZ4" s="50" t="s">
        <v>200</v>
      </c>
      <c r="BA4" s="49" t="s">
        <v>201</v>
      </c>
      <c r="BB4" s="49" t="s">
        <v>202</v>
      </c>
      <c r="BC4" s="49" t="s">
        <v>203</v>
      </c>
      <c r="BD4" s="49" t="s">
        <v>204</v>
      </c>
      <c r="BE4" s="50" t="s">
        <v>205</v>
      </c>
      <c r="BF4" s="50" t="s">
        <v>206</v>
      </c>
      <c r="BG4" s="50" t="s">
        <v>207</v>
      </c>
      <c r="BH4" s="50" t="s">
        <v>208</v>
      </c>
      <c r="BI4" s="49" t="s">
        <v>209</v>
      </c>
      <c r="BJ4" s="49" t="s">
        <v>210</v>
      </c>
      <c r="BK4" s="49" t="s">
        <v>211</v>
      </c>
      <c r="BL4" s="49" t="s">
        <v>212</v>
      </c>
      <c r="BM4" s="50" t="s">
        <v>213</v>
      </c>
      <c r="BN4" s="50" t="s">
        <v>214</v>
      </c>
      <c r="BO4" s="50" t="s">
        <v>215</v>
      </c>
      <c r="BP4" s="50" t="s">
        <v>216</v>
      </c>
      <c r="CT4" s="28">
        <f ca="1">MAX(CT5:CT24)</f>
        <v>1</v>
      </c>
      <c r="CU4" s="51" t="s">
        <v>217</v>
      </c>
      <c r="CV4" s="51" t="s">
        <v>218</v>
      </c>
    </row>
    <row r="5" spans="1:103" x14ac:dyDescent="0.3">
      <c r="A5" s="52">
        <v>56</v>
      </c>
      <c r="B5" s="53" t="str">
        <f>IF($A5="-","-",VLOOKUP($A5,[2]Controle!$A$6:$BP$215,B$2,FALSE))</f>
        <v>E.TH.LQ-001</v>
      </c>
      <c r="C5" s="53" t="str">
        <f>IF($A5="-","-",VLOOKUP($A5,[2]Controle!$A$6:$BP$215,C$2,FALSE))</f>
        <v>Termohigrômetro Digital</v>
      </c>
      <c r="D5" s="53" t="str">
        <f>IF($A5="-","-",VLOOKUP($A5,[2]Controle!$A$6:$BP$215,D$2,FALSE))</f>
        <v>Elus</v>
      </c>
      <c r="E5" s="53" t="str">
        <f>IF($A5="-","-",VLOOKUP($A5,[2]Controle!$A$6:$BP$215,E$2,FALSE))</f>
        <v>RBC - CAL 0439</v>
      </c>
      <c r="F5" s="53" t="str">
        <f>IF($A5="-","-",VLOOKUP($A5,[2]Controle!$A$6:$BP$215,F$2,FALSE))</f>
        <v>E0397A/25</v>
      </c>
      <c r="G5" s="54">
        <f>IF($A5="-","-",VLOOKUP($A5,[2]Controle!$A$6:$BP$215,G$2,FALSE))</f>
        <v>45836</v>
      </c>
      <c r="H5" s="55">
        <f>IF($A5="-","-",VLOOKUP($A5,[2]Controle!$A$6:$BP$215,H$2,FALSE))</f>
        <v>46203</v>
      </c>
      <c r="I5" s="53" t="str">
        <f>IF($A5="-","-",VLOOKUP($A5,[2]Controle!$A$6:$BP$215,I$2,FALSE))</f>
        <v>°C</v>
      </c>
      <c r="J5" s="53" t="str">
        <f>IF($A5="-","-",VLOOKUP($A5,[2]Controle!$A$6:$BP$215,J$2,FALSE))</f>
        <v>OUT</v>
      </c>
      <c r="K5" s="53" t="str">
        <f>IF($A5="-","-",VLOOKUP($A5,[2]Controle!$A$6:$BP$215,K$2,FALSE))</f>
        <v>NA</v>
      </c>
      <c r="L5" s="53">
        <f>IF($A5="-","-",VLOOKUP($A5,[2]Controle!$A$6:$BP$215,L$2,FALSE))</f>
        <v>15</v>
      </c>
      <c r="M5" s="53">
        <f>IF($A5="-","-",VLOOKUP($A5,[2]Controle!$A$6:$BP$215,M$2,FALSE))</f>
        <v>35</v>
      </c>
      <c r="N5" s="53">
        <f>IF($A5="-","-",VLOOKUP($A5,[2]Controle!$A$6:$BP$215,N$2,FALSE))</f>
        <v>0.1</v>
      </c>
      <c r="O5" s="53">
        <f>IF($A5="-","-",VLOOKUP($A5,[2]Controle!$A$6:$BP$215,O$2,FALSE))</f>
        <v>0</v>
      </c>
      <c r="P5" s="53">
        <f>IF($A5="-","-",VLOOKUP($A5,[2]Controle!$A$6:$BP$215,P$2,FALSE))</f>
        <v>0.1</v>
      </c>
      <c r="Q5" s="53">
        <f>IF($A5="-","-",VLOOKUP($A5,[2]Controle!$A$6:$BP$215,Q$2,FALSE))</f>
        <v>0.10000000000000142</v>
      </c>
      <c r="R5" s="53">
        <f>IF($A5="-","-",VLOOKUP($A5,[2]Controle!$A$6:$BP$215,R$2,FALSE))</f>
        <v>0</v>
      </c>
      <c r="S5" s="53">
        <f>IF($A5="-","-",VLOOKUP($A5,[2]Controle!$A$6:$BP$215,S$2,FALSE))</f>
        <v>1</v>
      </c>
      <c r="T5" s="53">
        <f>IF($A5="-","-",VLOOKUP($A5,[2]Controle!$A$6:$BP$215,T$2,FALSE))</f>
        <v>0</v>
      </c>
      <c r="U5" s="53">
        <f>IF($A5="-","-",VLOOKUP($A5,[2]Controle!$A$6:$BP$215,U$2,FALSE))</f>
        <v>0</v>
      </c>
      <c r="V5" s="53">
        <f>IF($A5="-","-",VLOOKUP($A5,[2]Controle!$A$6:$BP$215,V$2,FALSE))</f>
        <v>0</v>
      </c>
      <c r="W5" s="53">
        <f>IF($A5="-","-",VLOOKUP($A5,[2]Controle!$A$6:$BP$215,W$2,FALSE))</f>
        <v>0</v>
      </c>
      <c r="X5" s="53">
        <f>IF($A5="-","-",VLOOKUP($A5,[2]Controle!$A$6:$BP$215,X$2,FALSE))</f>
        <v>0</v>
      </c>
      <c r="Y5" s="53">
        <f>IF($A5="-","-",VLOOKUP($A5,[2]Controle!$A$6:$BP$215,Y$2,FALSE))</f>
        <v>0</v>
      </c>
      <c r="Z5" s="53">
        <f>IF($A5="-","-",VLOOKUP($A5,[2]Controle!$A$6:$BP$215,Z$2,FALSE))</f>
        <v>0</v>
      </c>
      <c r="AA5" s="53">
        <f>IF($A5="-","-",VLOOKUP($A5,[2]Controle!$A$6:$BP$215,AA$2,FALSE))</f>
        <v>1.0000000000000002</v>
      </c>
      <c r="AB5" s="53">
        <f>IF($A5="-","-",VLOOKUP($A5,[2]Controle!$A$6:$BP$215,AB$2,FALSE))</f>
        <v>-7.1054273576010019E-15</v>
      </c>
      <c r="AC5" s="53">
        <f>IF($A5="-","-",VLOOKUP($A5,[2]Controle!$A$6:$BP$215,AC$2,FALSE))</f>
        <v>15</v>
      </c>
      <c r="AD5" s="53">
        <f>IF($A5="-","-",VLOOKUP($A5,[2]Controle!$A$6:$BP$215,AD$2,FALSE))</f>
        <v>0.1</v>
      </c>
      <c r="AE5" s="53">
        <f>IF($A5="-","-",VLOOKUP($A5,[2]Controle!$A$6:$BP$215,AE$2,FALSE))</f>
        <v>2</v>
      </c>
      <c r="AF5" s="53">
        <f>IF($A5="-","-",VLOOKUP($A5,[2]Controle!$A$6:$BP$215,AF$2,FALSE))</f>
        <v>1000000</v>
      </c>
      <c r="AG5" s="53">
        <f>IF($A5="-","-",VLOOKUP($A5,[2]Controle!$A$6:$BP$215,AG$2,FALSE))</f>
        <v>25</v>
      </c>
      <c r="AH5" s="53">
        <f>IF($A5="-","-",VLOOKUP($A5,[2]Controle!$A$6:$BP$215,AH$2,FALSE))</f>
        <v>0.1</v>
      </c>
      <c r="AI5" s="53">
        <f>IF($A5="-","-",VLOOKUP($A5,[2]Controle!$A$6:$BP$215,AI$2,FALSE))</f>
        <v>2</v>
      </c>
      <c r="AJ5" s="53">
        <f>IF($A5="-","-",VLOOKUP($A5,[2]Controle!$A$6:$BP$215,AJ$2,FALSE))</f>
        <v>1000000</v>
      </c>
      <c r="AK5" s="53">
        <f>IF($A5="-","-",VLOOKUP($A5,[2]Controle!$A$6:$BP$215,AK$2,FALSE))</f>
        <v>35</v>
      </c>
      <c r="AL5" s="53">
        <f>IF($A5="-","-",VLOOKUP($A5,[2]Controle!$A$6:$BP$215,AL$2,FALSE))</f>
        <v>0.1</v>
      </c>
      <c r="AM5" s="53">
        <f>IF($A5="-","-",VLOOKUP($A5,[2]Controle!$A$6:$BP$215,AM$2,FALSE))</f>
        <v>2</v>
      </c>
      <c r="AN5" s="53">
        <f>IF($A5="-","-",VLOOKUP($A5,[2]Controle!$A$6:$BP$215,AN$2,FALSE))</f>
        <v>1000000</v>
      </c>
      <c r="AO5" s="53" t="str">
        <f>IF($A5="-","-",VLOOKUP($A5,[2]Controle!$A$6:$BP$215,AO$2,FALSE))</f>
        <v>-</v>
      </c>
      <c r="AP5" s="53" t="str">
        <f>IF($A5="-","-",VLOOKUP($A5,[2]Controle!$A$6:$BP$215,AP$2,FALSE))</f>
        <v>-</v>
      </c>
      <c r="AQ5" s="53" t="str">
        <f>IF($A5="-","-",VLOOKUP($A5,[2]Controle!$A$6:$BP$215,AQ$2,FALSE))</f>
        <v>-</v>
      </c>
      <c r="AR5" s="53" t="str">
        <f>IF($A5="-","-",VLOOKUP($A5,[2]Controle!$A$6:$BP$215,AR$2,FALSE))</f>
        <v>-</v>
      </c>
      <c r="AS5" s="53" t="str">
        <f>IF($A5="-","-",VLOOKUP($A5,[2]Controle!$A$6:$BP$215,AS$2,FALSE))</f>
        <v>-</v>
      </c>
      <c r="AT5" s="53" t="str">
        <f>IF($A5="-","-",VLOOKUP($A5,[2]Controle!$A$6:$BP$215,AT$2,FALSE))</f>
        <v>-</v>
      </c>
      <c r="AU5" s="53" t="str">
        <f>IF($A5="-","-",VLOOKUP($A5,[2]Controle!$A$6:$BP$215,AU$2,FALSE))</f>
        <v>-</v>
      </c>
      <c r="AV5" s="53" t="str">
        <f>IF($A5="-","-",VLOOKUP($A5,[2]Controle!$A$6:$BP$215,AV$2,FALSE))</f>
        <v>-</v>
      </c>
      <c r="AW5" s="53" t="str">
        <f>IF($A5="-","-",VLOOKUP($A5,[2]Controle!$A$6:$BP$215,AW$2,FALSE))</f>
        <v>-</v>
      </c>
      <c r="AX5" s="53" t="str">
        <f>IF($A5="-","-",VLOOKUP($A5,[2]Controle!$A$6:$BP$215,AX$2,FALSE))</f>
        <v>-</v>
      </c>
      <c r="AY5" s="53" t="str">
        <f>IF($A5="-","-",VLOOKUP($A5,[2]Controle!$A$6:$BP$215,AY$2,FALSE))</f>
        <v>-</v>
      </c>
      <c r="AZ5" s="53" t="str">
        <f>IF($A5="-","-",VLOOKUP($A5,[2]Controle!$A$6:$BP$215,AZ$2,FALSE))</f>
        <v>-</v>
      </c>
      <c r="BA5" s="53" t="str">
        <f>IF($A5="-","-",VLOOKUP($A5,[2]Controle!$A$6:$BP$215,BA$2,FALSE))</f>
        <v>-</v>
      </c>
      <c r="BB5" s="53" t="str">
        <f>IF($A5="-","-",VLOOKUP($A5,[2]Controle!$A$6:$BP$215,BB$2,FALSE))</f>
        <v>-</v>
      </c>
      <c r="BC5" s="53" t="str">
        <f>IF($A5="-","-",VLOOKUP($A5,[2]Controle!$A$6:$BP$215,BC$2,FALSE))</f>
        <v>-</v>
      </c>
      <c r="BD5" s="53" t="str">
        <f>IF($A5="-","-",VLOOKUP($A5,[2]Controle!$A$6:$BP$215,BD$2,FALSE))</f>
        <v>-</v>
      </c>
      <c r="BE5" s="53" t="str">
        <f>IF($A5="-","-",VLOOKUP($A5,[2]Controle!$A$6:$BP$215,BE$2,FALSE))</f>
        <v>-</v>
      </c>
      <c r="BF5" s="53" t="str">
        <f>IF($A5="-","-",VLOOKUP($A5,[2]Controle!$A$6:$BP$215,BF$2,FALSE))</f>
        <v>-</v>
      </c>
      <c r="BG5" s="53" t="str">
        <f>IF($A5="-","-",VLOOKUP($A5,[2]Controle!$A$6:$BP$215,BG$2,FALSE))</f>
        <v>-</v>
      </c>
      <c r="BH5" s="53" t="str">
        <f>IF($A5="-","-",VLOOKUP($A5,[2]Controle!$A$6:$BP$215,BH$2,FALSE))</f>
        <v>-</v>
      </c>
      <c r="BI5" s="53" t="str">
        <f>IF($A5="-","-",VLOOKUP($A5,[2]Controle!$A$6:$BP$215,BI$2,FALSE))</f>
        <v>-</v>
      </c>
      <c r="BJ5" s="53" t="str">
        <f>IF($A5="-","-",VLOOKUP($A5,[2]Controle!$A$6:$BP$215,BJ$2,FALSE))</f>
        <v>-</v>
      </c>
      <c r="BK5" s="53" t="str">
        <f>IF($A5="-","-",VLOOKUP($A5,[2]Controle!$A$6:$BP$215,BK$2,FALSE))</f>
        <v>-</v>
      </c>
      <c r="BL5" s="53" t="str">
        <f>IF($A5="-","-",VLOOKUP($A5,[2]Controle!$A$6:$BP$215,BL$2,FALSE))</f>
        <v>-</v>
      </c>
      <c r="BM5" s="53" t="str">
        <f>IF($A5="-","-",VLOOKUP($A5,[2]Controle!$A$6:$BP$215,BM$2,FALSE))</f>
        <v>-</v>
      </c>
      <c r="BN5" s="53" t="str">
        <f>IF($A5="-","-",VLOOKUP($A5,[2]Controle!$A$6:$BP$215,BN$2,FALSE))</f>
        <v>-</v>
      </c>
      <c r="BO5" s="53" t="str">
        <f>IF($A5="-","-",VLOOKUP($A5,[2]Controle!$A$6:$BP$215,BO$2,FALSE))</f>
        <v>-</v>
      </c>
      <c r="BP5" s="53" t="str">
        <f>IF($A5="-","-",VLOOKUP($A5,[2]Controle!$A$6:$BP$215,BP$2,FALSE))</f>
        <v>-</v>
      </c>
      <c r="CT5" s="41">
        <f ca="1">IF(CV5="-",0,1)</f>
        <v>1</v>
      </c>
      <c r="CU5" s="53" t="str">
        <f ca="1">IF(CW5="-","-",IF($G$1&lt;=H5,"VÁLIDO","VENCIDO"))</f>
        <v>VÁLIDO</v>
      </c>
      <c r="CV5" s="53" t="str">
        <f ca="1">IF(CW5="-","-",IF(CY5=$CY$1,IF(CU5="VENCIDO","-",IF(OR(J5="IN",J5="OUT"),CONCATENATE(B5," (",J5,")"),B5)),"-"))</f>
        <v>E.TH.LQ-001 (OUT)</v>
      </c>
      <c r="CW5" s="53">
        <f>A5</f>
        <v>56</v>
      </c>
      <c r="CY5" s="41" t="str">
        <f>LEFT(B5,1)</f>
        <v>E</v>
      </c>
    </row>
    <row r="6" spans="1:103" x14ac:dyDescent="0.3">
      <c r="A6" s="56">
        <v>101</v>
      </c>
      <c r="B6" s="53" t="str">
        <f>IF($A6="-","-",VLOOKUP($A6,[2]Controle!$A$6:$BP$215,B$2,FALSE))</f>
        <v>M.TH.FS-001</v>
      </c>
      <c r="C6" s="53" t="str">
        <f>IF($A6="-","-",VLOOKUP($A6,[2]Controle!$A$6:$BP$215,C$2,FALSE))</f>
        <v>Termohigrômetro Digital</v>
      </c>
      <c r="D6" s="53" t="str">
        <f>IF($A6="-","-",VLOOKUP($A6,[2]Controle!$A$6:$BP$215,D$2,FALSE))</f>
        <v>Elus</v>
      </c>
      <c r="E6" s="53" t="str">
        <f>IF($A6="-","-",VLOOKUP($A6,[2]Controle!$A$6:$BP$215,E$2,FALSE))</f>
        <v>RBC - CAL 0439</v>
      </c>
      <c r="F6" s="53" t="str">
        <f>IF($A6="-","-",VLOOKUP($A6,[2]Controle!$A$6:$BP$215,F$2,FALSE))</f>
        <v>E0307/24</v>
      </c>
      <c r="G6" s="54">
        <f>IF($A6="-","-",VLOOKUP($A6,[2]Controle!$A$6:$BP$215,G$2,FALSE))</f>
        <v>45520</v>
      </c>
      <c r="H6" s="55">
        <f>IF($A6="-","-",VLOOKUP($A6,[2]Controle!$A$6:$BP$215,H$2,FALSE))</f>
        <v>45899</v>
      </c>
      <c r="I6" s="53" t="str">
        <f>IF($A6="-","-",VLOOKUP($A6,[2]Controle!$A$6:$BP$215,I$2,FALSE))</f>
        <v>°C</v>
      </c>
      <c r="J6" s="53" t="str">
        <f>IF($A6="-","-",VLOOKUP($A6,[2]Controle!$A$6:$BP$215,J$2,FALSE))</f>
        <v>IN</v>
      </c>
      <c r="K6" s="53" t="str">
        <f>IF($A6="-","-",VLOOKUP($A6,[2]Controle!$A$6:$BP$215,K$2,FALSE))</f>
        <v>NA</v>
      </c>
      <c r="L6" s="53">
        <f>IF($A6="-","-",VLOOKUP($A6,[2]Controle!$A$6:$BP$215,L$2,FALSE))</f>
        <v>15</v>
      </c>
      <c r="M6" s="53">
        <f>IF($A6="-","-",VLOOKUP($A6,[2]Controle!$A$6:$BP$215,M$2,FALSE))</f>
        <v>30</v>
      </c>
      <c r="N6" s="53">
        <f>IF($A6="-","-",VLOOKUP($A6,[2]Controle!$A$6:$BP$215,N$2,FALSE))</f>
        <v>0.1</v>
      </c>
      <c r="O6" s="53">
        <f>IF($A6="-","-",VLOOKUP($A6,[2]Controle!$A$6:$BP$215,O$2,FALSE))</f>
        <v>0.10000000000000142</v>
      </c>
      <c r="P6" s="53">
        <f>IF($A6="-","-",VLOOKUP($A6,[2]Controle!$A$6:$BP$215,P$2,FALSE))</f>
        <v>0.3</v>
      </c>
      <c r="Q6" s="53">
        <f>IF($A6="-","-",VLOOKUP($A6,[2]Controle!$A$6:$BP$215,Q$2,FALSE))</f>
        <v>0.10000000000000142</v>
      </c>
      <c r="R6" s="53">
        <f>IF($A6="-","-",VLOOKUP($A6,[2]Controle!$A$6:$BP$215,R$2,FALSE))</f>
        <v>4.2898337756977822E-2</v>
      </c>
      <c r="S6" s="53">
        <f>IF($A6="-","-",VLOOKUP($A6,[2]Controle!$A$6:$BP$215,S$2,FALSE))</f>
        <v>2</v>
      </c>
      <c r="T6" s="53">
        <f>IF($A6="-","-",VLOOKUP($A6,[2]Controle!$A$6:$BP$215,T$2,FALSE))</f>
        <v>0</v>
      </c>
      <c r="U6" s="53">
        <f>IF($A6="-","-",VLOOKUP($A6,[2]Controle!$A$6:$BP$215,U$2,FALSE))</f>
        <v>0</v>
      </c>
      <c r="V6" s="53">
        <f>IF($A6="-","-",VLOOKUP($A6,[2]Controle!$A$6:$BP$215,V$2,FALSE))</f>
        <v>0</v>
      </c>
      <c r="W6" s="53">
        <f>IF($A6="-","-",VLOOKUP($A6,[2]Controle!$A$6:$BP$215,W$2,FALSE))</f>
        <v>0</v>
      </c>
      <c r="X6" s="53">
        <f>IF($A6="-","-",VLOOKUP($A6,[2]Controle!$A$6:$BP$215,X$2,FALSE))</f>
        <v>0</v>
      </c>
      <c r="Y6" s="53">
        <f>IF($A6="-","-",VLOOKUP($A6,[2]Controle!$A$6:$BP$215,Y$2,FALSE))</f>
        <v>0</v>
      </c>
      <c r="Z6" s="53">
        <f>IF($A6="-","-",VLOOKUP($A6,[2]Controle!$A$6:$BP$215,Z$2,FALSE))</f>
        <v>1.9294835450063088E-3</v>
      </c>
      <c r="AA6" s="53">
        <f>IF($A6="-","-",VLOOKUP($A6,[2]Controle!$A$6:$BP$215,AA$2,FALSE))</f>
        <v>0.90126285331072509</v>
      </c>
      <c r="AB6" s="53">
        <f>IF($A6="-","-",VLOOKUP($A6,[2]Controle!$A$6:$BP$215,AB$2,FALSE))</f>
        <v>1.1336175069317871</v>
      </c>
      <c r="AC6" s="53">
        <f>IF($A6="-","-",VLOOKUP($A6,[2]Controle!$A$6:$BP$215,AC$2,FALSE))</f>
        <v>15</v>
      </c>
      <c r="AD6" s="53">
        <f>IF($A6="-","-",VLOOKUP($A6,[2]Controle!$A$6:$BP$215,AD$2,FALSE))</f>
        <v>0.3</v>
      </c>
      <c r="AE6" s="53">
        <f>IF($A6="-","-",VLOOKUP($A6,[2]Controle!$A$6:$BP$215,AE$2,FALSE))</f>
        <v>2</v>
      </c>
      <c r="AF6" s="53">
        <f>IF($A6="-","-",VLOOKUP($A6,[2]Controle!$A$6:$BP$215,AF$2,FALSE))</f>
        <v>1000000</v>
      </c>
      <c r="AG6" s="53">
        <f>IF($A6="-","-",VLOOKUP($A6,[2]Controle!$A$6:$BP$215,AG$2,FALSE))</f>
        <v>20</v>
      </c>
      <c r="AH6" s="53">
        <f>IF($A6="-","-",VLOOKUP($A6,[2]Controle!$A$6:$BP$215,AH$2,FALSE))</f>
        <v>0.3</v>
      </c>
      <c r="AI6" s="53">
        <f>IF($A6="-","-",VLOOKUP($A6,[2]Controle!$A$6:$BP$215,AI$2,FALSE))</f>
        <v>2</v>
      </c>
      <c r="AJ6" s="53">
        <f>IF($A6="-","-",VLOOKUP($A6,[2]Controle!$A$6:$BP$215,AJ$2,FALSE))</f>
        <v>1000000</v>
      </c>
      <c r="AK6" s="53">
        <f>IF($A6="-","-",VLOOKUP($A6,[2]Controle!$A$6:$BP$215,AK$2,FALSE))</f>
        <v>25</v>
      </c>
      <c r="AL6" s="53">
        <f>IF($A6="-","-",VLOOKUP($A6,[2]Controle!$A$6:$BP$215,AL$2,FALSE))</f>
        <v>0.3</v>
      </c>
      <c r="AM6" s="53">
        <f>IF($A6="-","-",VLOOKUP($A6,[2]Controle!$A$6:$BP$215,AM$2,FALSE))</f>
        <v>2</v>
      </c>
      <c r="AN6" s="53">
        <f>IF($A6="-","-",VLOOKUP($A6,[2]Controle!$A$6:$BP$215,AN$2,FALSE))</f>
        <v>1000000</v>
      </c>
      <c r="AO6" s="53">
        <f>IF($A6="-","-",VLOOKUP($A6,[2]Controle!$A$6:$BP$215,AO$2,FALSE))</f>
        <v>30</v>
      </c>
      <c r="AP6" s="53">
        <f>IF($A6="-","-",VLOOKUP($A6,[2]Controle!$A$6:$BP$215,AP$2,FALSE))</f>
        <v>0.3</v>
      </c>
      <c r="AQ6" s="53">
        <f>IF($A6="-","-",VLOOKUP($A6,[2]Controle!$A$6:$BP$215,AQ$2,FALSE))</f>
        <v>2</v>
      </c>
      <c r="AR6" s="53">
        <f>IF($A6="-","-",VLOOKUP($A6,[2]Controle!$A$6:$BP$215,AR$2,FALSE))</f>
        <v>1000000</v>
      </c>
      <c r="AS6" s="53" t="str">
        <f>IF($A6="-","-",VLOOKUP($A6,[2]Controle!$A$6:$BP$215,AS$2,FALSE))</f>
        <v>-</v>
      </c>
      <c r="AT6" s="53" t="str">
        <f>IF($A6="-","-",VLOOKUP($A6,[2]Controle!$A$6:$BP$215,AT$2,FALSE))</f>
        <v>-</v>
      </c>
      <c r="AU6" s="53" t="str">
        <f>IF($A6="-","-",VLOOKUP($A6,[2]Controle!$A$6:$BP$215,AU$2,FALSE))</f>
        <v>-</v>
      </c>
      <c r="AV6" s="53" t="str">
        <f>IF($A6="-","-",VLOOKUP($A6,[2]Controle!$A$6:$BP$215,AV$2,FALSE))</f>
        <v>-</v>
      </c>
      <c r="AW6" s="53" t="str">
        <f>IF($A6="-","-",VLOOKUP($A6,[2]Controle!$A$6:$BP$215,AW$2,FALSE))</f>
        <v>-</v>
      </c>
      <c r="AX6" s="53" t="str">
        <f>IF($A6="-","-",VLOOKUP($A6,[2]Controle!$A$6:$BP$215,AX$2,FALSE))</f>
        <v>-</v>
      </c>
      <c r="AY6" s="53" t="str">
        <f>IF($A6="-","-",VLOOKUP($A6,[2]Controle!$A$6:$BP$215,AY$2,FALSE))</f>
        <v>-</v>
      </c>
      <c r="AZ6" s="53" t="str">
        <f>IF($A6="-","-",VLOOKUP($A6,[2]Controle!$A$6:$BP$215,AZ$2,FALSE))</f>
        <v>-</v>
      </c>
      <c r="BA6" s="53" t="str">
        <f>IF($A6="-","-",VLOOKUP($A6,[2]Controle!$A$6:$BP$215,BA$2,FALSE))</f>
        <v>-</v>
      </c>
      <c r="BB6" s="53" t="str">
        <f>IF($A6="-","-",VLOOKUP($A6,[2]Controle!$A$6:$BP$215,BB$2,FALSE))</f>
        <v>-</v>
      </c>
      <c r="BC6" s="53" t="str">
        <f>IF($A6="-","-",VLOOKUP($A6,[2]Controle!$A$6:$BP$215,BC$2,FALSE))</f>
        <v>-</v>
      </c>
      <c r="BD6" s="53" t="str">
        <f>IF($A6="-","-",VLOOKUP($A6,[2]Controle!$A$6:$BP$215,BD$2,FALSE))</f>
        <v>-</v>
      </c>
      <c r="BE6" s="53" t="str">
        <f>IF($A6="-","-",VLOOKUP($A6,[2]Controle!$A$6:$BP$215,BE$2,FALSE))</f>
        <v>-</v>
      </c>
      <c r="BF6" s="53" t="str">
        <f>IF($A6="-","-",VLOOKUP($A6,[2]Controle!$A$6:$BP$215,BF$2,FALSE))</f>
        <v>-</v>
      </c>
      <c r="BG6" s="53" t="str">
        <f>IF($A6="-","-",VLOOKUP($A6,[2]Controle!$A$6:$BP$215,BG$2,FALSE))</f>
        <v>-</v>
      </c>
      <c r="BH6" s="53" t="str">
        <f>IF($A6="-","-",VLOOKUP($A6,[2]Controle!$A$6:$BP$215,BH$2,FALSE))</f>
        <v>-</v>
      </c>
      <c r="BI6" s="53" t="str">
        <f>IF($A6="-","-",VLOOKUP($A6,[2]Controle!$A$6:$BP$215,BI$2,FALSE))</f>
        <v>-</v>
      </c>
      <c r="BJ6" s="53" t="str">
        <f>IF($A6="-","-",VLOOKUP($A6,[2]Controle!$A$6:$BP$215,BJ$2,FALSE))</f>
        <v>-</v>
      </c>
      <c r="BK6" s="53" t="str">
        <f>IF($A6="-","-",VLOOKUP($A6,[2]Controle!$A$6:$BP$215,BK$2,FALSE))</f>
        <v>-</v>
      </c>
      <c r="BL6" s="53" t="str">
        <f>IF($A6="-","-",VLOOKUP($A6,[2]Controle!$A$6:$BP$215,BL$2,FALSE))</f>
        <v>-</v>
      </c>
      <c r="BM6" s="53" t="str">
        <f>IF($A6="-","-",VLOOKUP($A6,[2]Controle!$A$6:$BP$215,BM$2,FALSE))</f>
        <v>-</v>
      </c>
      <c r="BN6" s="53" t="str">
        <f>IF($A6="-","-",VLOOKUP($A6,[2]Controle!$A$6:$BP$215,BN$2,FALSE))</f>
        <v>-</v>
      </c>
      <c r="BO6" s="53" t="str">
        <f>IF($A6="-","-",VLOOKUP($A6,[2]Controle!$A$6:$BP$215,BO$2,FALSE))</f>
        <v>-</v>
      </c>
      <c r="BP6" s="53" t="str">
        <f>IF($A6="-","-",VLOOKUP($A6,[2]Controle!$A$6:$BP$215,BP$2,FALSE))</f>
        <v>-</v>
      </c>
      <c r="CT6" s="41">
        <f>IF(CV6="-",0,MAX($CT5:CT$5)+1)</f>
        <v>0</v>
      </c>
      <c r="CU6" s="53" t="str">
        <f t="shared" ref="CU6:CU13" ca="1" si="2">IF(CW6="-","-",IF($G$1&lt;=H6,"VÁLIDO","VENCIDO"))</f>
        <v>VENCIDO</v>
      </c>
      <c r="CV6" s="53" t="str">
        <f t="shared" ref="CV6:CV24" si="3">IF(CW6="-","-",IF(CY6=$CY$1,IF(CU6="VENCIDO","-",IF(OR(J6="IN",J6="OUT"),CONCATENATE(B6," (",J6,")"),B6)),"-"))</f>
        <v>-</v>
      </c>
      <c r="CW6" s="53">
        <f t="shared" ref="CW6:CW13" si="4">A6</f>
        <v>101</v>
      </c>
      <c r="CY6" s="41" t="str">
        <f t="shared" ref="CY6:CY24" si="5">LEFT(B6,1)</f>
        <v>M</v>
      </c>
    </row>
    <row r="7" spans="1:103" x14ac:dyDescent="0.3">
      <c r="A7" s="56">
        <v>103</v>
      </c>
      <c r="B7" s="53" t="str">
        <f>IF($A7="-","-",VLOOKUP($A7,[2]Controle!$A$6:$BP$215,B$2,FALSE))</f>
        <v>M.TH.FS-002</v>
      </c>
      <c r="C7" s="53" t="str">
        <f>IF($A7="-","-",VLOOKUP($A7,[2]Controle!$A$6:$BP$215,C$2,FALSE))</f>
        <v>Termohigrômetro Digital</v>
      </c>
      <c r="D7" s="53" t="str">
        <f>IF($A7="-","-",VLOOKUP($A7,[2]Controle!$A$6:$BP$215,D$2,FALSE))</f>
        <v>Elus</v>
      </c>
      <c r="E7" s="53" t="str">
        <f>IF($A7="-","-",VLOOKUP($A7,[2]Controle!$A$6:$BP$215,E$2,FALSE))</f>
        <v>RBC - CAL 0439</v>
      </c>
      <c r="F7" s="53" t="str">
        <f>IF($A7="-","-",VLOOKUP($A7,[2]Controle!$A$6:$BP$215,F$2,FALSE))</f>
        <v>E0308/24</v>
      </c>
      <c r="G7" s="54">
        <f>IF($A7="-","-",VLOOKUP($A7,[2]Controle!$A$6:$BP$215,G$2,FALSE))</f>
        <v>45520</v>
      </c>
      <c r="H7" s="55">
        <f>IF($A7="-","-",VLOOKUP($A7,[2]Controle!$A$6:$BP$215,H$2,FALSE))</f>
        <v>45899</v>
      </c>
      <c r="I7" s="53" t="str">
        <f>IF($A7="-","-",VLOOKUP($A7,[2]Controle!$A$6:$BP$215,I$2,FALSE))</f>
        <v>°C</v>
      </c>
      <c r="J7" s="53" t="str">
        <f>IF($A7="-","-",VLOOKUP($A7,[2]Controle!$A$6:$BP$215,J$2,FALSE))</f>
        <v>IN</v>
      </c>
      <c r="K7" s="53" t="str">
        <f>IF($A7="-","-",VLOOKUP($A7,[2]Controle!$A$6:$BP$215,K$2,FALSE))</f>
        <v>NA</v>
      </c>
      <c r="L7" s="53">
        <f>IF($A7="-","-",VLOOKUP($A7,[2]Controle!$A$6:$BP$215,L$2,FALSE))</f>
        <v>15</v>
      </c>
      <c r="M7" s="53">
        <f>IF($A7="-","-",VLOOKUP($A7,[2]Controle!$A$6:$BP$215,M$2,FALSE))</f>
        <v>30</v>
      </c>
      <c r="N7" s="53">
        <f>IF($A7="-","-",VLOOKUP($A7,[2]Controle!$A$6:$BP$215,N$2,FALSE))</f>
        <v>0.1</v>
      </c>
      <c r="O7" s="53">
        <f>IF($A7="-","-",VLOOKUP($A7,[2]Controle!$A$6:$BP$215,O$2,FALSE))</f>
        <v>0.5</v>
      </c>
      <c r="P7" s="53">
        <f>IF($A7="-","-",VLOOKUP($A7,[2]Controle!$A$6:$BP$215,P$2,FALSE))</f>
        <v>0.3</v>
      </c>
      <c r="Q7" s="53">
        <f>IF($A7="-","-",VLOOKUP($A7,[2]Controle!$A$6:$BP$215,Q$2,FALSE))</f>
        <v>0.5</v>
      </c>
      <c r="R7" s="53">
        <f>IF($A7="-","-",VLOOKUP($A7,[2]Controle!$A$6:$BP$215,R$2,FALSE))</f>
        <v>4.9629729009010859E-3</v>
      </c>
      <c r="S7" s="53">
        <f>IF($A7="-","-",VLOOKUP($A7,[2]Controle!$A$6:$BP$215,S$2,FALSE))</f>
        <v>2</v>
      </c>
      <c r="T7" s="53">
        <f>IF($A7="-","-",VLOOKUP($A7,[2]Controle!$A$6:$BP$215,T$2,FALSE))</f>
        <v>0</v>
      </c>
      <c r="U7" s="53">
        <f>IF($A7="-","-",VLOOKUP($A7,[2]Controle!$A$6:$BP$215,U$2,FALSE))</f>
        <v>0</v>
      </c>
      <c r="V7" s="53">
        <f>IF($A7="-","-",VLOOKUP($A7,[2]Controle!$A$6:$BP$215,V$2,FALSE))</f>
        <v>0</v>
      </c>
      <c r="W7" s="53">
        <f>IF($A7="-","-",VLOOKUP($A7,[2]Controle!$A$6:$BP$215,W$2,FALSE))</f>
        <v>0</v>
      </c>
      <c r="X7" s="53">
        <f>IF($A7="-","-",VLOOKUP($A7,[2]Controle!$A$6:$BP$215,X$2,FALSE))</f>
        <v>0</v>
      </c>
      <c r="Y7" s="53">
        <f>IF($A7="-","-",VLOOKUP($A7,[2]Controle!$A$6:$BP$215,Y$2,FALSE))</f>
        <v>0</v>
      </c>
      <c r="Z7" s="53">
        <f>IF($A7="-","-",VLOOKUP($A7,[2]Controle!$A$6:$BP$215,Z$2,FALSE))</f>
        <v>3.5557203355094181E-3</v>
      </c>
      <c r="AA7" s="53">
        <f>IF($A7="-","-",VLOOKUP($A7,[2]Controle!$A$6:$BP$215,AA$2,FALSE))</f>
        <v>0.80281091629132095</v>
      </c>
      <c r="AB7" s="53">
        <f>IF($A7="-","-",VLOOKUP($A7,[2]Controle!$A$6:$BP$215,AB$2,FALSE))</f>
        <v>2.6126983349856325</v>
      </c>
      <c r="AC7" s="53">
        <f>IF($A7="-","-",VLOOKUP($A7,[2]Controle!$A$6:$BP$215,AC$2,FALSE))</f>
        <v>15</v>
      </c>
      <c r="AD7" s="53">
        <f>IF($A7="-","-",VLOOKUP($A7,[2]Controle!$A$6:$BP$215,AD$2,FALSE))</f>
        <v>0.3</v>
      </c>
      <c r="AE7" s="53">
        <f>IF($A7="-","-",VLOOKUP($A7,[2]Controle!$A$6:$BP$215,AE$2,FALSE))</f>
        <v>2</v>
      </c>
      <c r="AF7" s="53">
        <f>IF($A7="-","-",VLOOKUP($A7,[2]Controle!$A$6:$BP$215,AF$2,FALSE))</f>
        <v>1000000</v>
      </c>
      <c r="AG7" s="53">
        <f>IF($A7="-","-",VLOOKUP($A7,[2]Controle!$A$6:$BP$215,AG$2,FALSE))</f>
        <v>20</v>
      </c>
      <c r="AH7" s="53">
        <f>IF($A7="-","-",VLOOKUP($A7,[2]Controle!$A$6:$BP$215,AH$2,FALSE))</f>
        <v>0.3</v>
      </c>
      <c r="AI7" s="53">
        <f>IF($A7="-","-",VLOOKUP($A7,[2]Controle!$A$6:$BP$215,AI$2,FALSE))</f>
        <v>2</v>
      </c>
      <c r="AJ7" s="53">
        <f>IF($A7="-","-",VLOOKUP($A7,[2]Controle!$A$6:$BP$215,AJ$2,FALSE))</f>
        <v>1000000</v>
      </c>
      <c r="AK7" s="53">
        <f>IF($A7="-","-",VLOOKUP($A7,[2]Controle!$A$6:$BP$215,AK$2,FALSE))</f>
        <v>25</v>
      </c>
      <c r="AL7" s="53">
        <f>IF($A7="-","-",VLOOKUP($A7,[2]Controle!$A$6:$BP$215,AL$2,FALSE))</f>
        <v>0.3</v>
      </c>
      <c r="AM7" s="53">
        <f>IF($A7="-","-",VLOOKUP($A7,[2]Controle!$A$6:$BP$215,AM$2,FALSE))</f>
        <v>2</v>
      </c>
      <c r="AN7" s="53">
        <f>IF($A7="-","-",VLOOKUP($A7,[2]Controle!$A$6:$BP$215,AN$2,FALSE))</f>
        <v>1000000</v>
      </c>
      <c r="AO7" s="53">
        <f>IF($A7="-","-",VLOOKUP($A7,[2]Controle!$A$6:$BP$215,AO$2,FALSE))</f>
        <v>30</v>
      </c>
      <c r="AP7" s="53">
        <f>IF($A7="-","-",VLOOKUP($A7,[2]Controle!$A$6:$BP$215,AP$2,FALSE))</f>
        <v>0.3</v>
      </c>
      <c r="AQ7" s="53">
        <f>IF($A7="-","-",VLOOKUP($A7,[2]Controle!$A$6:$BP$215,AQ$2,FALSE))</f>
        <v>2</v>
      </c>
      <c r="AR7" s="53">
        <f>IF($A7="-","-",VLOOKUP($A7,[2]Controle!$A$6:$BP$215,AR$2,FALSE))</f>
        <v>1000000</v>
      </c>
      <c r="AS7" s="53" t="str">
        <f>IF($A7="-","-",VLOOKUP($A7,[2]Controle!$A$6:$BP$215,AS$2,FALSE))</f>
        <v>-</v>
      </c>
      <c r="AT7" s="53" t="str">
        <f>IF($A7="-","-",VLOOKUP($A7,[2]Controle!$A$6:$BP$215,AT$2,FALSE))</f>
        <v>-</v>
      </c>
      <c r="AU7" s="53" t="str">
        <f>IF($A7="-","-",VLOOKUP($A7,[2]Controle!$A$6:$BP$215,AU$2,FALSE))</f>
        <v>-</v>
      </c>
      <c r="AV7" s="53" t="str">
        <f>IF($A7="-","-",VLOOKUP($A7,[2]Controle!$A$6:$BP$215,AV$2,FALSE))</f>
        <v>-</v>
      </c>
      <c r="AW7" s="53" t="str">
        <f>IF($A7="-","-",VLOOKUP($A7,[2]Controle!$A$6:$BP$215,AW$2,FALSE))</f>
        <v>-</v>
      </c>
      <c r="AX7" s="53" t="str">
        <f>IF($A7="-","-",VLOOKUP($A7,[2]Controle!$A$6:$BP$215,AX$2,FALSE))</f>
        <v>-</v>
      </c>
      <c r="AY7" s="53" t="str">
        <f>IF($A7="-","-",VLOOKUP($A7,[2]Controle!$A$6:$BP$215,AY$2,FALSE))</f>
        <v>-</v>
      </c>
      <c r="AZ7" s="53" t="str">
        <f>IF($A7="-","-",VLOOKUP($A7,[2]Controle!$A$6:$BP$215,AZ$2,FALSE))</f>
        <v>-</v>
      </c>
      <c r="BA7" s="53" t="str">
        <f>IF($A7="-","-",VLOOKUP($A7,[2]Controle!$A$6:$BP$215,BA$2,FALSE))</f>
        <v>-</v>
      </c>
      <c r="BB7" s="53" t="str">
        <f>IF($A7="-","-",VLOOKUP($A7,[2]Controle!$A$6:$BP$215,BB$2,FALSE))</f>
        <v>-</v>
      </c>
      <c r="BC7" s="53" t="str">
        <f>IF($A7="-","-",VLOOKUP($A7,[2]Controle!$A$6:$BP$215,BC$2,FALSE))</f>
        <v>-</v>
      </c>
      <c r="BD7" s="53" t="str">
        <f>IF($A7="-","-",VLOOKUP($A7,[2]Controle!$A$6:$BP$215,BD$2,FALSE))</f>
        <v>-</v>
      </c>
      <c r="BE7" s="53" t="str">
        <f>IF($A7="-","-",VLOOKUP($A7,[2]Controle!$A$6:$BP$215,BE$2,FALSE))</f>
        <v>-</v>
      </c>
      <c r="BF7" s="53" t="str">
        <f>IF($A7="-","-",VLOOKUP($A7,[2]Controle!$A$6:$BP$215,BF$2,FALSE))</f>
        <v>-</v>
      </c>
      <c r="BG7" s="53" t="str">
        <f>IF($A7="-","-",VLOOKUP($A7,[2]Controle!$A$6:$BP$215,BG$2,FALSE))</f>
        <v>-</v>
      </c>
      <c r="BH7" s="53" t="str">
        <f>IF($A7="-","-",VLOOKUP($A7,[2]Controle!$A$6:$BP$215,BH$2,FALSE))</f>
        <v>-</v>
      </c>
      <c r="BI7" s="53" t="str">
        <f>IF($A7="-","-",VLOOKUP($A7,[2]Controle!$A$6:$BP$215,BI$2,FALSE))</f>
        <v>-</v>
      </c>
      <c r="BJ7" s="53" t="str">
        <f>IF($A7="-","-",VLOOKUP($A7,[2]Controle!$A$6:$BP$215,BJ$2,FALSE))</f>
        <v>-</v>
      </c>
      <c r="BK7" s="53" t="str">
        <f>IF($A7="-","-",VLOOKUP($A7,[2]Controle!$A$6:$BP$215,BK$2,FALSE))</f>
        <v>-</v>
      </c>
      <c r="BL7" s="53" t="str">
        <f>IF($A7="-","-",VLOOKUP($A7,[2]Controle!$A$6:$BP$215,BL$2,FALSE))</f>
        <v>-</v>
      </c>
      <c r="BM7" s="53" t="str">
        <f>IF($A7="-","-",VLOOKUP($A7,[2]Controle!$A$6:$BP$215,BM$2,FALSE))</f>
        <v>-</v>
      </c>
      <c r="BN7" s="53" t="str">
        <f>IF($A7="-","-",VLOOKUP($A7,[2]Controle!$A$6:$BP$215,BN$2,FALSE))</f>
        <v>-</v>
      </c>
      <c r="BO7" s="53" t="str">
        <f>IF($A7="-","-",VLOOKUP($A7,[2]Controle!$A$6:$BP$215,BO$2,FALSE))</f>
        <v>-</v>
      </c>
      <c r="BP7" s="53" t="str">
        <f>IF($A7="-","-",VLOOKUP($A7,[2]Controle!$A$6:$BP$215,BP$2,FALSE))</f>
        <v>-</v>
      </c>
      <c r="CT7" s="41">
        <f>IF(CV7="-",0,MAX($CT$5:CT6)+1)</f>
        <v>0</v>
      </c>
      <c r="CU7" s="53" t="str">
        <f t="shared" ca="1" si="2"/>
        <v>VENCIDO</v>
      </c>
      <c r="CV7" s="53" t="str">
        <f t="shared" si="3"/>
        <v>-</v>
      </c>
      <c r="CW7" s="53">
        <f t="shared" si="4"/>
        <v>103</v>
      </c>
      <c r="CY7" s="41" t="str">
        <f t="shared" si="5"/>
        <v>M</v>
      </c>
    </row>
    <row r="8" spans="1:103" x14ac:dyDescent="0.3">
      <c r="A8" s="56">
        <v>105</v>
      </c>
      <c r="B8" s="53" t="str">
        <f>IF($A8="-","-",VLOOKUP($A8,[2]Controle!$A$6:$BP$215,B$2,FALSE))</f>
        <v>M.TH.FS-003</v>
      </c>
      <c r="C8" s="53" t="str">
        <f>IF($A8="-","-",VLOOKUP($A8,[2]Controle!$A$6:$BP$215,C$2,FALSE))</f>
        <v>Termohigrômetro Digital</v>
      </c>
      <c r="D8" s="53" t="str">
        <f>IF($A8="-","-",VLOOKUP($A8,[2]Controle!$A$6:$BP$215,D$2,FALSE))</f>
        <v>Elus</v>
      </c>
      <c r="E8" s="53" t="str">
        <f>IF($A8="-","-",VLOOKUP($A8,[2]Controle!$A$6:$BP$215,E$2,FALSE))</f>
        <v>RBC - CAL 0439</v>
      </c>
      <c r="F8" s="53" t="str">
        <f>IF($A8="-","-",VLOOKUP($A8,[2]Controle!$A$6:$BP$215,F$2,FALSE))</f>
        <v>E0309/24</v>
      </c>
      <c r="G8" s="54">
        <f>IF($A8="-","-",VLOOKUP($A8,[2]Controle!$A$6:$BP$215,G$2,FALSE))</f>
        <v>45520</v>
      </c>
      <c r="H8" s="55">
        <f>IF($A8="-","-",VLOOKUP($A8,[2]Controle!$A$6:$BP$215,H$2,FALSE))</f>
        <v>45899</v>
      </c>
      <c r="I8" s="53" t="str">
        <f>IF($A8="-","-",VLOOKUP($A8,[2]Controle!$A$6:$BP$215,I$2,FALSE))</f>
        <v>°C</v>
      </c>
      <c r="J8" s="53" t="str">
        <f>IF($A8="-","-",VLOOKUP($A8,[2]Controle!$A$6:$BP$215,J$2,FALSE))</f>
        <v>IN</v>
      </c>
      <c r="K8" s="53" t="str">
        <f>IF($A8="-","-",VLOOKUP($A8,[2]Controle!$A$6:$BP$215,K$2,FALSE))</f>
        <v>NA</v>
      </c>
      <c r="L8" s="53">
        <f>IF($A8="-","-",VLOOKUP($A8,[2]Controle!$A$6:$BP$215,L$2,FALSE))</f>
        <v>15</v>
      </c>
      <c r="M8" s="53">
        <f>IF($A8="-","-",VLOOKUP($A8,[2]Controle!$A$6:$BP$215,M$2,FALSE))</f>
        <v>30</v>
      </c>
      <c r="N8" s="53">
        <f>IF($A8="-","-",VLOOKUP($A8,[2]Controle!$A$6:$BP$215,N$2,FALSE))</f>
        <v>0.1</v>
      </c>
      <c r="O8" s="53">
        <f>IF($A8="-","-",VLOOKUP($A8,[2]Controle!$A$6:$BP$215,O$2,FALSE))</f>
        <v>0.19999999999999929</v>
      </c>
      <c r="P8" s="53">
        <f>IF($A8="-","-",VLOOKUP($A8,[2]Controle!$A$6:$BP$215,P$2,FALSE))</f>
        <v>0.3</v>
      </c>
      <c r="Q8" s="53">
        <f>IF($A8="-","-",VLOOKUP($A8,[2]Controle!$A$6:$BP$215,Q$2,FALSE))</f>
        <v>0.19999999999999929</v>
      </c>
      <c r="R8" s="53">
        <f>IF($A8="-","-",VLOOKUP($A8,[2]Controle!$A$6:$BP$215,R$2,FALSE))</f>
        <v>1.2896299873511041E-3</v>
      </c>
      <c r="S8" s="53">
        <f>IF($A8="-","-",VLOOKUP($A8,[2]Controle!$A$6:$BP$215,S$2,FALSE))</f>
        <v>2</v>
      </c>
      <c r="T8" s="53">
        <f>IF($A8="-","-",VLOOKUP($A8,[2]Controle!$A$6:$BP$215,T$2,FALSE))</f>
        <v>0</v>
      </c>
      <c r="U8" s="53">
        <f>IF($A8="-","-",VLOOKUP($A8,[2]Controle!$A$6:$BP$215,U$2,FALSE))</f>
        <v>0</v>
      </c>
      <c r="V8" s="53">
        <f>IF($A8="-","-",VLOOKUP($A8,[2]Controle!$A$6:$BP$215,V$2,FALSE))</f>
        <v>0</v>
      </c>
      <c r="W8" s="53">
        <f>IF($A8="-","-",VLOOKUP($A8,[2]Controle!$A$6:$BP$215,W$2,FALSE))</f>
        <v>0</v>
      </c>
      <c r="X8" s="53">
        <f>IF($A8="-","-",VLOOKUP($A8,[2]Controle!$A$6:$BP$215,X$2,FALSE))</f>
        <v>0</v>
      </c>
      <c r="Y8" s="53">
        <f>IF($A8="-","-",VLOOKUP($A8,[2]Controle!$A$6:$BP$215,Y$2,FALSE))</f>
        <v>0</v>
      </c>
      <c r="Z8" s="53">
        <f>IF($A8="-","-",VLOOKUP($A8,[2]Controle!$A$6:$BP$215,Z$2,FALSE))</f>
        <v>-1.8846083653330692E-3</v>
      </c>
      <c r="AA8" s="53">
        <f>IF($A8="-","-",VLOOKUP($A8,[2]Controle!$A$6:$BP$215,AA$2,FALSE))</f>
        <v>1.0649733672546149</v>
      </c>
      <c r="AB8" s="53">
        <f>IF($A8="-","-",VLOOKUP($A8,[2]Controle!$A$6:$BP$215,AB$2,FALSE))</f>
        <v>-0.34850429211504652</v>
      </c>
      <c r="AC8" s="53">
        <f>IF($A8="-","-",VLOOKUP($A8,[2]Controle!$A$6:$BP$215,AC$2,FALSE))</f>
        <v>15</v>
      </c>
      <c r="AD8" s="53">
        <f>IF($A8="-","-",VLOOKUP($A8,[2]Controle!$A$6:$BP$215,AD$2,FALSE))</f>
        <v>0.3</v>
      </c>
      <c r="AE8" s="53">
        <f>IF($A8="-","-",VLOOKUP($A8,[2]Controle!$A$6:$BP$215,AE$2,FALSE))</f>
        <v>2</v>
      </c>
      <c r="AF8" s="53">
        <f>IF($A8="-","-",VLOOKUP($A8,[2]Controle!$A$6:$BP$215,AF$2,FALSE))</f>
        <v>1000000</v>
      </c>
      <c r="AG8" s="53">
        <f>IF($A8="-","-",VLOOKUP($A8,[2]Controle!$A$6:$BP$215,AG$2,FALSE))</f>
        <v>20</v>
      </c>
      <c r="AH8" s="53">
        <f>IF($A8="-","-",VLOOKUP($A8,[2]Controle!$A$6:$BP$215,AH$2,FALSE))</f>
        <v>0.3</v>
      </c>
      <c r="AI8" s="53">
        <f>IF($A8="-","-",VLOOKUP($A8,[2]Controle!$A$6:$BP$215,AI$2,FALSE))</f>
        <v>2</v>
      </c>
      <c r="AJ8" s="53">
        <f>IF($A8="-","-",VLOOKUP($A8,[2]Controle!$A$6:$BP$215,AJ$2,FALSE))</f>
        <v>1000000</v>
      </c>
      <c r="AK8" s="53">
        <f>IF($A8="-","-",VLOOKUP($A8,[2]Controle!$A$6:$BP$215,AK$2,FALSE))</f>
        <v>25</v>
      </c>
      <c r="AL8" s="53">
        <f>IF($A8="-","-",VLOOKUP($A8,[2]Controle!$A$6:$BP$215,AL$2,FALSE))</f>
        <v>0.3</v>
      </c>
      <c r="AM8" s="53">
        <f>IF($A8="-","-",VLOOKUP($A8,[2]Controle!$A$6:$BP$215,AM$2,FALSE))</f>
        <v>2</v>
      </c>
      <c r="AN8" s="53">
        <f>IF($A8="-","-",VLOOKUP($A8,[2]Controle!$A$6:$BP$215,AN$2,FALSE))</f>
        <v>1000000</v>
      </c>
      <c r="AO8" s="53">
        <f>IF($A8="-","-",VLOOKUP($A8,[2]Controle!$A$6:$BP$215,AO$2,FALSE))</f>
        <v>30</v>
      </c>
      <c r="AP8" s="53">
        <f>IF($A8="-","-",VLOOKUP($A8,[2]Controle!$A$6:$BP$215,AP$2,FALSE))</f>
        <v>0.3</v>
      </c>
      <c r="AQ8" s="53">
        <f>IF($A8="-","-",VLOOKUP($A8,[2]Controle!$A$6:$BP$215,AQ$2,FALSE))</f>
        <v>2</v>
      </c>
      <c r="AR8" s="53">
        <f>IF($A8="-","-",VLOOKUP($A8,[2]Controle!$A$6:$BP$215,AR$2,FALSE))</f>
        <v>1000000</v>
      </c>
      <c r="AS8" s="53" t="str">
        <f>IF($A8="-","-",VLOOKUP($A8,[2]Controle!$A$6:$BP$215,AS$2,FALSE))</f>
        <v>-</v>
      </c>
      <c r="AT8" s="53" t="str">
        <f>IF($A8="-","-",VLOOKUP($A8,[2]Controle!$A$6:$BP$215,AT$2,FALSE))</f>
        <v>-</v>
      </c>
      <c r="AU8" s="53" t="str">
        <f>IF($A8="-","-",VLOOKUP($A8,[2]Controle!$A$6:$BP$215,AU$2,FALSE))</f>
        <v>-</v>
      </c>
      <c r="AV8" s="53" t="str">
        <f>IF($A8="-","-",VLOOKUP($A8,[2]Controle!$A$6:$BP$215,AV$2,FALSE))</f>
        <v>-</v>
      </c>
      <c r="AW8" s="53" t="str">
        <f>IF($A8="-","-",VLOOKUP($A8,[2]Controle!$A$6:$BP$215,AW$2,FALSE))</f>
        <v>-</v>
      </c>
      <c r="AX8" s="53" t="str">
        <f>IF($A8="-","-",VLOOKUP($A8,[2]Controle!$A$6:$BP$215,AX$2,FALSE))</f>
        <v>-</v>
      </c>
      <c r="AY8" s="53" t="str">
        <f>IF($A8="-","-",VLOOKUP($A8,[2]Controle!$A$6:$BP$215,AY$2,FALSE))</f>
        <v>-</v>
      </c>
      <c r="AZ8" s="53" t="str">
        <f>IF($A8="-","-",VLOOKUP($A8,[2]Controle!$A$6:$BP$215,AZ$2,FALSE))</f>
        <v>-</v>
      </c>
      <c r="BA8" s="53" t="str">
        <f>IF($A8="-","-",VLOOKUP($A8,[2]Controle!$A$6:$BP$215,BA$2,FALSE))</f>
        <v>-</v>
      </c>
      <c r="BB8" s="53" t="str">
        <f>IF($A8="-","-",VLOOKUP($A8,[2]Controle!$A$6:$BP$215,BB$2,FALSE))</f>
        <v>-</v>
      </c>
      <c r="BC8" s="53" t="str">
        <f>IF($A8="-","-",VLOOKUP($A8,[2]Controle!$A$6:$BP$215,BC$2,FALSE))</f>
        <v>-</v>
      </c>
      <c r="BD8" s="53" t="str">
        <f>IF($A8="-","-",VLOOKUP($A8,[2]Controle!$A$6:$BP$215,BD$2,FALSE))</f>
        <v>-</v>
      </c>
      <c r="BE8" s="53" t="str">
        <f>IF($A8="-","-",VLOOKUP($A8,[2]Controle!$A$6:$BP$215,BE$2,FALSE))</f>
        <v>-</v>
      </c>
      <c r="BF8" s="53" t="str">
        <f>IF($A8="-","-",VLOOKUP($A8,[2]Controle!$A$6:$BP$215,BF$2,FALSE))</f>
        <v>-</v>
      </c>
      <c r="BG8" s="53" t="str">
        <f>IF($A8="-","-",VLOOKUP($A8,[2]Controle!$A$6:$BP$215,BG$2,FALSE))</f>
        <v>-</v>
      </c>
      <c r="BH8" s="53" t="str">
        <f>IF($A8="-","-",VLOOKUP($A8,[2]Controle!$A$6:$BP$215,BH$2,FALSE))</f>
        <v>-</v>
      </c>
      <c r="BI8" s="53" t="str">
        <f>IF($A8="-","-",VLOOKUP($A8,[2]Controle!$A$6:$BP$215,BI$2,FALSE))</f>
        <v>-</v>
      </c>
      <c r="BJ8" s="53" t="str">
        <f>IF($A8="-","-",VLOOKUP($A8,[2]Controle!$A$6:$BP$215,BJ$2,FALSE))</f>
        <v>-</v>
      </c>
      <c r="BK8" s="53" t="str">
        <f>IF($A8="-","-",VLOOKUP($A8,[2]Controle!$A$6:$BP$215,BK$2,FALSE))</f>
        <v>-</v>
      </c>
      <c r="BL8" s="53" t="str">
        <f>IF($A8="-","-",VLOOKUP($A8,[2]Controle!$A$6:$BP$215,BL$2,FALSE))</f>
        <v>-</v>
      </c>
      <c r="BM8" s="53" t="str">
        <f>IF($A8="-","-",VLOOKUP($A8,[2]Controle!$A$6:$BP$215,BM$2,FALSE))</f>
        <v>-</v>
      </c>
      <c r="BN8" s="53" t="str">
        <f>IF($A8="-","-",VLOOKUP($A8,[2]Controle!$A$6:$BP$215,BN$2,FALSE))</f>
        <v>-</v>
      </c>
      <c r="BO8" s="53" t="str">
        <f>IF($A8="-","-",VLOOKUP($A8,[2]Controle!$A$6:$BP$215,BO$2,FALSE))</f>
        <v>-</v>
      </c>
      <c r="BP8" s="53" t="str">
        <f>IF($A8="-","-",VLOOKUP($A8,[2]Controle!$A$6:$BP$215,BP$2,FALSE))</f>
        <v>-</v>
      </c>
      <c r="CT8" s="41">
        <f>IF(CV8="-",0,MAX($CT$5:CT7)+1)</f>
        <v>0</v>
      </c>
      <c r="CU8" s="53" t="str">
        <f t="shared" ca="1" si="2"/>
        <v>VENCIDO</v>
      </c>
      <c r="CV8" s="53" t="str">
        <f t="shared" si="3"/>
        <v>-</v>
      </c>
      <c r="CW8" s="53">
        <f t="shared" si="4"/>
        <v>105</v>
      </c>
      <c r="CY8" s="41" t="str">
        <f t="shared" si="5"/>
        <v>M</v>
      </c>
    </row>
    <row r="9" spans="1:103" x14ac:dyDescent="0.3">
      <c r="A9" s="56">
        <v>107</v>
      </c>
      <c r="B9" s="53" t="str">
        <f>IF($A9="-","-",VLOOKUP($A9,[2]Controle!$A$6:$BP$215,B$2,FALSE))</f>
        <v>M.TH.FS-004</v>
      </c>
      <c r="C9" s="53" t="str">
        <f>IF($A9="-","-",VLOOKUP($A9,[2]Controle!$A$6:$BP$215,C$2,FALSE))</f>
        <v>Termohigrômetro Digital</v>
      </c>
      <c r="D9" s="53" t="str">
        <f>IF($A9="-","-",VLOOKUP($A9,[2]Controle!$A$6:$BP$215,D$2,FALSE))</f>
        <v>Elus</v>
      </c>
      <c r="E9" s="53" t="str">
        <f>IF($A9="-","-",VLOOKUP($A9,[2]Controle!$A$6:$BP$215,E$2,FALSE))</f>
        <v>RBC - CAL 0439</v>
      </c>
      <c r="F9" s="53" t="str">
        <f>IF($A9="-","-",VLOOKUP($A9,[2]Controle!$A$6:$BP$215,F$2,FALSE))</f>
        <v>E0310/24</v>
      </c>
      <c r="G9" s="54">
        <f>IF($A9="-","-",VLOOKUP($A9,[2]Controle!$A$6:$BP$215,G$2,FALSE))</f>
        <v>45520</v>
      </c>
      <c r="H9" s="55">
        <f>IF($A9="-","-",VLOOKUP($A9,[2]Controle!$A$6:$BP$215,H$2,FALSE))</f>
        <v>45899</v>
      </c>
      <c r="I9" s="53" t="str">
        <f>IF($A9="-","-",VLOOKUP($A9,[2]Controle!$A$6:$BP$215,I$2,FALSE))</f>
        <v>°C</v>
      </c>
      <c r="J9" s="53" t="str">
        <f>IF($A9="-","-",VLOOKUP($A9,[2]Controle!$A$6:$BP$215,J$2,FALSE))</f>
        <v>IN</v>
      </c>
      <c r="K9" s="53" t="str">
        <f>IF($A9="-","-",VLOOKUP($A9,[2]Controle!$A$6:$BP$215,K$2,FALSE))</f>
        <v>NA</v>
      </c>
      <c r="L9" s="53">
        <f>IF($A9="-","-",VLOOKUP($A9,[2]Controle!$A$6:$BP$215,L$2,FALSE))</f>
        <v>15</v>
      </c>
      <c r="M9" s="53">
        <f>IF($A9="-","-",VLOOKUP($A9,[2]Controle!$A$6:$BP$215,M$2,FALSE))</f>
        <v>30</v>
      </c>
      <c r="N9" s="53">
        <f>IF($A9="-","-",VLOOKUP($A9,[2]Controle!$A$6:$BP$215,N$2,FALSE))</f>
        <v>0.1</v>
      </c>
      <c r="O9" s="53">
        <f>IF($A9="-","-",VLOOKUP($A9,[2]Controle!$A$6:$BP$215,O$2,FALSE))</f>
        <v>0.5</v>
      </c>
      <c r="P9" s="53">
        <f>IF($A9="-","-",VLOOKUP($A9,[2]Controle!$A$6:$BP$215,P$2,FALSE))</f>
        <v>0.3</v>
      </c>
      <c r="Q9" s="53">
        <f>IF($A9="-","-",VLOOKUP($A9,[2]Controle!$A$6:$BP$215,Q$2,FALSE))</f>
        <v>0.5</v>
      </c>
      <c r="R9" s="53">
        <f>IF($A9="-","-",VLOOKUP($A9,[2]Controle!$A$6:$BP$215,R$2,FALSE))</f>
        <v>4.3502938722770279E-2</v>
      </c>
      <c r="S9" s="53">
        <f>IF($A9="-","-",VLOOKUP($A9,[2]Controle!$A$6:$BP$215,S$2,FALSE))</f>
        <v>2</v>
      </c>
      <c r="T9" s="53">
        <f>IF($A9="-","-",VLOOKUP($A9,[2]Controle!$A$6:$BP$215,T$2,FALSE))</f>
        <v>0</v>
      </c>
      <c r="U9" s="53">
        <f>IF($A9="-","-",VLOOKUP($A9,[2]Controle!$A$6:$BP$215,U$2,FALSE))</f>
        <v>0</v>
      </c>
      <c r="V9" s="53">
        <f>IF($A9="-","-",VLOOKUP($A9,[2]Controle!$A$6:$BP$215,V$2,FALSE))</f>
        <v>0</v>
      </c>
      <c r="W9" s="53">
        <f>IF($A9="-","-",VLOOKUP($A9,[2]Controle!$A$6:$BP$215,W$2,FALSE))</f>
        <v>0</v>
      </c>
      <c r="X9" s="53">
        <f>IF($A9="-","-",VLOOKUP($A9,[2]Controle!$A$6:$BP$215,X$2,FALSE))</f>
        <v>0</v>
      </c>
      <c r="Y9" s="53">
        <f>IF($A9="-","-",VLOOKUP($A9,[2]Controle!$A$6:$BP$215,Y$2,FALSE))</f>
        <v>0</v>
      </c>
      <c r="Z9" s="53">
        <f>IF($A9="-","-",VLOOKUP($A9,[2]Controle!$A$6:$BP$215,Z$2,FALSE))</f>
        <v>3.1163737250813702E-17</v>
      </c>
      <c r="AA9" s="53">
        <f>IF($A9="-","-",VLOOKUP($A9,[2]Controle!$A$6:$BP$215,AA$2,FALSE))</f>
        <v>0.97274791824375328</v>
      </c>
      <c r="AB9" s="53">
        <f>IF($A9="-","-",VLOOKUP($A9,[2]Controle!$A$6:$BP$215,AB$2,FALSE))</f>
        <v>0.90499621498865812</v>
      </c>
      <c r="AC9" s="53">
        <f>IF($A9="-","-",VLOOKUP($A9,[2]Controle!$A$6:$BP$215,AC$2,FALSE))</f>
        <v>15</v>
      </c>
      <c r="AD9" s="53">
        <f>IF($A9="-","-",VLOOKUP($A9,[2]Controle!$A$6:$BP$215,AD$2,FALSE))</f>
        <v>0.3</v>
      </c>
      <c r="AE9" s="53">
        <f>IF($A9="-","-",VLOOKUP($A9,[2]Controle!$A$6:$BP$215,AE$2,FALSE))</f>
        <v>2</v>
      </c>
      <c r="AF9" s="53">
        <f>IF($A9="-","-",VLOOKUP($A9,[2]Controle!$A$6:$BP$215,AF$2,FALSE))</f>
        <v>1000000</v>
      </c>
      <c r="AG9" s="53">
        <f>IF($A9="-","-",VLOOKUP($A9,[2]Controle!$A$6:$BP$215,AG$2,FALSE))</f>
        <v>20</v>
      </c>
      <c r="AH9" s="53">
        <f>IF($A9="-","-",VLOOKUP($A9,[2]Controle!$A$6:$BP$215,AH$2,FALSE))</f>
        <v>0.3</v>
      </c>
      <c r="AI9" s="53">
        <f>IF($A9="-","-",VLOOKUP($A9,[2]Controle!$A$6:$BP$215,AI$2,FALSE))</f>
        <v>2</v>
      </c>
      <c r="AJ9" s="53">
        <f>IF($A9="-","-",VLOOKUP($A9,[2]Controle!$A$6:$BP$215,AJ$2,FALSE))</f>
        <v>1000000</v>
      </c>
      <c r="AK9" s="53">
        <f>IF($A9="-","-",VLOOKUP($A9,[2]Controle!$A$6:$BP$215,AK$2,FALSE))</f>
        <v>25</v>
      </c>
      <c r="AL9" s="53">
        <f>IF($A9="-","-",VLOOKUP($A9,[2]Controle!$A$6:$BP$215,AL$2,FALSE))</f>
        <v>0.3</v>
      </c>
      <c r="AM9" s="53">
        <f>IF($A9="-","-",VLOOKUP($A9,[2]Controle!$A$6:$BP$215,AM$2,FALSE))</f>
        <v>2</v>
      </c>
      <c r="AN9" s="53">
        <f>IF($A9="-","-",VLOOKUP($A9,[2]Controle!$A$6:$BP$215,AN$2,FALSE))</f>
        <v>1000000</v>
      </c>
      <c r="AO9" s="53">
        <f>IF($A9="-","-",VLOOKUP($A9,[2]Controle!$A$6:$BP$215,AO$2,FALSE))</f>
        <v>30</v>
      </c>
      <c r="AP9" s="53">
        <f>IF($A9="-","-",VLOOKUP($A9,[2]Controle!$A$6:$BP$215,AP$2,FALSE))</f>
        <v>0.3</v>
      </c>
      <c r="AQ9" s="53">
        <f>IF($A9="-","-",VLOOKUP($A9,[2]Controle!$A$6:$BP$215,AQ$2,FALSE))</f>
        <v>2</v>
      </c>
      <c r="AR9" s="53">
        <f>IF($A9="-","-",VLOOKUP($A9,[2]Controle!$A$6:$BP$215,AR$2,FALSE))</f>
        <v>1000000</v>
      </c>
      <c r="AS9" s="53" t="str">
        <f>IF($A9="-","-",VLOOKUP($A9,[2]Controle!$A$6:$BP$215,AS$2,FALSE))</f>
        <v>-</v>
      </c>
      <c r="AT9" s="53" t="str">
        <f>IF($A9="-","-",VLOOKUP($A9,[2]Controle!$A$6:$BP$215,AT$2,FALSE))</f>
        <v>-</v>
      </c>
      <c r="AU9" s="53" t="str">
        <f>IF($A9="-","-",VLOOKUP($A9,[2]Controle!$A$6:$BP$215,AU$2,FALSE))</f>
        <v>-</v>
      </c>
      <c r="AV9" s="53" t="str">
        <f>IF($A9="-","-",VLOOKUP($A9,[2]Controle!$A$6:$BP$215,AV$2,FALSE))</f>
        <v>-</v>
      </c>
      <c r="AW9" s="53" t="str">
        <f>IF($A9="-","-",VLOOKUP($A9,[2]Controle!$A$6:$BP$215,AW$2,FALSE))</f>
        <v>-</v>
      </c>
      <c r="AX9" s="53" t="str">
        <f>IF($A9="-","-",VLOOKUP($A9,[2]Controle!$A$6:$BP$215,AX$2,FALSE))</f>
        <v>-</v>
      </c>
      <c r="AY9" s="53" t="str">
        <f>IF($A9="-","-",VLOOKUP($A9,[2]Controle!$A$6:$BP$215,AY$2,FALSE))</f>
        <v>-</v>
      </c>
      <c r="AZ9" s="53" t="str">
        <f>IF($A9="-","-",VLOOKUP($A9,[2]Controle!$A$6:$BP$215,AZ$2,FALSE))</f>
        <v>-</v>
      </c>
      <c r="BA9" s="53" t="str">
        <f>IF($A9="-","-",VLOOKUP($A9,[2]Controle!$A$6:$BP$215,BA$2,FALSE))</f>
        <v>-</v>
      </c>
      <c r="BB9" s="53" t="str">
        <f>IF($A9="-","-",VLOOKUP($A9,[2]Controle!$A$6:$BP$215,BB$2,FALSE))</f>
        <v>-</v>
      </c>
      <c r="BC9" s="53" t="str">
        <f>IF($A9="-","-",VLOOKUP($A9,[2]Controle!$A$6:$BP$215,BC$2,FALSE))</f>
        <v>-</v>
      </c>
      <c r="BD9" s="53" t="str">
        <f>IF($A9="-","-",VLOOKUP($A9,[2]Controle!$A$6:$BP$215,BD$2,FALSE))</f>
        <v>-</v>
      </c>
      <c r="BE9" s="53" t="str">
        <f>IF($A9="-","-",VLOOKUP($A9,[2]Controle!$A$6:$BP$215,BE$2,FALSE))</f>
        <v>-</v>
      </c>
      <c r="BF9" s="53" t="str">
        <f>IF($A9="-","-",VLOOKUP($A9,[2]Controle!$A$6:$BP$215,BF$2,FALSE))</f>
        <v>-</v>
      </c>
      <c r="BG9" s="53" t="str">
        <f>IF($A9="-","-",VLOOKUP($A9,[2]Controle!$A$6:$BP$215,BG$2,FALSE))</f>
        <v>-</v>
      </c>
      <c r="BH9" s="53" t="str">
        <f>IF($A9="-","-",VLOOKUP($A9,[2]Controle!$A$6:$BP$215,BH$2,FALSE))</f>
        <v>-</v>
      </c>
      <c r="BI9" s="53" t="str">
        <f>IF($A9="-","-",VLOOKUP($A9,[2]Controle!$A$6:$BP$215,BI$2,FALSE))</f>
        <v>-</v>
      </c>
      <c r="BJ9" s="53" t="str">
        <f>IF($A9="-","-",VLOOKUP($A9,[2]Controle!$A$6:$BP$215,BJ$2,FALSE))</f>
        <v>-</v>
      </c>
      <c r="BK9" s="53" t="str">
        <f>IF($A9="-","-",VLOOKUP($A9,[2]Controle!$A$6:$BP$215,BK$2,FALSE))</f>
        <v>-</v>
      </c>
      <c r="BL9" s="53" t="str">
        <f>IF($A9="-","-",VLOOKUP($A9,[2]Controle!$A$6:$BP$215,BL$2,FALSE))</f>
        <v>-</v>
      </c>
      <c r="BM9" s="53" t="str">
        <f>IF($A9="-","-",VLOOKUP($A9,[2]Controle!$A$6:$BP$215,BM$2,FALSE))</f>
        <v>-</v>
      </c>
      <c r="BN9" s="53" t="str">
        <f>IF($A9="-","-",VLOOKUP($A9,[2]Controle!$A$6:$BP$215,BN$2,FALSE))</f>
        <v>-</v>
      </c>
      <c r="BO9" s="53" t="str">
        <f>IF($A9="-","-",VLOOKUP($A9,[2]Controle!$A$6:$BP$215,BO$2,FALSE))</f>
        <v>-</v>
      </c>
      <c r="BP9" s="53" t="str">
        <f>IF($A9="-","-",VLOOKUP($A9,[2]Controle!$A$6:$BP$215,BP$2,FALSE))</f>
        <v>-</v>
      </c>
      <c r="CT9" s="41">
        <f>IF(CV9="-",0,MAX($CT$5:CT8)+1)</f>
        <v>0</v>
      </c>
      <c r="CU9" s="53" t="str">
        <f t="shared" ca="1" si="2"/>
        <v>VENCIDO</v>
      </c>
      <c r="CV9" s="53" t="str">
        <f t="shared" si="3"/>
        <v>-</v>
      </c>
      <c r="CW9" s="53">
        <f t="shared" si="4"/>
        <v>107</v>
      </c>
      <c r="CY9" s="41" t="str">
        <f t="shared" si="5"/>
        <v>M</v>
      </c>
    </row>
    <row r="10" spans="1:103" x14ac:dyDescent="0.3">
      <c r="A10" s="56">
        <v>109</v>
      </c>
      <c r="B10" s="53" t="str">
        <f>IF($A10="-","-",VLOOKUP($A10,[2]Controle!$A$6:$BP$215,B$2,FALSE))</f>
        <v>M.TH.FS-005</v>
      </c>
      <c r="C10" s="53" t="str">
        <f>IF($A10="-","-",VLOOKUP($A10,[2]Controle!$A$6:$BP$215,C$2,FALSE))</f>
        <v>Termohigrômetro Digital</v>
      </c>
      <c r="D10" s="53" t="str">
        <f>IF($A10="-","-",VLOOKUP($A10,[2]Controle!$A$6:$BP$215,D$2,FALSE))</f>
        <v>Elus</v>
      </c>
      <c r="E10" s="53" t="str">
        <f>IF($A10="-","-",VLOOKUP($A10,[2]Controle!$A$6:$BP$215,E$2,FALSE))</f>
        <v>RBC - CAL 0439</v>
      </c>
      <c r="F10" s="53" t="str">
        <f>IF($A10="-","-",VLOOKUP($A10,[2]Controle!$A$6:$BP$215,F$2,FALSE))</f>
        <v>E0311/24</v>
      </c>
      <c r="G10" s="54">
        <f>IF($A10="-","-",VLOOKUP($A10,[2]Controle!$A$6:$BP$215,G$2,FALSE))</f>
        <v>45520</v>
      </c>
      <c r="H10" s="55">
        <f>IF($A10="-","-",VLOOKUP($A10,[2]Controle!$A$6:$BP$215,H$2,FALSE))</f>
        <v>45899</v>
      </c>
      <c r="I10" s="53" t="str">
        <f>IF($A10="-","-",VLOOKUP($A10,[2]Controle!$A$6:$BP$215,I$2,FALSE))</f>
        <v>°C</v>
      </c>
      <c r="J10" s="53" t="str">
        <f>IF($A10="-","-",VLOOKUP($A10,[2]Controle!$A$6:$BP$215,J$2,FALSE))</f>
        <v>IN</v>
      </c>
      <c r="K10" s="53" t="str">
        <f>IF($A10="-","-",VLOOKUP($A10,[2]Controle!$A$6:$BP$215,K$2,FALSE))</f>
        <v>NA</v>
      </c>
      <c r="L10" s="53">
        <f>IF($A10="-","-",VLOOKUP($A10,[2]Controle!$A$6:$BP$215,L$2,FALSE))</f>
        <v>15</v>
      </c>
      <c r="M10" s="53">
        <f>IF($A10="-","-",VLOOKUP($A10,[2]Controle!$A$6:$BP$215,M$2,FALSE))</f>
        <v>30</v>
      </c>
      <c r="N10" s="53">
        <f>IF($A10="-","-",VLOOKUP($A10,[2]Controle!$A$6:$BP$215,N$2,FALSE))</f>
        <v>0.1</v>
      </c>
      <c r="O10" s="53">
        <f>IF($A10="-","-",VLOOKUP($A10,[2]Controle!$A$6:$BP$215,O$2,FALSE))</f>
        <v>0.5</v>
      </c>
      <c r="P10" s="53">
        <f>IF($A10="-","-",VLOOKUP($A10,[2]Controle!$A$6:$BP$215,P$2,FALSE))</f>
        <v>0.3</v>
      </c>
      <c r="Q10" s="53">
        <f>IF($A10="-","-",VLOOKUP($A10,[2]Controle!$A$6:$BP$215,Q$2,FALSE))</f>
        <v>0.5</v>
      </c>
      <c r="R10" s="53">
        <f>IF($A10="-","-",VLOOKUP($A10,[2]Controle!$A$6:$BP$215,R$2,FALSE))</f>
        <v>0.13610370752283163</v>
      </c>
      <c r="S10" s="53">
        <f>IF($A10="-","-",VLOOKUP($A10,[2]Controle!$A$6:$BP$215,S$2,FALSE))</f>
        <v>2</v>
      </c>
      <c r="T10" s="53">
        <f>IF($A10="-","-",VLOOKUP($A10,[2]Controle!$A$6:$BP$215,T$2,FALSE))</f>
        <v>0</v>
      </c>
      <c r="U10" s="53">
        <f>IF($A10="-","-",VLOOKUP($A10,[2]Controle!$A$6:$BP$215,U$2,FALSE))</f>
        <v>0</v>
      </c>
      <c r="V10" s="53">
        <f>IF($A10="-","-",VLOOKUP($A10,[2]Controle!$A$6:$BP$215,V$2,FALSE))</f>
        <v>0</v>
      </c>
      <c r="W10" s="53">
        <f>IF($A10="-","-",VLOOKUP($A10,[2]Controle!$A$6:$BP$215,W$2,FALSE))</f>
        <v>0</v>
      </c>
      <c r="X10" s="53">
        <f>IF($A10="-","-",VLOOKUP($A10,[2]Controle!$A$6:$BP$215,X$2,FALSE))</f>
        <v>0</v>
      </c>
      <c r="Y10" s="53">
        <f>IF($A10="-","-",VLOOKUP($A10,[2]Controle!$A$6:$BP$215,Y$2,FALSE))</f>
        <v>0</v>
      </c>
      <c r="Z10" s="53">
        <f>IF($A10="-","-",VLOOKUP($A10,[2]Controle!$A$6:$BP$215,Z$2,FALSE))</f>
        <v>2.149237070437739E-3</v>
      </c>
      <c r="AA10" s="53">
        <f>IF($A10="-","-",VLOOKUP($A10,[2]Controle!$A$6:$BP$215,AA$2,FALSE))</f>
        <v>0.92660664012855021</v>
      </c>
      <c r="AB10" s="53">
        <f>IF($A10="-","-",VLOOKUP($A10,[2]Controle!$A$6:$BP$215,AB$2,FALSE))</f>
        <v>0.1921156726004194</v>
      </c>
      <c r="AC10" s="53">
        <f>IF($A10="-","-",VLOOKUP($A10,[2]Controle!$A$6:$BP$215,AC$2,FALSE))</f>
        <v>15</v>
      </c>
      <c r="AD10" s="53">
        <f>IF($A10="-","-",VLOOKUP($A10,[2]Controle!$A$6:$BP$215,AD$2,FALSE))</f>
        <v>0.3</v>
      </c>
      <c r="AE10" s="53">
        <f>IF($A10="-","-",VLOOKUP($A10,[2]Controle!$A$6:$BP$215,AE$2,FALSE))</f>
        <v>2</v>
      </c>
      <c r="AF10" s="53">
        <f>IF($A10="-","-",VLOOKUP($A10,[2]Controle!$A$6:$BP$215,AF$2,FALSE))</f>
        <v>1000000</v>
      </c>
      <c r="AG10" s="53">
        <f>IF($A10="-","-",VLOOKUP($A10,[2]Controle!$A$6:$BP$215,AG$2,FALSE))</f>
        <v>20</v>
      </c>
      <c r="AH10" s="53">
        <f>IF($A10="-","-",VLOOKUP($A10,[2]Controle!$A$6:$BP$215,AH$2,FALSE))</f>
        <v>0.3</v>
      </c>
      <c r="AI10" s="53">
        <f>IF($A10="-","-",VLOOKUP($A10,[2]Controle!$A$6:$BP$215,AI$2,FALSE))</f>
        <v>2</v>
      </c>
      <c r="AJ10" s="53">
        <f>IF($A10="-","-",VLOOKUP($A10,[2]Controle!$A$6:$BP$215,AJ$2,FALSE))</f>
        <v>1000000</v>
      </c>
      <c r="AK10" s="53">
        <f>IF($A10="-","-",VLOOKUP($A10,[2]Controle!$A$6:$BP$215,AK$2,FALSE))</f>
        <v>25</v>
      </c>
      <c r="AL10" s="53">
        <f>IF($A10="-","-",VLOOKUP($A10,[2]Controle!$A$6:$BP$215,AL$2,FALSE))</f>
        <v>0.3</v>
      </c>
      <c r="AM10" s="53">
        <f>IF($A10="-","-",VLOOKUP($A10,[2]Controle!$A$6:$BP$215,AM$2,FALSE))</f>
        <v>2</v>
      </c>
      <c r="AN10" s="53">
        <f>IF($A10="-","-",VLOOKUP($A10,[2]Controle!$A$6:$BP$215,AN$2,FALSE))</f>
        <v>1000000</v>
      </c>
      <c r="AO10" s="53">
        <f>IF($A10="-","-",VLOOKUP($A10,[2]Controle!$A$6:$BP$215,AO$2,FALSE))</f>
        <v>30</v>
      </c>
      <c r="AP10" s="53">
        <f>IF($A10="-","-",VLOOKUP($A10,[2]Controle!$A$6:$BP$215,AP$2,FALSE))</f>
        <v>0.3</v>
      </c>
      <c r="AQ10" s="53">
        <f>IF($A10="-","-",VLOOKUP($A10,[2]Controle!$A$6:$BP$215,AQ$2,FALSE))</f>
        <v>2</v>
      </c>
      <c r="AR10" s="53">
        <f>IF($A10="-","-",VLOOKUP($A10,[2]Controle!$A$6:$BP$215,AR$2,FALSE))</f>
        <v>1000000</v>
      </c>
      <c r="AS10" s="53" t="str">
        <f>IF($A10="-","-",VLOOKUP($A10,[2]Controle!$A$6:$BP$215,AS$2,FALSE))</f>
        <v>-</v>
      </c>
      <c r="AT10" s="53" t="str">
        <f>IF($A10="-","-",VLOOKUP($A10,[2]Controle!$A$6:$BP$215,AT$2,FALSE))</f>
        <v>-</v>
      </c>
      <c r="AU10" s="53" t="str">
        <f>IF($A10="-","-",VLOOKUP($A10,[2]Controle!$A$6:$BP$215,AU$2,FALSE))</f>
        <v>-</v>
      </c>
      <c r="AV10" s="53" t="str">
        <f>IF($A10="-","-",VLOOKUP($A10,[2]Controle!$A$6:$BP$215,AV$2,FALSE))</f>
        <v>-</v>
      </c>
      <c r="AW10" s="53" t="str">
        <f>IF($A10="-","-",VLOOKUP($A10,[2]Controle!$A$6:$BP$215,AW$2,FALSE))</f>
        <v>-</v>
      </c>
      <c r="AX10" s="53" t="str">
        <f>IF($A10="-","-",VLOOKUP($A10,[2]Controle!$A$6:$BP$215,AX$2,FALSE))</f>
        <v>-</v>
      </c>
      <c r="AY10" s="53" t="str">
        <f>IF($A10="-","-",VLOOKUP($A10,[2]Controle!$A$6:$BP$215,AY$2,FALSE))</f>
        <v>-</v>
      </c>
      <c r="AZ10" s="53" t="str">
        <f>IF($A10="-","-",VLOOKUP($A10,[2]Controle!$A$6:$BP$215,AZ$2,FALSE))</f>
        <v>-</v>
      </c>
      <c r="BA10" s="53" t="str">
        <f>IF($A10="-","-",VLOOKUP($A10,[2]Controle!$A$6:$BP$215,BA$2,FALSE))</f>
        <v>-</v>
      </c>
      <c r="BB10" s="53" t="str">
        <f>IF($A10="-","-",VLOOKUP($A10,[2]Controle!$A$6:$BP$215,BB$2,FALSE))</f>
        <v>-</v>
      </c>
      <c r="BC10" s="53" t="str">
        <f>IF($A10="-","-",VLOOKUP($A10,[2]Controle!$A$6:$BP$215,BC$2,FALSE))</f>
        <v>-</v>
      </c>
      <c r="BD10" s="53" t="str">
        <f>IF($A10="-","-",VLOOKUP($A10,[2]Controle!$A$6:$BP$215,BD$2,FALSE))</f>
        <v>-</v>
      </c>
      <c r="BE10" s="53" t="str">
        <f>IF($A10="-","-",VLOOKUP($A10,[2]Controle!$A$6:$BP$215,BE$2,FALSE))</f>
        <v>-</v>
      </c>
      <c r="BF10" s="53" t="str">
        <f>IF($A10="-","-",VLOOKUP($A10,[2]Controle!$A$6:$BP$215,BF$2,FALSE))</f>
        <v>-</v>
      </c>
      <c r="BG10" s="53" t="str">
        <f>IF($A10="-","-",VLOOKUP($A10,[2]Controle!$A$6:$BP$215,BG$2,FALSE))</f>
        <v>-</v>
      </c>
      <c r="BH10" s="53" t="str">
        <f>IF($A10="-","-",VLOOKUP($A10,[2]Controle!$A$6:$BP$215,BH$2,FALSE))</f>
        <v>-</v>
      </c>
      <c r="BI10" s="53" t="str">
        <f>IF($A10="-","-",VLOOKUP($A10,[2]Controle!$A$6:$BP$215,BI$2,FALSE))</f>
        <v>-</v>
      </c>
      <c r="BJ10" s="53" t="str">
        <f>IF($A10="-","-",VLOOKUP($A10,[2]Controle!$A$6:$BP$215,BJ$2,FALSE))</f>
        <v>-</v>
      </c>
      <c r="BK10" s="53" t="str">
        <f>IF($A10="-","-",VLOOKUP($A10,[2]Controle!$A$6:$BP$215,BK$2,FALSE))</f>
        <v>-</v>
      </c>
      <c r="BL10" s="53" t="str">
        <f>IF($A10="-","-",VLOOKUP($A10,[2]Controle!$A$6:$BP$215,BL$2,FALSE))</f>
        <v>-</v>
      </c>
      <c r="BM10" s="53" t="str">
        <f>IF($A10="-","-",VLOOKUP($A10,[2]Controle!$A$6:$BP$215,BM$2,FALSE))</f>
        <v>-</v>
      </c>
      <c r="BN10" s="53" t="str">
        <f>IF($A10="-","-",VLOOKUP($A10,[2]Controle!$A$6:$BP$215,BN$2,FALSE))</f>
        <v>-</v>
      </c>
      <c r="BO10" s="53" t="str">
        <f>IF($A10="-","-",VLOOKUP($A10,[2]Controle!$A$6:$BP$215,BO$2,FALSE))</f>
        <v>-</v>
      </c>
      <c r="BP10" s="53" t="str">
        <f>IF($A10="-","-",VLOOKUP($A10,[2]Controle!$A$6:$BP$215,BP$2,FALSE))</f>
        <v>-</v>
      </c>
      <c r="CT10" s="41">
        <f>IF(CV10="-",0,MAX($CT$5:CT9)+1)</f>
        <v>0</v>
      </c>
      <c r="CU10" s="53" t="str">
        <f t="shared" ca="1" si="2"/>
        <v>VENCIDO</v>
      </c>
      <c r="CV10" s="53" t="str">
        <f t="shared" si="3"/>
        <v>-</v>
      </c>
      <c r="CW10" s="53">
        <f t="shared" si="4"/>
        <v>109</v>
      </c>
      <c r="CY10" s="41" t="str">
        <f t="shared" si="5"/>
        <v>M</v>
      </c>
    </row>
    <row r="11" spans="1:103" x14ac:dyDescent="0.3">
      <c r="A11" s="56">
        <v>111</v>
      </c>
      <c r="B11" s="53" t="str">
        <f>IF($A11="-","-",VLOOKUP($A11,[2]Controle!$A$6:$BP$215,B$2,FALSE))</f>
        <v>M.TH.FS-006</v>
      </c>
      <c r="C11" s="53" t="str">
        <f>IF($A11="-","-",VLOOKUP($A11,[2]Controle!$A$6:$BP$215,C$2,FALSE))</f>
        <v>Termohigrômetro Digital</v>
      </c>
      <c r="D11" s="53" t="str">
        <f>IF($A11="-","-",VLOOKUP($A11,[2]Controle!$A$6:$BP$215,D$2,FALSE))</f>
        <v>Elus</v>
      </c>
      <c r="E11" s="53" t="str">
        <f>IF($A11="-","-",VLOOKUP($A11,[2]Controle!$A$6:$BP$215,E$2,FALSE))</f>
        <v>RBC - CAL 0439</v>
      </c>
      <c r="F11" s="53" t="str">
        <f>IF($A11="-","-",VLOOKUP($A11,[2]Controle!$A$6:$BP$215,F$2,FALSE))</f>
        <v>E0312/24</v>
      </c>
      <c r="G11" s="54">
        <f>IF($A11="-","-",VLOOKUP($A11,[2]Controle!$A$6:$BP$215,G$2,FALSE))</f>
        <v>45520</v>
      </c>
      <c r="H11" s="55">
        <f>IF($A11="-","-",VLOOKUP($A11,[2]Controle!$A$6:$BP$215,H$2,FALSE))</f>
        <v>45899</v>
      </c>
      <c r="I11" s="53" t="str">
        <f>IF($A11="-","-",VLOOKUP($A11,[2]Controle!$A$6:$BP$215,I$2,FALSE))</f>
        <v>°C</v>
      </c>
      <c r="J11" s="53" t="str">
        <f>IF($A11="-","-",VLOOKUP($A11,[2]Controle!$A$6:$BP$215,J$2,FALSE))</f>
        <v>IN</v>
      </c>
      <c r="K11" s="53" t="str">
        <f>IF($A11="-","-",VLOOKUP($A11,[2]Controle!$A$6:$BP$215,K$2,FALSE))</f>
        <v>NA</v>
      </c>
      <c r="L11" s="53">
        <f>IF($A11="-","-",VLOOKUP($A11,[2]Controle!$A$6:$BP$215,L$2,FALSE))</f>
        <v>15</v>
      </c>
      <c r="M11" s="53">
        <f>IF($A11="-","-",VLOOKUP($A11,[2]Controle!$A$6:$BP$215,M$2,FALSE))</f>
        <v>30</v>
      </c>
      <c r="N11" s="53">
        <f>IF($A11="-","-",VLOOKUP($A11,[2]Controle!$A$6:$BP$215,N$2,FALSE))</f>
        <v>0.1</v>
      </c>
      <c r="O11" s="53">
        <f>IF($A11="-","-",VLOOKUP($A11,[2]Controle!$A$6:$BP$215,O$2,FALSE))</f>
        <v>0.19999999999999929</v>
      </c>
      <c r="P11" s="53">
        <f>IF($A11="-","-",VLOOKUP($A11,[2]Controle!$A$6:$BP$215,P$2,FALSE))</f>
        <v>0.3</v>
      </c>
      <c r="Q11" s="53">
        <f>IF($A11="-","-",VLOOKUP($A11,[2]Controle!$A$6:$BP$215,Q$2,FALSE))</f>
        <v>0.19999999999999929</v>
      </c>
      <c r="R11" s="53">
        <f>IF($A11="-","-",VLOOKUP($A11,[2]Controle!$A$6:$BP$215,R$2,FALSE))</f>
        <v>2.2380323709817074E-2</v>
      </c>
      <c r="S11" s="53">
        <f>IF($A11="-","-",VLOOKUP($A11,[2]Controle!$A$6:$BP$215,S$2,FALSE))</f>
        <v>2</v>
      </c>
      <c r="T11" s="53">
        <f>IF($A11="-","-",VLOOKUP($A11,[2]Controle!$A$6:$BP$215,T$2,FALSE))</f>
        <v>0</v>
      </c>
      <c r="U11" s="53">
        <f>IF($A11="-","-",VLOOKUP($A11,[2]Controle!$A$6:$BP$215,U$2,FALSE))</f>
        <v>0</v>
      </c>
      <c r="V11" s="53">
        <f>IF($A11="-","-",VLOOKUP($A11,[2]Controle!$A$6:$BP$215,V$2,FALSE))</f>
        <v>0</v>
      </c>
      <c r="W11" s="53">
        <f>IF($A11="-","-",VLOOKUP($A11,[2]Controle!$A$6:$BP$215,W$2,FALSE))</f>
        <v>0</v>
      </c>
      <c r="X11" s="53">
        <f>IF($A11="-","-",VLOOKUP($A11,[2]Controle!$A$6:$BP$215,X$2,FALSE))</f>
        <v>0</v>
      </c>
      <c r="Y11" s="53">
        <f>IF($A11="-","-",VLOOKUP($A11,[2]Controle!$A$6:$BP$215,Y$2,FALSE))</f>
        <v>0</v>
      </c>
      <c r="Z11" s="53">
        <f>IF($A11="-","-",VLOOKUP($A11,[2]Controle!$A$6:$BP$215,Z$2,FALSE))</f>
        <v>-9.5912014749534552E-4</v>
      </c>
      <c r="AA11" s="53">
        <f>IF($A11="-","-",VLOOKUP($A11,[2]Controle!$A$6:$BP$215,AA$2,FALSE))</f>
        <v>1.0291482768320328</v>
      </c>
      <c r="AB11" s="53">
        <f>IF($A11="-","-",VLOOKUP($A11,[2]Controle!$A$6:$BP$215,AB$2,FALSE))</f>
        <v>-1.6199855335271129E-2</v>
      </c>
      <c r="AC11" s="53">
        <f>IF($A11="-","-",VLOOKUP($A11,[2]Controle!$A$6:$BP$215,AC$2,FALSE))</f>
        <v>15</v>
      </c>
      <c r="AD11" s="53">
        <f>IF($A11="-","-",VLOOKUP($A11,[2]Controle!$A$6:$BP$215,AD$2,FALSE))</f>
        <v>0.3</v>
      </c>
      <c r="AE11" s="53">
        <f>IF($A11="-","-",VLOOKUP($A11,[2]Controle!$A$6:$BP$215,AE$2,FALSE))</f>
        <v>2</v>
      </c>
      <c r="AF11" s="53">
        <f>IF($A11="-","-",VLOOKUP($A11,[2]Controle!$A$6:$BP$215,AF$2,FALSE))</f>
        <v>1000000</v>
      </c>
      <c r="AG11" s="53">
        <f>IF($A11="-","-",VLOOKUP($A11,[2]Controle!$A$6:$BP$215,AG$2,FALSE))</f>
        <v>20</v>
      </c>
      <c r="AH11" s="53">
        <f>IF($A11="-","-",VLOOKUP($A11,[2]Controle!$A$6:$BP$215,AH$2,FALSE))</f>
        <v>0.3</v>
      </c>
      <c r="AI11" s="53">
        <f>IF($A11="-","-",VLOOKUP($A11,[2]Controle!$A$6:$BP$215,AI$2,FALSE))</f>
        <v>2</v>
      </c>
      <c r="AJ11" s="53">
        <f>IF($A11="-","-",VLOOKUP($A11,[2]Controle!$A$6:$BP$215,AJ$2,FALSE))</f>
        <v>1000000</v>
      </c>
      <c r="AK11" s="53">
        <f>IF($A11="-","-",VLOOKUP($A11,[2]Controle!$A$6:$BP$215,AK$2,FALSE))</f>
        <v>25</v>
      </c>
      <c r="AL11" s="53">
        <f>IF($A11="-","-",VLOOKUP($A11,[2]Controle!$A$6:$BP$215,AL$2,FALSE))</f>
        <v>0.3</v>
      </c>
      <c r="AM11" s="53">
        <f>IF($A11="-","-",VLOOKUP($A11,[2]Controle!$A$6:$BP$215,AM$2,FALSE))</f>
        <v>2</v>
      </c>
      <c r="AN11" s="53">
        <f>IF($A11="-","-",VLOOKUP($A11,[2]Controle!$A$6:$BP$215,AN$2,FALSE))</f>
        <v>1000000</v>
      </c>
      <c r="AO11" s="53">
        <f>IF($A11="-","-",VLOOKUP($A11,[2]Controle!$A$6:$BP$215,AO$2,FALSE))</f>
        <v>30</v>
      </c>
      <c r="AP11" s="53">
        <f>IF($A11="-","-",VLOOKUP($A11,[2]Controle!$A$6:$BP$215,AP$2,FALSE))</f>
        <v>0.3</v>
      </c>
      <c r="AQ11" s="53">
        <f>IF($A11="-","-",VLOOKUP($A11,[2]Controle!$A$6:$BP$215,AQ$2,FALSE))</f>
        <v>2</v>
      </c>
      <c r="AR11" s="53">
        <f>IF($A11="-","-",VLOOKUP($A11,[2]Controle!$A$6:$BP$215,AR$2,FALSE))</f>
        <v>1000000</v>
      </c>
      <c r="AS11" s="53" t="str">
        <f>IF($A11="-","-",VLOOKUP($A11,[2]Controle!$A$6:$BP$215,AS$2,FALSE))</f>
        <v>-</v>
      </c>
      <c r="AT11" s="53" t="str">
        <f>IF($A11="-","-",VLOOKUP($A11,[2]Controle!$A$6:$BP$215,AT$2,FALSE))</f>
        <v>-</v>
      </c>
      <c r="AU11" s="53" t="str">
        <f>IF($A11="-","-",VLOOKUP($A11,[2]Controle!$A$6:$BP$215,AU$2,FALSE))</f>
        <v>-</v>
      </c>
      <c r="AV11" s="53" t="str">
        <f>IF($A11="-","-",VLOOKUP($A11,[2]Controle!$A$6:$BP$215,AV$2,FALSE))</f>
        <v>-</v>
      </c>
      <c r="AW11" s="53" t="str">
        <f>IF($A11="-","-",VLOOKUP($A11,[2]Controle!$A$6:$BP$215,AW$2,FALSE))</f>
        <v>-</v>
      </c>
      <c r="AX11" s="53" t="str">
        <f>IF($A11="-","-",VLOOKUP($A11,[2]Controle!$A$6:$BP$215,AX$2,FALSE))</f>
        <v>-</v>
      </c>
      <c r="AY11" s="53" t="str">
        <f>IF($A11="-","-",VLOOKUP($A11,[2]Controle!$A$6:$BP$215,AY$2,FALSE))</f>
        <v>-</v>
      </c>
      <c r="AZ11" s="53" t="str">
        <f>IF($A11="-","-",VLOOKUP($A11,[2]Controle!$A$6:$BP$215,AZ$2,FALSE))</f>
        <v>-</v>
      </c>
      <c r="BA11" s="53" t="str">
        <f>IF($A11="-","-",VLOOKUP($A11,[2]Controle!$A$6:$BP$215,BA$2,FALSE))</f>
        <v>-</v>
      </c>
      <c r="BB11" s="53" t="str">
        <f>IF($A11="-","-",VLOOKUP($A11,[2]Controle!$A$6:$BP$215,BB$2,FALSE))</f>
        <v>-</v>
      </c>
      <c r="BC11" s="53" t="str">
        <f>IF($A11="-","-",VLOOKUP($A11,[2]Controle!$A$6:$BP$215,BC$2,FALSE))</f>
        <v>-</v>
      </c>
      <c r="BD11" s="53" t="str">
        <f>IF($A11="-","-",VLOOKUP($A11,[2]Controle!$A$6:$BP$215,BD$2,FALSE))</f>
        <v>-</v>
      </c>
      <c r="BE11" s="53" t="str">
        <f>IF($A11="-","-",VLOOKUP($A11,[2]Controle!$A$6:$BP$215,BE$2,FALSE))</f>
        <v>-</v>
      </c>
      <c r="BF11" s="53" t="str">
        <f>IF($A11="-","-",VLOOKUP($A11,[2]Controle!$A$6:$BP$215,BF$2,FALSE))</f>
        <v>-</v>
      </c>
      <c r="BG11" s="53" t="str">
        <f>IF($A11="-","-",VLOOKUP($A11,[2]Controle!$A$6:$BP$215,BG$2,FALSE))</f>
        <v>-</v>
      </c>
      <c r="BH11" s="53" t="str">
        <f>IF($A11="-","-",VLOOKUP($A11,[2]Controle!$A$6:$BP$215,BH$2,FALSE))</f>
        <v>-</v>
      </c>
      <c r="BI11" s="53" t="str">
        <f>IF($A11="-","-",VLOOKUP($A11,[2]Controle!$A$6:$BP$215,BI$2,FALSE))</f>
        <v>-</v>
      </c>
      <c r="BJ11" s="53" t="str">
        <f>IF($A11="-","-",VLOOKUP($A11,[2]Controle!$A$6:$BP$215,BJ$2,FALSE))</f>
        <v>-</v>
      </c>
      <c r="BK11" s="53" t="str">
        <f>IF($A11="-","-",VLOOKUP($A11,[2]Controle!$A$6:$BP$215,BK$2,FALSE))</f>
        <v>-</v>
      </c>
      <c r="BL11" s="53" t="str">
        <f>IF($A11="-","-",VLOOKUP($A11,[2]Controle!$A$6:$BP$215,BL$2,FALSE))</f>
        <v>-</v>
      </c>
      <c r="BM11" s="53" t="str">
        <f>IF($A11="-","-",VLOOKUP($A11,[2]Controle!$A$6:$BP$215,BM$2,FALSE))</f>
        <v>-</v>
      </c>
      <c r="BN11" s="53" t="str">
        <f>IF($A11="-","-",VLOOKUP($A11,[2]Controle!$A$6:$BP$215,BN$2,FALSE))</f>
        <v>-</v>
      </c>
      <c r="BO11" s="53" t="str">
        <f>IF($A11="-","-",VLOOKUP($A11,[2]Controle!$A$6:$BP$215,BO$2,FALSE))</f>
        <v>-</v>
      </c>
      <c r="BP11" s="53" t="str">
        <f>IF($A11="-","-",VLOOKUP($A11,[2]Controle!$A$6:$BP$215,BP$2,FALSE))</f>
        <v>-</v>
      </c>
      <c r="CT11" s="41">
        <f>IF(CV11="-",0,MAX($CT$5:CT10)+1)</f>
        <v>0</v>
      </c>
      <c r="CU11" s="53" t="str">
        <f t="shared" ca="1" si="2"/>
        <v>VENCIDO</v>
      </c>
      <c r="CV11" s="53" t="str">
        <f t="shared" si="3"/>
        <v>-</v>
      </c>
      <c r="CW11" s="53">
        <f t="shared" si="4"/>
        <v>111</v>
      </c>
      <c r="CY11" s="41" t="str">
        <f t="shared" si="5"/>
        <v>M</v>
      </c>
    </row>
    <row r="12" spans="1:103" x14ac:dyDescent="0.3">
      <c r="A12" s="56">
        <v>113</v>
      </c>
      <c r="B12" s="53" t="str">
        <f>IF($A12="-","-",VLOOKUP($A12,[2]Controle!$A$6:$BP$215,B$2,FALSE))</f>
        <v>M.TH.FS-007</v>
      </c>
      <c r="C12" s="53" t="str">
        <f>IF($A12="-","-",VLOOKUP($A12,[2]Controle!$A$6:$BP$215,C$2,FALSE))</f>
        <v>Termohigrômetro Digital</v>
      </c>
      <c r="D12" s="53" t="str">
        <f>IF($A12="-","-",VLOOKUP($A12,[2]Controle!$A$6:$BP$215,D$2,FALSE))</f>
        <v>Elus</v>
      </c>
      <c r="E12" s="53" t="str">
        <f>IF($A12="-","-",VLOOKUP($A12,[2]Controle!$A$6:$BP$215,E$2,FALSE))</f>
        <v>RBC - CAL 0439</v>
      </c>
      <c r="F12" s="53" t="str">
        <f>IF($A12="-","-",VLOOKUP($A12,[2]Controle!$A$6:$BP$215,F$2,FALSE))</f>
        <v>E0313/24</v>
      </c>
      <c r="G12" s="54">
        <f>IF($A12="-","-",VLOOKUP($A12,[2]Controle!$A$6:$BP$215,G$2,FALSE))</f>
        <v>45520</v>
      </c>
      <c r="H12" s="55">
        <f>IF($A12="-","-",VLOOKUP($A12,[2]Controle!$A$6:$BP$215,H$2,FALSE))</f>
        <v>45899</v>
      </c>
      <c r="I12" s="53" t="str">
        <f>IF($A12="-","-",VLOOKUP($A12,[2]Controle!$A$6:$BP$215,I$2,FALSE))</f>
        <v>°C</v>
      </c>
      <c r="J12" s="53" t="str">
        <f>IF($A12="-","-",VLOOKUP($A12,[2]Controle!$A$6:$BP$215,J$2,FALSE))</f>
        <v>IN</v>
      </c>
      <c r="K12" s="53" t="str">
        <f>IF($A12="-","-",VLOOKUP($A12,[2]Controle!$A$6:$BP$215,K$2,FALSE))</f>
        <v>NA</v>
      </c>
      <c r="L12" s="53">
        <f>IF($A12="-","-",VLOOKUP($A12,[2]Controle!$A$6:$BP$215,L$2,FALSE))</f>
        <v>15</v>
      </c>
      <c r="M12" s="53">
        <f>IF($A12="-","-",VLOOKUP($A12,[2]Controle!$A$6:$BP$215,M$2,FALSE))</f>
        <v>30</v>
      </c>
      <c r="N12" s="53">
        <f>IF($A12="-","-",VLOOKUP($A12,[2]Controle!$A$6:$BP$215,N$2,FALSE))</f>
        <v>0.1</v>
      </c>
      <c r="O12" s="53">
        <f>IF($A12="-","-",VLOOKUP($A12,[2]Controle!$A$6:$BP$215,O$2,FALSE))</f>
        <v>0.19999999999999929</v>
      </c>
      <c r="P12" s="53">
        <f>IF($A12="-","-",VLOOKUP($A12,[2]Controle!$A$6:$BP$215,P$2,FALSE))</f>
        <v>0.3</v>
      </c>
      <c r="Q12" s="53">
        <f>IF($A12="-","-",VLOOKUP($A12,[2]Controle!$A$6:$BP$215,Q$2,FALSE))</f>
        <v>0.19999999999999929</v>
      </c>
      <c r="R12" s="53">
        <f>IF($A12="-","-",VLOOKUP($A12,[2]Controle!$A$6:$BP$215,R$2,FALSE))</f>
        <v>2.500802904550975E-2</v>
      </c>
      <c r="S12" s="53">
        <f>IF($A12="-","-",VLOOKUP($A12,[2]Controle!$A$6:$BP$215,S$2,FALSE))</f>
        <v>2</v>
      </c>
      <c r="T12" s="53">
        <f>IF($A12="-","-",VLOOKUP($A12,[2]Controle!$A$6:$BP$215,T$2,FALSE))</f>
        <v>0</v>
      </c>
      <c r="U12" s="53">
        <f>IF($A12="-","-",VLOOKUP($A12,[2]Controle!$A$6:$BP$215,U$2,FALSE))</f>
        <v>0</v>
      </c>
      <c r="V12" s="53">
        <f>IF($A12="-","-",VLOOKUP($A12,[2]Controle!$A$6:$BP$215,V$2,FALSE))</f>
        <v>0</v>
      </c>
      <c r="W12" s="53">
        <f>IF($A12="-","-",VLOOKUP($A12,[2]Controle!$A$6:$BP$215,W$2,FALSE))</f>
        <v>0</v>
      </c>
      <c r="X12" s="53">
        <f>IF($A12="-","-",VLOOKUP($A12,[2]Controle!$A$6:$BP$215,X$2,FALSE))</f>
        <v>0</v>
      </c>
      <c r="Y12" s="53">
        <f>IF($A12="-","-",VLOOKUP($A12,[2]Controle!$A$6:$BP$215,Y$2,FALSE))</f>
        <v>0</v>
      </c>
      <c r="Z12" s="53">
        <f>IF($A12="-","-",VLOOKUP($A12,[2]Controle!$A$6:$BP$215,Z$2,FALSE))</f>
        <v>-2.8772272166668715E-3</v>
      </c>
      <c r="AA12" s="53">
        <f>IF($A12="-","-",VLOOKUP($A12,[2]Controle!$A$6:$BP$215,AA$2,FALSE))</f>
        <v>1.115576756934463</v>
      </c>
      <c r="AB12" s="53">
        <f>IF($A12="-","-",VLOOKUP($A12,[2]Controle!$A$6:$BP$215,AB$2,FALSE))</f>
        <v>-0.97744186186226667</v>
      </c>
      <c r="AC12" s="53">
        <f>IF($A12="-","-",VLOOKUP($A12,[2]Controle!$A$6:$BP$215,AC$2,FALSE))</f>
        <v>15</v>
      </c>
      <c r="AD12" s="53">
        <f>IF($A12="-","-",VLOOKUP($A12,[2]Controle!$A$6:$BP$215,AD$2,FALSE))</f>
        <v>0.3</v>
      </c>
      <c r="AE12" s="53">
        <f>IF($A12="-","-",VLOOKUP($A12,[2]Controle!$A$6:$BP$215,AE$2,FALSE))</f>
        <v>2</v>
      </c>
      <c r="AF12" s="53">
        <f>IF($A12="-","-",VLOOKUP($A12,[2]Controle!$A$6:$BP$215,AF$2,FALSE))</f>
        <v>1000000</v>
      </c>
      <c r="AG12" s="53">
        <f>IF($A12="-","-",VLOOKUP($A12,[2]Controle!$A$6:$BP$215,AG$2,FALSE))</f>
        <v>20</v>
      </c>
      <c r="AH12" s="53">
        <f>IF($A12="-","-",VLOOKUP($A12,[2]Controle!$A$6:$BP$215,AH$2,FALSE))</f>
        <v>0.3</v>
      </c>
      <c r="AI12" s="53">
        <f>IF($A12="-","-",VLOOKUP($A12,[2]Controle!$A$6:$BP$215,AI$2,FALSE))</f>
        <v>2</v>
      </c>
      <c r="AJ12" s="53">
        <f>IF($A12="-","-",VLOOKUP($A12,[2]Controle!$A$6:$BP$215,AJ$2,FALSE))</f>
        <v>1000000</v>
      </c>
      <c r="AK12" s="53">
        <f>IF($A12="-","-",VLOOKUP($A12,[2]Controle!$A$6:$BP$215,AK$2,FALSE))</f>
        <v>25</v>
      </c>
      <c r="AL12" s="53">
        <f>IF($A12="-","-",VLOOKUP($A12,[2]Controle!$A$6:$BP$215,AL$2,FALSE))</f>
        <v>0.3</v>
      </c>
      <c r="AM12" s="53">
        <f>IF($A12="-","-",VLOOKUP($A12,[2]Controle!$A$6:$BP$215,AM$2,FALSE))</f>
        <v>2</v>
      </c>
      <c r="AN12" s="53">
        <f>IF($A12="-","-",VLOOKUP($A12,[2]Controle!$A$6:$BP$215,AN$2,FALSE))</f>
        <v>1000000</v>
      </c>
      <c r="AO12" s="53">
        <f>IF($A12="-","-",VLOOKUP($A12,[2]Controle!$A$6:$BP$215,AO$2,FALSE))</f>
        <v>30</v>
      </c>
      <c r="AP12" s="53">
        <f>IF($A12="-","-",VLOOKUP($A12,[2]Controle!$A$6:$BP$215,AP$2,FALSE))</f>
        <v>0.3</v>
      </c>
      <c r="AQ12" s="53">
        <f>IF($A12="-","-",VLOOKUP($A12,[2]Controle!$A$6:$BP$215,AQ$2,FALSE))</f>
        <v>2</v>
      </c>
      <c r="AR12" s="53">
        <f>IF($A12="-","-",VLOOKUP($A12,[2]Controle!$A$6:$BP$215,AR$2,FALSE))</f>
        <v>1000000</v>
      </c>
      <c r="AS12" s="53" t="str">
        <f>IF($A12="-","-",VLOOKUP($A12,[2]Controle!$A$6:$BP$215,AS$2,FALSE))</f>
        <v>-</v>
      </c>
      <c r="AT12" s="53" t="str">
        <f>IF($A12="-","-",VLOOKUP($A12,[2]Controle!$A$6:$BP$215,AT$2,FALSE))</f>
        <v>-</v>
      </c>
      <c r="AU12" s="53" t="str">
        <f>IF($A12="-","-",VLOOKUP($A12,[2]Controle!$A$6:$BP$215,AU$2,FALSE))</f>
        <v>-</v>
      </c>
      <c r="AV12" s="53" t="str">
        <f>IF($A12="-","-",VLOOKUP($A12,[2]Controle!$A$6:$BP$215,AV$2,FALSE))</f>
        <v>-</v>
      </c>
      <c r="AW12" s="53" t="str">
        <f>IF($A12="-","-",VLOOKUP($A12,[2]Controle!$A$6:$BP$215,AW$2,FALSE))</f>
        <v>-</v>
      </c>
      <c r="AX12" s="53" t="str">
        <f>IF($A12="-","-",VLOOKUP($A12,[2]Controle!$A$6:$BP$215,AX$2,FALSE))</f>
        <v>-</v>
      </c>
      <c r="AY12" s="53" t="str">
        <f>IF($A12="-","-",VLOOKUP($A12,[2]Controle!$A$6:$BP$215,AY$2,FALSE))</f>
        <v>-</v>
      </c>
      <c r="AZ12" s="53" t="str">
        <f>IF($A12="-","-",VLOOKUP($A12,[2]Controle!$A$6:$BP$215,AZ$2,FALSE))</f>
        <v>-</v>
      </c>
      <c r="BA12" s="53" t="str">
        <f>IF($A12="-","-",VLOOKUP($A12,[2]Controle!$A$6:$BP$215,BA$2,FALSE))</f>
        <v>-</v>
      </c>
      <c r="BB12" s="53" t="str">
        <f>IF($A12="-","-",VLOOKUP($A12,[2]Controle!$A$6:$BP$215,BB$2,FALSE))</f>
        <v>-</v>
      </c>
      <c r="BC12" s="53" t="str">
        <f>IF($A12="-","-",VLOOKUP($A12,[2]Controle!$A$6:$BP$215,BC$2,FALSE))</f>
        <v>-</v>
      </c>
      <c r="BD12" s="53" t="str">
        <f>IF($A12="-","-",VLOOKUP($A12,[2]Controle!$A$6:$BP$215,BD$2,FALSE))</f>
        <v>-</v>
      </c>
      <c r="BE12" s="53" t="str">
        <f>IF($A12="-","-",VLOOKUP($A12,[2]Controle!$A$6:$BP$215,BE$2,FALSE))</f>
        <v>-</v>
      </c>
      <c r="BF12" s="53" t="str">
        <f>IF($A12="-","-",VLOOKUP($A12,[2]Controle!$A$6:$BP$215,BF$2,FALSE))</f>
        <v>-</v>
      </c>
      <c r="BG12" s="53" t="str">
        <f>IF($A12="-","-",VLOOKUP($A12,[2]Controle!$A$6:$BP$215,BG$2,FALSE))</f>
        <v>-</v>
      </c>
      <c r="BH12" s="53" t="str">
        <f>IF($A12="-","-",VLOOKUP($A12,[2]Controle!$A$6:$BP$215,BH$2,FALSE))</f>
        <v>-</v>
      </c>
      <c r="BI12" s="53" t="str">
        <f>IF($A12="-","-",VLOOKUP($A12,[2]Controle!$A$6:$BP$215,BI$2,FALSE))</f>
        <v>-</v>
      </c>
      <c r="BJ12" s="53" t="str">
        <f>IF($A12="-","-",VLOOKUP($A12,[2]Controle!$A$6:$BP$215,BJ$2,FALSE))</f>
        <v>-</v>
      </c>
      <c r="BK12" s="53" t="str">
        <f>IF($A12="-","-",VLOOKUP($A12,[2]Controle!$A$6:$BP$215,BK$2,FALSE))</f>
        <v>-</v>
      </c>
      <c r="BL12" s="53" t="str">
        <f>IF($A12="-","-",VLOOKUP($A12,[2]Controle!$A$6:$BP$215,BL$2,FALSE))</f>
        <v>-</v>
      </c>
      <c r="BM12" s="53" t="str">
        <f>IF($A12="-","-",VLOOKUP($A12,[2]Controle!$A$6:$BP$215,BM$2,FALSE))</f>
        <v>-</v>
      </c>
      <c r="BN12" s="53" t="str">
        <f>IF($A12="-","-",VLOOKUP($A12,[2]Controle!$A$6:$BP$215,BN$2,FALSE))</f>
        <v>-</v>
      </c>
      <c r="BO12" s="53" t="str">
        <f>IF($A12="-","-",VLOOKUP($A12,[2]Controle!$A$6:$BP$215,BO$2,FALSE))</f>
        <v>-</v>
      </c>
      <c r="BP12" s="53" t="str">
        <f>IF($A12="-","-",VLOOKUP($A12,[2]Controle!$A$6:$BP$215,BP$2,FALSE))</f>
        <v>-</v>
      </c>
      <c r="CT12" s="41">
        <f>IF(CV12="-",0,MAX($CT$5:CT11)+1)</f>
        <v>0</v>
      </c>
      <c r="CU12" s="53" t="str">
        <f t="shared" ca="1" si="2"/>
        <v>VENCIDO</v>
      </c>
      <c r="CV12" s="53" t="str">
        <f t="shared" si="3"/>
        <v>-</v>
      </c>
      <c r="CW12" s="53">
        <f t="shared" si="4"/>
        <v>113</v>
      </c>
      <c r="CY12" s="41" t="str">
        <f t="shared" si="5"/>
        <v>M</v>
      </c>
    </row>
    <row r="13" spans="1:103" x14ac:dyDescent="0.3">
      <c r="A13" s="56">
        <v>115</v>
      </c>
      <c r="B13" s="53" t="str">
        <f>IF($A13="-","-",VLOOKUP($A13,[2]Controle!$A$6:$BP$215,B$2,FALSE))</f>
        <v>M.MS.LM-012</v>
      </c>
      <c r="C13" s="53" t="str">
        <f>IF($A13="-","-",VLOOKUP($A13,[2]Controle!$A$6:$BP$215,C$2,FALSE))</f>
        <v>Termohigrômetro Digital</v>
      </c>
      <c r="D13" s="53" t="str">
        <f>IF($A13="-","-",VLOOKUP($A13,[2]Controle!$A$6:$BP$215,D$2,FALSE))</f>
        <v>Elus</v>
      </c>
      <c r="E13" s="53" t="str">
        <f>IF($A13="-","-",VLOOKUP($A13,[2]Controle!$A$6:$BP$215,E$2,FALSE))</f>
        <v>RBC - CAL 0439</v>
      </c>
      <c r="F13" s="53" t="str">
        <f>IF($A13="-","-",VLOOKUP($A13,[2]Controle!$A$6:$BP$215,F$2,FALSE))</f>
        <v>E0526B/24</v>
      </c>
      <c r="G13" s="54">
        <f>IF($A13="-","-",VLOOKUP($A13,[2]Controle!$A$6:$BP$215,G$2,FALSE))</f>
        <v>45664</v>
      </c>
      <c r="H13" s="55">
        <f>IF($A13="-","-",VLOOKUP($A13,[2]Controle!$A$6:$BP$215,H$2,FALSE))</f>
        <v>46417</v>
      </c>
      <c r="I13" s="53" t="str">
        <f>IF($A13="-","-",VLOOKUP($A13,[2]Controle!$A$6:$BP$215,I$2,FALSE))</f>
        <v>°C</v>
      </c>
      <c r="J13" s="53" t="str">
        <f>IF($A13="-","-",VLOOKUP($A13,[2]Controle!$A$6:$BP$215,J$2,FALSE))</f>
        <v>IN</v>
      </c>
      <c r="K13" s="53" t="str">
        <f>IF($A13="-","-",VLOOKUP($A13,[2]Controle!$A$6:$BP$215,K$2,FALSE))</f>
        <v>NA</v>
      </c>
      <c r="L13" s="53">
        <f>IF($A13="-","-",VLOOKUP($A13,[2]Controle!$A$6:$BP$215,L$2,FALSE))</f>
        <v>5</v>
      </c>
      <c r="M13" s="53">
        <f>IF($A13="-","-",VLOOKUP($A13,[2]Controle!$A$6:$BP$215,M$2,FALSE))</f>
        <v>40</v>
      </c>
      <c r="N13" s="53">
        <f>IF($A13="-","-",VLOOKUP($A13,[2]Controle!$A$6:$BP$215,N$2,FALSE))</f>
        <v>0.1</v>
      </c>
      <c r="O13" s="53">
        <f>IF($A13="-","-",VLOOKUP($A13,[2]Controle!$A$6:$BP$215,O$2,FALSE))</f>
        <v>0.5</v>
      </c>
      <c r="P13" s="53">
        <f>IF($A13="-","-",VLOOKUP($A13,[2]Controle!$A$6:$BP$215,P$2,FALSE))</f>
        <v>0.2</v>
      </c>
      <c r="Q13" s="53">
        <f>IF($A13="-","-",VLOOKUP($A13,[2]Controle!$A$6:$BP$215,Q$2,FALSE))</f>
        <v>0.5</v>
      </c>
      <c r="R13" s="53">
        <f>IF($A13="-","-",VLOOKUP($A13,[2]Controle!$A$6:$BP$215,R$2,FALSE))</f>
        <v>0.1153864759161829</v>
      </c>
      <c r="S13" s="53">
        <f>IF($A13="-","-",VLOOKUP($A13,[2]Controle!$A$6:$BP$215,S$2,FALSE))</f>
        <v>2</v>
      </c>
      <c r="T13" s="53">
        <f>IF($A13="-","-",VLOOKUP($A13,[2]Controle!$A$6:$BP$215,T$2,FALSE))</f>
        <v>0</v>
      </c>
      <c r="U13" s="53">
        <f>IF($A13="-","-",VLOOKUP($A13,[2]Controle!$A$6:$BP$215,U$2,FALSE))</f>
        <v>0</v>
      </c>
      <c r="V13" s="53">
        <f>IF($A13="-","-",VLOOKUP($A13,[2]Controle!$A$6:$BP$215,V$2,FALSE))</f>
        <v>0</v>
      </c>
      <c r="W13" s="53">
        <f>IF($A13="-","-",VLOOKUP($A13,[2]Controle!$A$6:$BP$215,W$2,FALSE))</f>
        <v>0</v>
      </c>
      <c r="X13" s="53">
        <f>IF($A13="-","-",VLOOKUP($A13,[2]Controle!$A$6:$BP$215,X$2,FALSE))</f>
        <v>0</v>
      </c>
      <c r="Y13" s="53">
        <f>IF($A13="-","-",VLOOKUP($A13,[2]Controle!$A$6:$BP$215,Y$2,FALSE))</f>
        <v>0</v>
      </c>
      <c r="Z13" s="53">
        <f>IF($A13="-","-",VLOOKUP($A13,[2]Controle!$A$6:$BP$215,Z$2,FALSE))</f>
        <v>5.8771918578368065E-4</v>
      </c>
      <c r="AA13" s="53">
        <f>IF($A13="-","-",VLOOKUP($A13,[2]Controle!$A$6:$BP$215,AA$2,FALSE))</f>
        <v>0.96045719082129732</v>
      </c>
      <c r="AB13" s="53">
        <f>IF($A13="-","-",VLOOKUP($A13,[2]Controle!$A$6:$BP$215,AB$2,FALSE))</f>
        <v>0.15382216649877967</v>
      </c>
      <c r="AC13" s="53">
        <f>IF($A13="-","-",VLOOKUP($A13,[2]Controle!$A$6:$BP$215,AC$2,FALSE))</f>
        <v>5</v>
      </c>
      <c r="AD13" s="53">
        <f>IF($A13="-","-",VLOOKUP($A13,[2]Controle!$A$6:$BP$215,AD$2,FALSE))</f>
        <v>0.2</v>
      </c>
      <c r="AE13" s="53">
        <f>IF($A13="-","-",VLOOKUP($A13,[2]Controle!$A$6:$BP$215,AE$2,FALSE))</f>
        <v>2</v>
      </c>
      <c r="AF13" s="53">
        <f>IF($A13="-","-",VLOOKUP($A13,[2]Controle!$A$6:$BP$215,AF$2,FALSE))</f>
        <v>1000000</v>
      </c>
      <c r="AG13" s="53">
        <f>IF($A13="-","-",VLOOKUP($A13,[2]Controle!$A$6:$BP$215,AG$2,FALSE))</f>
        <v>15</v>
      </c>
      <c r="AH13" s="53">
        <f>IF($A13="-","-",VLOOKUP($A13,[2]Controle!$A$6:$BP$215,AH$2,FALSE))</f>
        <v>0.2</v>
      </c>
      <c r="AI13" s="53">
        <f>IF($A13="-","-",VLOOKUP($A13,[2]Controle!$A$6:$BP$215,AI$2,FALSE))</f>
        <v>2</v>
      </c>
      <c r="AJ13" s="53">
        <f>IF($A13="-","-",VLOOKUP($A13,[2]Controle!$A$6:$BP$215,AJ$2,FALSE))</f>
        <v>1000000</v>
      </c>
      <c r="AK13" s="53">
        <f>IF($A13="-","-",VLOOKUP($A13,[2]Controle!$A$6:$BP$215,AK$2,FALSE))</f>
        <v>25</v>
      </c>
      <c r="AL13" s="53">
        <f>IF($A13="-","-",VLOOKUP($A13,[2]Controle!$A$6:$BP$215,AL$2,FALSE))</f>
        <v>0.2</v>
      </c>
      <c r="AM13" s="53">
        <f>IF($A13="-","-",VLOOKUP($A13,[2]Controle!$A$6:$BP$215,AM$2,FALSE))</f>
        <v>2</v>
      </c>
      <c r="AN13" s="53">
        <f>IF($A13="-","-",VLOOKUP($A13,[2]Controle!$A$6:$BP$215,AN$2,FALSE))</f>
        <v>1000000</v>
      </c>
      <c r="AO13" s="53">
        <f>IF($A13="-","-",VLOOKUP($A13,[2]Controle!$A$6:$BP$215,AO$2,FALSE))</f>
        <v>40</v>
      </c>
      <c r="AP13" s="53">
        <f>IF($A13="-","-",VLOOKUP($A13,[2]Controle!$A$6:$BP$215,AP$2,FALSE))</f>
        <v>0.2</v>
      </c>
      <c r="AQ13" s="53">
        <f>IF($A13="-","-",VLOOKUP($A13,[2]Controle!$A$6:$BP$215,AQ$2,FALSE))</f>
        <v>2</v>
      </c>
      <c r="AR13" s="53">
        <f>IF($A13="-","-",VLOOKUP($A13,[2]Controle!$A$6:$BP$215,AR$2,FALSE))</f>
        <v>1000000</v>
      </c>
      <c r="AS13" s="53" t="str">
        <f>IF($A13="-","-",VLOOKUP($A13,[2]Controle!$A$6:$BP$215,AS$2,FALSE))</f>
        <v>-</v>
      </c>
      <c r="AT13" s="53" t="str">
        <f>IF($A13="-","-",VLOOKUP($A13,[2]Controle!$A$6:$BP$215,AT$2,FALSE))</f>
        <v>-</v>
      </c>
      <c r="AU13" s="53" t="str">
        <f>IF($A13="-","-",VLOOKUP($A13,[2]Controle!$A$6:$BP$215,AU$2,FALSE))</f>
        <v>-</v>
      </c>
      <c r="AV13" s="53" t="str">
        <f>IF($A13="-","-",VLOOKUP($A13,[2]Controle!$A$6:$BP$215,AV$2,FALSE))</f>
        <v>-</v>
      </c>
      <c r="AW13" s="53" t="str">
        <f>IF($A13="-","-",VLOOKUP($A13,[2]Controle!$A$6:$BP$215,AW$2,FALSE))</f>
        <v>-</v>
      </c>
      <c r="AX13" s="53" t="str">
        <f>IF($A13="-","-",VLOOKUP($A13,[2]Controle!$A$6:$BP$215,AX$2,FALSE))</f>
        <v>-</v>
      </c>
      <c r="AY13" s="53" t="str">
        <f>IF($A13="-","-",VLOOKUP($A13,[2]Controle!$A$6:$BP$215,AY$2,FALSE))</f>
        <v>-</v>
      </c>
      <c r="AZ13" s="53" t="str">
        <f>IF($A13="-","-",VLOOKUP($A13,[2]Controle!$A$6:$BP$215,AZ$2,FALSE))</f>
        <v>-</v>
      </c>
      <c r="BA13" s="53" t="str">
        <f>IF($A13="-","-",VLOOKUP($A13,[2]Controle!$A$6:$BP$215,BA$2,FALSE))</f>
        <v>-</v>
      </c>
      <c r="BB13" s="53" t="str">
        <f>IF($A13="-","-",VLOOKUP($A13,[2]Controle!$A$6:$BP$215,BB$2,FALSE))</f>
        <v>-</v>
      </c>
      <c r="BC13" s="53" t="str">
        <f>IF($A13="-","-",VLOOKUP($A13,[2]Controle!$A$6:$BP$215,BC$2,FALSE))</f>
        <v>-</v>
      </c>
      <c r="BD13" s="53" t="str">
        <f>IF($A13="-","-",VLOOKUP($A13,[2]Controle!$A$6:$BP$215,BD$2,FALSE))</f>
        <v>-</v>
      </c>
      <c r="BE13" s="53" t="str">
        <f>IF($A13="-","-",VLOOKUP($A13,[2]Controle!$A$6:$BP$215,BE$2,FALSE))</f>
        <v>-</v>
      </c>
      <c r="BF13" s="53" t="str">
        <f>IF($A13="-","-",VLOOKUP($A13,[2]Controle!$A$6:$BP$215,BF$2,FALSE))</f>
        <v>-</v>
      </c>
      <c r="BG13" s="53" t="str">
        <f>IF($A13="-","-",VLOOKUP($A13,[2]Controle!$A$6:$BP$215,BG$2,FALSE))</f>
        <v>-</v>
      </c>
      <c r="BH13" s="53" t="str">
        <f>IF($A13="-","-",VLOOKUP($A13,[2]Controle!$A$6:$BP$215,BH$2,FALSE))</f>
        <v>-</v>
      </c>
      <c r="BI13" s="53" t="str">
        <f>IF($A13="-","-",VLOOKUP($A13,[2]Controle!$A$6:$BP$215,BI$2,FALSE))</f>
        <v>-</v>
      </c>
      <c r="BJ13" s="53" t="str">
        <f>IF($A13="-","-",VLOOKUP($A13,[2]Controle!$A$6:$BP$215,BJ$2,FALSE))</f>
        <v>-</v>
      </c>
      <c r="BK13" s="53" t="str">
        <f>IF($A13="-","-",VLOOKUP($A13,[2]Controle!$A$6:$BP$215,BK$2,FALSE))</f>
        <v>-</v>
      </c>
      <c r="BL13" s="53" t="str">
        <f>IF($A13="-","-",VLOOKUP($A13,[2]Controle!$A$6:$BP$215,BL$2,FALSE))</f>
        <v>-</v>
      </c>
      <c r="BM13" s="53" t="str">
        <f>IF($A13="-","-",VLOOKUP($A13,[2]Controle!$A$6:$BP$215,BM$2,FALSE))</f>
        <v>-</v>
      </c>
      <c r="BN13" s="53" t="str">
        <f>IF($A13="-","-",VLOOKUP($A13,[2]Controle!$A$6:$BP$215,BN$2,FALSE))</f>
        <v>-</v>
      </c>
      <c r="BO13" s="53" t="str">
        <f>IF($A13="-","-",VLOOKUP($A13,[2]Controle!$A$6:$BP$215,BO$2,FALSE))</f>
        <v>-</v>
      </c>
      <c r="BP13" s="53" t="str">
        <f>IF($A13="-","-",VLOOKUP($A13,[2]Controle!$A$6:$BP$215,BP$2,FALSE))</f>
        <v>-</v>
      </c>
      <c r="CT13" s="41">
        <f>IF(CV13="-",0,MAX($CT$5:CT12)+1)</f>
        <v>0</v>
      </c>
      <c r="CU13" s="53" t="str">
        <f t="shared" ca="1" si="2"/>
        <v>VÁLIDO</v>
      </c>
      <c r="CV13" s="53" t="str">
        <f t="shared" si="3"/>
        <v>-</v>
      </c>
      <c r="CW13" s="53">
        <f t="shared" si="4"/>
        <v>115</v>
      </c>
      <c r="CY13" s="41" t="str">
        <f t="shared" si="5"/>
        <v>M</v>
      </c>
    </row>
    <row r="14" spans="1:103" x14ac:dyDescent="0.3">
      <c r="A14" s="56">
        <v>116</v>
      </c>
      <c r="B14" s="53" t="str">
        <f>IF($A14="-","-",VLOOKUP($A14,[2]Controle!$A$6:$BP$215,B$2,FALSE))</f>
        <v>M.MS.LM-013</v>
      </c>
      <c r="C14" s="53" t="str">
        <f>IF($A14="-","-",VLOOKUP($A14,[2]Controle!$A$6:$BP$215,C$2,FALSE))</f>
        <v>Termohigrômetro Digital</v>
      </c>
      <c r="D14" s="53" t="str">
        <f>IF($A14="-","-",VLOOKUP($A14,[2]Controle!$A$6:$BP$215,D$2,FALSE))</f>
        <v>Elus</v>
      </c>
      <c r="E14" s="53" t="str">
        <f>IF($A14="-","-",VLOOKUP($A14,[2]Controle!$A$6:$BP$215,E$2,FALSE))</f>
        <v>RBC - CAL 0439</v>
      </c>
      <c r="F14" s="53" t="str">
        <f>IF($A14="-","-",VLOOKUP($A14,[2]Controle!$A$6:$BP$215,F$2,FALSE))</f>
        <v>E0040B/25</v>
      </c>
      <c r="G14" s="54">
        <f>IF($A14="-","-",VLOOKUP($A14,[2]Controle!$A$6:$BP$215,G$2,FALSE))</f>
        <v>45709</v>
      </c>
      <c r="H14" s="55">
        <f>IF($A14="-","-",VLOOKUP($A14,[2]Controle!$A$6:$BP$215,H$2,FALSE))</f>
        <v>46446</v>
      </c>
      <c r="I14" s="53" t="str">
        <f>IF($A14="-","-",VLOOKUP($A14,[2]Controle!$A$6:$BP$215,I$2,FALSE))</f>
        <v>°C</v>
      </c>
      <c r="J14" s="53" t="str">
        <f>IF($A14="-","-",VLOOKUP($A14,[2]Controle!$A$6:$BP$215,J$2,FALSE))</f>
        <v>IN</v>
      </c>
      <c r="K14" s="53" t="str">
        <f>IF($A14="-","-",VLOOKUP($A14,[2]Controle!$A$6:$BP$215,K$2,FALSE))</f>
        <v>NA</v>
      </c>
      <c r="L14" s="53">
        <f>IF($A14="-","-",VLOOKUP($A14,[2]Controle!$A$6:$BP$215,L$2,FALSE))</f>
        <v>5</v>
      </c>
      <c r="M14" s="53">
        <f>IF($A14="-","-",VLOOKUP($A14,[2]Controle!$A$6:$BP$215,M$2,FALSE))</f>
        <v>40</v>
      </c>
      <c r="N14" s="53">
        <f>IF($A14="-","-",VLOOKUP($A14,[2]Controle!$A$6:$BP$215,N$2,FALSE))</f>
        <v>0.1</v>
      </c>
      <c r="O14" s="53">
        <f>IF($A14="-","-",VLOOKUP($A14,[2]Controle!$A$6:$BP$215,O$2,FALSE))</f>
        <v>0.20000000000000284</v>
      </c>
      <c r="P14" s="53">
        <f>IF($A14="-","-",VLOOKUP($A14,[2]Controle!$A$6:$BP$215,P$2,FALSE))</f>
        <v>0.2</v>
      </c>
      <c r="Q14" s="53">
        <f>IF($A14="-","-",VLOOKUP($A14,[2]Controle!$A$6:$BP$215,Q$2,FALSE))</f>
        <v>0.20000000000000284</v>
      </c>
      <c r="R14" s="53">
        <f>IF($A14="-","-",VLOOKUP($A14,[2]Controle!$A$6:$BP$215,R$2,FALSE))</f>
        <v>4.5601552492158248E-3</v>
      </c>
      <c r="S14" s="53">
        <f>IF($A14="-","-",VLOOKUP($A14,[2]Controle!$A$6:$BP$215,S$2,FALSE))</f>
        <v>2</v>
      </c>
      <c r="T14" s="53">
        <f>IF($A14="-","-",VLOOKUP($A14,[2]Controle!$A$6:$BP$215,T$2,FALSE))</f>
        <v>0</v>
      </c>
      <c r="U14" s="53">
        <f>IF($A14="-","-",VLOOKUP($A14,[2]Controle!$A$6:$BP$215,U$2,FALSE))</f>
        <v>0</v>
      </c>
      <c r="V14" s="53">
        <f>IF($A14="-","-",VLOOKUP($A14,[2]Controle!$A$6:$BP$215,V$2,FALSE))</f>
        <v>0</v>
      </c>
      <c r="W14" s="53">
        <f>IF($A14="-","-",VLOOKUP($A14,[2]Controle!$A$6:$BP$215,W$2,FALSE))</f>
        <v>0</v>
      </c>
      <c r="X14" s="53">
        <f>IF($A14="-","-",VLOOKUP($A14,[2]Controle!$A$6:$BP$215,X$2,FALSE))</f>
        <v>0</v>
      </c>
      <c r="Y14" s="53">
        <f>IF($A14="-","-",VLOOKUP($A14,[2]Controle!$A$6:$BP$215,Y$2,FALSE))</f>
        <v>0</v>
      </c>
      <c r="Z14" s="53">
        <f>IF($A14="-","-",VLOOKUP($A14,[2]Controle!$A$6:$BP$215,Z$2,FALSE))</f>
        <v>4.537455003999788E-4</v>
      </c>
      <c r="AA14" s="53">
        <f>IF($A14="-","-",VLOOKUP($A14,[2]Controle!$A$6:$BP$215,AA$2,FALSE))</f>
        <v>0.99119499307627257</v>
      </c>
      <c r="AB14" s="53">
        <f>IF($A14="-","-",VLOOKUP($A14,[2]Controle!$A$6:$BP$215,AB$2,FALSE))</f>
        <v>-0.16766269332746192</v>
      </c>
      <c r="AC14" s="53">
        <f>IF($A14="-","-",VLOOKUP($A14,[2]Controle!$A$6:$BP$215,AC$2,FALSE))</f>
        <v>5</v>
      </c>
      <c r="AD14" s="53">
        <f>IF($A14="-","-",VLOOKUP($A14,[2]Controle!$A$6:$BP$215,AD$2,FALSE))</f>
        <v>0.2</v>
      </c>
      <c r="AE14" s="53">
        <f>IF($A14="-","-",VLOOKUP($A14,[2]Controle!$A$6:$BP$215,AE$2,FALSE))</f>
        <v>2</v>
      </c>
      <c r="AF14" s="53">
        <f>IF($A14="-","-",VLOOKUP($A14,[2]Controle!$A$6:$BP$215,AF$2,FALSE))</f>
        <v>1000000</v>
      </c>
      <c r="AG14" s="53">
        <f>IF($A14="-","-",VLOOKUP($A14,[2]Controle!$A$6:$BP$215,AG$2,FALSE))</f>
        <v>15</v>
      </c>
      <c r="AH14" s="53">
        <f>IF($A14="-","-",VLOOKUP($A14,[2]Controle!$A$6:$BP$215,AH$2,FALSE))</f>
        <v>0.2</v>
      </c>
      <c r="AI14" s="53">
        <f>IF($A14="-","-",VLOOKUP($A14,[2]Controle!$A$6:$BP$215,AI$2,FALSE))</f>
        <v>2</v>
      </c>
      <c r="AJ14" s="53">
        <f>IF($A14="-","-",VLOOKUP($A14,[2]Controle!$A$6:$BP$215,AJ$2,FALSE))</f>
        <v>1000000</v>
      </c>
      <c r="AK14" s="53">
        <f>IF($A14="-","-",VLOOKUP($A14,[2]Controle!$A$6:$BP$215,AK$2,FALSE))</f>
        <v>25</v>
      </c>
      <c r="AL14" s="53">
        <f>IF($A14="-","-",VLOOKUP($A14,[2]Controle!$A$6:$BP$215,AL$2,FALSE))</f>
        <v>0.2</v>
      </c>
      <c r="AM14" s="53">
        <f>IF($A14="-","-",VLOOKUP($A14,[2]Controle!$A$6:$BP$215,AM$2,FALSE))</f>
        <v>2</v>
      </c>
      <c r="AN14" s="53">
        <f>IF($A14="-","-",VLOOKUP($A14,[2]Controle!$A$6:$BP$215,AN$2,FALSE))</f>
        <v>1000000</v>
      </c>
      <c r="AO14" s="53">
        <f>IF($A14="-","-",VLOOKUP($A14,[2]Controle!$A$6:$BP$215,AO$2,FALSE))</f>
        <v>40</v>
      </c>
      <c r="AP14" s="53">
        <f>IF($A14="-","-",VLOOKUP($A14,[2]Controle!$A$6:$BP$215,AP$2,FALSE))</f>
        <v>0.2</v>
      </c>
      <c r="AQ14" s="53">
        <f>IF($A14="-","-",VLOOKUP($A14,[2]Controle!$A$6:$BP$215,AQ$2,FALSE))</f>
        <v>2</v>
      </c>
      <c r="AR14" s="53">
        <f>IF($A14="-","-",VLOOKUP($A14,[2]Controle!$A$6:$BP$215,AR$2,FALSE))</f>
        <v>1000000</v>
      </c>
      <c r="AS14" s="53" t="str">
        <f>IF($A14="-","-",VLOOKUP($A14,[2]Controle!$A$6:$BP$215,AS$2,FALSE))</f>
        <v>-</v>
      </c>
      <c r="AT14" s="53" t="str">
        <f>IF($A14="-","-",VLOOKUP($A14,[2]Controle!$A$6:$BP$215,AT$2,FALSE))</f>
        <v>-</v>
      </c>
      <c r="AU14" s="53" t="str">
        <f>IF($A14="-","-",VLOOKUP($A14,[2]Controle!$A$6:$BP$215,AU$2,FALSE))</f>
        <v>-</v>
      </c>
      <c r="AV14" s="53" t="str">
        <f>IF($A14="-","-",VLOOKUP($A14,[2]Controle!$A$6:$BP$215,AV$2,FALSE))</f>
        <v>-</v>
      </c>
      <c r="AW14" s="53" t="str">
        <f>IF($A14="-","-",VLOOKUP($A14,[2]Controle!$A$6:$BP$215,AW$2,FALSE))</f>
        <v>-</v>
      </c>
      <c r="AX14" s="53" t="str">
        <f>IF($A14="-","-",VLOOKUP($A14,[2]Controle!$A$6:$BP$215,AX$2,FALSE))</f>
        <v>-</v>
      </c>
      <c r="AY14" s="53" t="str">
        <f>IF($A14="-","-",VLOOKUP($A14,[2]Controle!$A$6:$BP$215,AY$2,FALSE))</f>
        <v>-</v>
      </c>
      <c r="AZ14" s="53" t="str">
        <f>IF($A14="-","-",VLOOKUP($A14,[2]Controle!$A$6:$BP$215,AZ$2,FALSE))</f>
        <v>-</v>
      </c>
      <c r="BA14" s="53" t="str">
        <f>IF($A14="-","-",VLOOKUP($A14,[2]Controle!$A$6:$BP$215,BA$2,FALSE))</f>
        <v>-</v>
      </c>
      <c r="BB14" s="53" t="str">
        <f>IF($A14="-","-",VLOOKUP($A14,[2]Controle!$A$6:$BP$215,BB$2,FALSE))</f>
        <v>-</v>
      </c>
      <c r="BC14" s="53" t="str">
        <f>IF($A14="-","-",VLOOKUP($A14,[2]Controle!$A$6:$BP$215,BC$2,FALSE))</f>
        <v>-</v>
      </c>
      <c r="BD14" s="53" t="str">
        <f>IF($A14="-","-",VLOOKUP($A14,[2]Controle!$A$6:$BP$215,BD$2,FALSE))</f>
        <v>-</v>
      </c>
      <c r="BE14" s="53" t="str">
        <f>IF($A14="-","-",VLOOKUP($A14,[2]Controle!$A$6:$BP$215,BE$2,FALSE))</f>
        <v>-</v>
      </c>
      <c r="BF14" s="53" t="str">
        <f>IF($A14="-","-",VLOOKUP($A14,[2]Controle!$A$6:$BP$215,BF$2,FALSE))</f>
        <v>-</v>
      </c>
      <c r="BG14" s="53" t="str">
        <f>IF($A14="-","-",VLOOKUP($A14,[2]Controle!$A$6:$BP$215,BG$2,FALSE))</f>
        <v>-</v>
      </c>
      <c r="BH14" s="53" t="str">
        <f>IF($A14="-","-",VLOOKUP($A14,[2]Controle!$A$6:$BP$215,BH$2,FALSE))</f>
        <v>-</v>
      </c>
      <c r="BI14" s="53" t="str">
        <f>IF($A14="-","-",VLOOKUP($A14,[2]Controle!$A$6:$BP$215,BI$2,FALSE))</f>
        <v>-</v>
      </c>
      <c r="BJ14" s="53" t="str">
        <f>IF($A14="-","-",VLOOKUP($A14,[2]Controle!$A$6:$BP$215,BJ$2,FALSE))</f>
        <v>-</v>
      </c>
      <c r="BK14" s="53" t="str">
        <f>IF($A14="-","-",VLOOKUP($A14,[2]Controle!$A$6:$BP$215,BK$2,FALSE))</f>
        <v>-</v>
      </c>
      <c r="BL14" s="53" t="str">
        <f>IF($A14="-","-",VLOOKUP($A14,[2]Controle!$A$6:$BP$215,BL$2,FALSE))</f>
        <v>-</v>
      </c>
      <c r="BM14" s="53" t="str">
        <f>IF($A14="-","-",VLOOKUP($A14,[2]Controle!$A$6:$BP$215,BM$2,FALSE))</f>
        <v>-</v>
      </c>
      <c r="BN14" s="53" t="str">
        <f>IF($A14="-","-",VLOOKUP($A14,[2]Controle!$A$6:$BP$215,BN$2,FALSE))</f>
        <v>-</v>
      </c>
      <c r="BO14" s="53" t="str">
        <f>IF($A14="-","-",VLOOKUP($A14,[2]Controle!$A$6:$BP$215,BO$2,FALSE))</f>
        <v>-</v>
      </c>
      <c r="BP14" s="53" t="str">
        <f>IF($A14="-","-",VLOOKUP($A14,[2]Controle!$A$6:$BP$215,BP$2,FALSE))</f>
        <v>-</v>
      </c>
      <c r="CT14" s="41">
        <f>IF(CV14="-",0,MAX($CT$5:CT13)+1)</f>
        <v>0</v>
      </c>
      <c r="CU14" s="53" t="str">
        <f t="shared" ref="CU14:CU24" ca="1" si="6">IF(CW14="-","-",IF($G$1&lt;=H14,"VÁLIDO","VENCIDO"))</f>
        <v>VÁLIDO</v>
      </c>
      <c r="CV14" s="53" t="str">
        <f t="shared" si="3"/>
        <v>-</v>
      </c>
      <c r="CW14" s="53">
        <f t="shared" ref="CW14:CW24" si="7">A14</f>
        <v>116</v>
      </c>
      <c r="CY14" s="41" t="str">
        <f t="shared" si="5"/>
        <v>M</v>
      </c>
    </row>
    <row r="15" spans="1:103" x14ac:dyDescent="0.3">
      <c r="A15" s="56" t="s">
        <v>54</v>
      </c>
      <c r="B15" s="53" t="str">
        <f>IF($A15="-","-",VLOOKUP($A15,[2]Controle!$A$6:$BP$215,B$2,FALSE))</f>
        <v>-</v>
      </c>
      <c r="C15" s="53" t="str">
        <f>IF($A15="-","-",VLOOKUP($A15,[2]Controle!$A$6:$BP$215,C$2,FALSE))</f>
        <v>-</v>
      </c>
      <c r="D15" s="53" t="str">
        <f>IF($A15="-","-",VLOOKUP($A15,[2]Controle!$A$6:$BP$215,D$2,FALSE))</f>
        <v>-</v>
      </c>
      <c r="E15" s="53" t="str">
        <f>IF($A15="-","-",VLOOKUP($A15,[2]Controle!$A$6:$BP$215,E$2,FALSE))</f>
        <v>-</v>
      </c>
      <c r="F15" s="53" t="str">
        <f>IF($A15="-","-",VLOOKUP($A15,[2]Controle!$A$6:$BP$215,F$2,FALSE))</f>
        <v>-</v>
      </c>
      <c r="G15" s="54" t="str">
        <f>IF($A15="-","-",VLOOKUP($A15,[2]Controle!$A$6:$BP$215,G$2,FALSE))</f>
        <v>-</v>
      </c>
      <c r="H15" s="55" t="str">
        <f>IF($A15="-","-",VLOOKUP($A15,[2]Controle!$A$6:$BP$215,H$2,FALSE))</f>
        <v>-</v>
      </c>
      <c r="I15" s="53" t="str">
        <f>IF($A15="-","-",VLOOKUP($A15,[2]Controle!$A$6:$BP$215,I$2,FALSE))</f>
        <v>-</v>
      </c>
      <c r="J15" s="53" t="str">
        <f>IF($A15="-","-",VLOOKUP($A15,[2]Controle!$A$6:$BP$215,J$2,FALSE))</f>
        <v>-</v>
      </c>
      <c r="K15" s="53" t="str">
        <f>IF($A15="-","-",VLOOKUP($A15,[2]Controle!$A$6:$BP$215,K$2,FALSE))</f>
        <v>-</v>
      </c>
      <c r="L15" s="53" t="str">
        <f>IF($A15="-","-",VLOOKUP($A15,[2]Controle!$A$6:$BP$215,L$2,FALSE))</f>
        <v>-</v>
      </c>
      <c r="M15" s="53" t="str">
        <f>IF($A15="-","-",VLOOKUP($A15,[2]Controle!$A$6:$BP$215,M$2,FALSE))</f>
        <v>-</v>
      </c>
      <c r="N15" s="53" t="str">
        <f>IF($A15="-","-",VLOOKUP($A15,[2]Controle!$A$6:$BP$215,N$2,FALSE))</f>
        <v>-</v>
      </c>
      <c r="O15" s="53" t="str">
        <f>IF($A15="-","-",VLOOKUP($A15,[2]Controle!$A$6:$BP$215,O$2,FALSE))</f>
        <v>-</v>
      </c>
      <c r="P15" s="53" t="str">
        <f>IF($A15="-","-",VLOOKUP($A15,[2]Controle!$A$6:$BP$215,P$2,FALSE))</f>
        <v>-</v>
      </c>
      <c r="Q15" s="53" t="str">
        <f>IF($A15="-","-",VLOOKUP($A15,[2]Controle!$A$6:$BP$215,Q$2,FALSE))</f>
        <v>-</v>
      </c>
      <c r="R15" s="53" t="str">
        <f>IF($A15="-","-",VLOOKUP($A15,[2]Controle!$A$6:$BP$215,R$2,FALSE))</f>
        <v>-</v>
      </c>
      <c r="S15" s="53" t="str">
        <f>IF($A15="-","-",VLOOKUP($A15,[2]Controle!$A$6:$BP$215,S$2,FALSE))</f>
        <v>-</v>
      </c>
      <c r="T15" s="53" t="str">
        <f>IF($A15="-","-",VLOOKUP($A15,[2]Controle!$A$6:$BP$215,T$2,FALSE))</f>
        <v>-</v>
      </c>
      <c r="U15" s="53" t="str">
        <f>IF($A15="-","-",VLOOKUP($A15,[2]Controle!$A$6:$BP$215,U$2,FALSE))</f>
        <v>-</v>
      </c>
      <c r="V15" s="53" t="str">
        <f>IF($A15="-","-",VLOOKUP($A15,[2]Controle!$A$6:$BP$215,V$2,FALSE))</f>
        <v>-</v>
      </c>
      <c r="W15" s="53" t="str">
        <f>IF($A15="-","-",VLOOKUP($A15,[2]Controle!$A$6:$BP$215,W$2,FALSE))</f>
        <v>-</v>
      </c>
      <c r="X15" s="53" t="str">
        <f>IF($A15="-","-",VLOOKUP($A15,[2]Controle!$A$6:$BP$215,X$2,FALSE))</f>
        <v>-</v>
      </c>
      <c r="Y15" s="53" t="str">
        <f>IF($A15="-","-",VLOOKUP($A15,[2]Controle!$A$6:$BP$215,Y$2,FALSE))</f>
        <v>-</v>
      </c>
      <c r="Z15" s="53" t="str">
        <f>IF($A15="-","-",VLOOKUP($A15,[2]Controle!$A$6:$BP$215,Z$2,FALSE))</f>
        <v>-</v>
      </c>
      <c r="AA15" s="53" t="str">
        <f>IF($A15="-","-",VLOOKUP($A15,[2]Controle!$A$6:$BP$215,AA$2,FALSE))</f>
        <v>-</v>
      </c>
      <c r="AB15" s="53" t="str">
        <f>IF($A15="-","-",VLOOKUP($A15,[2]Controle!$A$6:$BP$215,AB$2,FALSE))</f>
        <v>-</v>
      </c>
      <c r="AC15" s="53" t="str">
        <f>IF($A15="-","-",VLOOKUP($A15,[2]Controle!$A$6:$BP$215,AC$2,FALSE))</f>
        <v>-</v>
      </c>
      <c r="AD15" s="53" t="str">
        <f>IF($A15="-","-",VLOOKUP($A15,[2]Controle!$A$6:$BP$215,AD$2,FALSE))</f>
        <v>-</v>
      </c>
      <c r="AE15" s="53" t="str">
        <f>IF($A15="-","-",VLOOKUP($A15,[2]Controle!$A$6:$BP$215,AE$2,FALSE))</f>
        <v>-</v>
      </c>
      <c r="AF15" s="53" t="str">
        <f>IF($A15="-","-",VLOOKUP($A15,[2]Controle!$A$6:$BP$215,AF$2,FALSE))</f>
        <v>-</v>
      </c>
      <c r="AG15" s="53" t="str">
        <f>IF($A15="-","-",VLOOKUP($A15,[2]Controle!$A$6:$BP$215,AG$2,FALSE))</f>
        <v>-</v>
      </c>
      <c r="AH15" s="53" t="str">
        <f>IF($A15="-","-",VLOOKUP($A15,[2]Controle!$A$6:$BP$215,AH$2,FALSE))</f>
        <v>-</v>
      </c>
      <c r="AI15" s="53" t="str">
        <f>IF($A15="-","-",VLOOKUP($A15,[2]Controle!$A$6:$BP$215,AI$2,FALSE))</f>
        <v>-</v>
      </c>
      <c r="AJ15" s="53" t="str">
        <f>IF($A15="-","-",VLOOKUP($A15,[2]Controle!$A$6:$BP$215,AJ$2,FALSE))</f>
        <v>-</v>
      </c>
      <c r="AK15" s="53" t="str">
        <f>IF($A15="-","-",VLOOKUP($A15,[2]Controle!$A$6:$BP$215,AK$2,FALSE))</f>
        <v>-</v>
      </c>
      <c r="AL15" s="53" t="str">
        <f>IF($A15="-","-",VLOOKUP($A15,[2]Controle!$A$6:$BP$215,AL$2,FALSE))</f>
        <v>-</v>
      </c>
      <c r="AM15" s="53" t="str">
        <f>IF($A15="-","-",VLOOKUP($A15,[2]Controle!$A$6:$BP$215,AM$2,FALSE))</f>
        <v>-</v>
      </c>
      <c r="AN15" s="53" t="str">
        <f>IF($A15="-","-",VLOOKUP($A15,[2]Controle!$A$6:$BP$215,AN$2,FALSE))</f>
        <v>-</v>
      </c>
      <c r="AO15" s="53" t="str">
        <f>IF($A15="-","-",VLOOKUP($A15,[2]Controle!$A$6:$BP$215,AO$2,FALSE))</f>
        <v>-</v>
      </c>
      <c r="AP15" s="53" t="str">
        <f>IF($A15="-","-",VLOOKUP($A15,[2]Controle!$A$6:$BP$215,AP$2,FALSE))</f>
        <v>-</v>
      </c>
      <c r="AQ15" s="53" t="str">
        <f>IF($A15="-","-",VLOOKUP($A15,[2]Controle!$A$6:$BP$215,AQ$2,FALSE))</f>
        <v>-</v>
      </c>
      <c r="AR15" s="53" t="str">
        <f>IF($A15="-","-",VLOOKUP($A15,[2]Controle!$A$6:$BP$215,AR$2,FALSE))</f>
        <v>-</v>
      </c>
      <c r="AS15" s="53" t="str">
        <f>IF($A15="-","-",VLOOKUP($A15,[2]Controle!$A$6:$BP$215,AS$2,FALSE))</f>
        <v>-</v>
      </c>
      <c r="AT15" s="53" t="str">
        <f>IF($A15="-","-",VLOOKUP($A15,[2]Controle!$A$6:$BP$215,AT$2,FALSE))</f>
        <v>-</v>
      </c>
      <c r="AU15" s="53" t="str">
        <f>IF($A15="-","-",VLOOKUP($A15,[2]Controle!$A$6:$BP$215,AU$2,FALSE))</f>
        <v>-</v>
      </c>
      <c r="AV15" s="53" t="str">
        <f>IF($A15="-","-",VLOOKUP($A15,[2]Controle!$A$6:$BP$215,AV$2,FALSE))</f>
        <v>-</v>
      </c>
      <c r="AW15" s="53" t="str">
        <f>IF($A15="-","-",VLOOKUP($A15,[2]Controle!$A$6:$BP$215,AW$2,FALSE))</f>
        <v>-</v>
      </c>
      <c r="AX15" s="53" t="str">
        <f>IF($A15="-","-",VLOOKUP($A15,[2]Controle!$A$6:$BP$215,AX$2,FALSE))</f>
        <v>-</v>
      </c>
      <c r="AY15" s="53" t="str">
        <f>IF($A15="-","-",VLOOKUP($A15,[2]Controle!$A$6:$BP$215,AY$2,FALSE))</f>
        <v>-</v>
      </c>
      <c r="AZ15" s="53" t="str">
        <f>IF($A15="-","-",VLOOKUP($A15,[2]Controle!$A$6:$BP$215,AZ$2,FALSE))</f>
        <v>-</v>
      </c>
      <c r="BA15" s="53" t="str">
        <f>IF($A15="-","-",VLOOKUP($A15,[2]Controle!$A$6:$BP$215,BA$2,FALSE))</f>
        <v>-</v>
      </c>
      <c r="BB15" s="53" t="str">
        <f>IF($A15="-","-",VLOOKUP($A15,[2]Controle!$A$6:$BP$215,BB$2,FALSE))</f>
        <v>-</v>
      </c>
      <c r="BC15" s="53" t="str">
        <f>IF($A15="-","-",VLOOKUP($A15,[2]Controle!$A$6:$BP$215,BC$2,FALSE))</f>
        <v>-</v>
      </c>
      <c r="BD15" s="53" t="str">
        <f>IF($A15="-","-",VLOOKUP($A15,[2]Controle!$A$6:$BP$215,BD$2,FALSE))</f>
        <v>-</v>
      </c>
      <c r="BE15" s="53" t="str">
        <f>IF($A15="-","-",VLOOKUP($A15,[2]Controle!$A$6:$BP$215,BE$2,FALSE))</f>
        <v>-</v>
      </c>
      <c r="BF15" s="53" t="str">
        <f>IF($A15="-","-",VLOOKUP($A15,[2]Controle!$A$6:$BP$215,BF$2,FALSE))</f>
        <v>-</v>
      </c>
      <c r="BG15" s="53" t="str">
        <f>IF($A15="-","-",VLOOKUP($A15,[2]Controle!$A$6:$BP$215,BG$2,FALSE))</f>
        <v>-</v>
      </c>
      <c r="BH15" s="53" t="str">
        <f>IF($A15="-","-",VLOOKUP($A15,[2]Controle!$A$6:$BP$215,BH$2,FALSE))</f>
        <v>-</v>
      </c>
      <c r="BI15" s="53" t="str">
        <f>IF($A15="-","-",VLOOKUP($A15,[2]Controle!$A$6:$BP$215,BI$2,FALSE))</f>
        <v>-</v>
      </c>
      <c r="BJ15" s="53" t="str">
        <f>IF($A15="-","-",VLOOKUP($A15,[2]Controle!$A$6:$BP$215,BJ$2,FALSE))</f>
        <v>-</v>
      </c>
      <c r="BK15" s="53" t="str">
        <f>IF($A15="-","-",VLOOKUP($A15,[2]Controle!$A$6:$BP$215,BK$2,FALSE))</f>
        <v>-</v>
      </c>
      <c r="BL15" s="53" t="str">
        <f>IF($A15="-","-",VLOOKUP($A15,[2]Controle!$A$6:$BP$215,BL$2,FALSE))</f>
        <v>-</v>
      </c>
      <c r="BM15" s="53" t="str">
        <f>IF($A15="-","-",VLOOKUP($A15,[2]Controle!$A$6:$BP$215,BM$2,FALSE))</f>
        <v>-</v>
      </c>
      <c r="BN15" s="53" t="str">
        <f>IF($A15="-","-",VLOOKUP($A15,[2]Controle!$A$6:$BP$215,BN$2,FALSE))</f>
        <v>-</v>
      </c>
      <c r="BO15" s="53" t="str">
        <f>IF($A15="-","-",VLOOKUP($A15,[2]Controle!$A$6:$BP$215,BO$2,FALSE))</f>
        <v>-</v>
      </c>
      <c r="BP15" s="53" t="str">
        <f>IF($A15="-","-",VLOOKUP($A15,[2]Controle!$A$6:$BP$215,BP$2,FALSE))</f>
        <v>-</v>
      </c>
      <c r="CT15" s="41">
        <f>IF(CV15="-",0,MAX($CT$5:CT14)+1)</f>
        <v>0</v>
      </c>
      <c r="CU15" s="53" t="str">
        <f t="shared" si="6"/>
        <v>-</v>
      </c>
      <c r="CV15" s="53" t="str">
        <f t="shared" si="3"/>
        <v>-</v>
      </c>
      <c r="CW15" s="53" t="str">
        <f t="shared" si="7"/>
        <v>-</v>
      </c>
      <c r="CY15" s="41" t="str">
        <f t="shared" si="5"/>
        <v>-</v>
      </c>
    </row>
    <row r="16" spans="1:103" x14ac:dyDescent="0.3">
      <c r="A16" s="56" t="s">
        <v>54</v>
      </c>
      <c r="B16" s="53" t="str">
        <f>IF($A16="-","-",VLOOKUP($A16,[2]Controle!$A$6:$BP$215,B$2,FALSE))</f>
        <v>-</v>
      </c>
      <c r="C16" s="53" t="str">
        <f>IF($A16="-","-",VLOOKUP($A16,[2]Controle!$A$6:$BP$215,C$2,FALSE))</f>
        <v>-</v>
      </c>
      <c r="D16" s="53" t="str">
        <f>IF($A16="-","-",VLOOKUP($A16,[2]Controle!$A$6:$BP$215,D$2,FALSE))</f>
        <v>-</v>
      </c>
      <c r="E16" s="53" t="str">
        <f>IF($A16="-","-",VLOOKUP($A16,[2]Controle!$A$6:$BP$215,E$2,FALSE))</f>
        <v>-</v>
      </c>
      <c r="F16" s="53" t="str">
        <f>IF($A16="-","-",VLOOKUP($A16,[2]Controle!$A$6:$BP$215,F$2,FALSE))</f>
        <v>-</v>
      </c>
      <c r="G16" s="54" t="str">
        <f>IF($A16="-","-",VLOOKUP($A16,[2]Controle!$A$6:$BP$215,G$2,FALSE))</f>
        <v>-</v>
      </c>
      <c r="H16" s="55" t="str">
        <f>IF($A16="-","-",VLOOKUP($A16,[2]Controle!$A$6:$BP$215,H$2,FALSE))</f>
        <v>-</v>
      </c>
      <c r="I16" s="53" t="str">
        <f>IF($A16="-","-",VLOOKUP($A16,[2]Controle!$A$6:$BP$215,I$2,FALSE))</f>
        <v>-</v>
      </c>
      <c r="J16" s="53" t="str">
        <f>IF($A16="-","-",VLOOKUP($A16,[2]Controle!$A$6:$BP$215,J$2,FALSE))</f>
        <v>-</v>
      </c>
      <c r="K16" s="53" t="str">
        <f>IF($A16="-","-",VLOOKUP($A16,[2]Controle!$A$6:$BP$215,K$2,FALSE))</f>
        <v>-</v>
      </c>
      <c r="L16" s="53" t="str">
        <f>IF($A16="-","-",VLOOKUP($A16,[2]Controle!$A$6:$BP$215,L$2,FALSE))</f>
        <v>-</v>
      </c>
      <c r="M16" s="53" t="str">
        <f>IF($A16="-","-",VLOOKUP($A16,[2]Controle!$A$6:$BP$215,M$2,FALSE))</f>
        <v>-</v>
      </c>
      <c r="N16" s="53" t="str">
        <f>IF($A16="-","-",VLOOKUP($A16,[2]Controle!$A$6:$BP$215,N$2,FALSE))</f>
        <v>-</v>
      </c>
      <c r="O16" s="53" t="str">
        <f>IF($A16="-","-",VLOOKUP($A16,[2]Controle!$A$6:$BP$215,O$2,FALSE))</f>
        <v>-</v>
      </c>
      <c r="P16" s="53" t="str">
        <f>IF($A16="-","-",VLOOKUP($A16,[2]Controle!$A$6:$BP$215,P$2,FALSE))</f>
        <v>-</v>
      </c>
      <c r="Q16" s="53" t="str">
        <f>IF($A16="-","-",VLOOKUP($A16,[2]Controle!$A$6:$BP$215,Q$2,FALSE))</f>
        <v>-</v>
      </c>
      <c r="R16" s="53" t="str">
        <f>IF($A16="-","-",VLOOKUP($A16,[2]Controle!$A$6:$BP$215,R$2,FALSE))</f>
        <v>-</v>
      </c>
      <c r="S16" s="53" t="str">
        <f>IF($A16="-","-",VLOOKUP($A16,[2]Controle!$A$6:$BP$215,S$2,FALSE))</f>
        <v>-</v>
      </c>
      <c r="T16" s="53" t="str">
        <f>IF($A16="-","-",VLOOKUP($A16,[2]Controle!$A$6:$BP$215,T$2,FALSE))</f>
        <v>-</v>
      </c>
      <c r="U16" s="53" t="str">
        <f>IF($A16="-","-",VLOOKUP($A16,[2]Controle!$A$6:$BP$215,U$2,FALSE))</f>
        <v>-</v>
      </c>
      <c r="V16" s="53" t="str">
        <f>IF($A16="-","-",VLOOKUP($A16,[2]Controle!$A$6:$BP$215,V$2,FALSE))</f>
        <v>-</v>
      </c>
      <c r="W16" s="53" t="str">
        <f>IF($A16="-","-",VLOOKUP($A16,[2]Controle!$A$6:$BP$215,W$2,FALSE))</f>
        <v>-</v>
      </c>
      <c r="X16" s="53" t="str">
        <f>IF($A16="-","-",VLOOKUP($A16,[2]Controle!$A$6:$BP$215,X$2,FALSE))</f>
        <v>-</v>
      </c>
      <c r="Y16" s="53" t="str">
        <f>IF($A16="-","-",VLOOKUP($A16,[2]Controle!$A$6:$BP$215,Y$2,FALSE))</f>
        <v>-</v>
      </c>
      <c r="Z16" s="53" t="str">
        <f>IF($A16="-","-",VLOOKUP($A16,[2]Controle!$A$6:$BP$215,Z$2,FALSE))</f>
        <v>-</v>
      </c>
      <c r="AA16" s="53" t="str">
        <f>IF($A16="-","-",VLOOKUP($A16,[2]Controle!$A$6:$BP$215,AA$2,FALSE))</f>
        <v>-</v>
      </c>
      <c r="AB16" s="53" t="str">
        <f>IF($A16="-","-",VLOOKUP($A16,[2]Controle!$A$6:$BP$215,AB$2,FALSE))</f>
        <v>-</v>
      </c>
      <c r="AC16" s="53" t="str">
        <f>IF($A16="-","-",VLOOKUP($A16,[2]Controle!$A$6:$BP$215,AC$2,FALSE))</f>
        <v>-</v>
      </c>
      <c r="AD16" s="53" t="str">
        <f>IF($A16="-","-",VLOOKUP($A16,[2]Controle!$A$6:$BP$215,AD$2,FALSE))</f>
        <v>-</v>
      </c>
      <c r="AE16" s="53" t="str">
        <f>IF($A16="-","-",VLOOKUP($A16,[2]Controle!$A$6:$BP$215,AE$2,FALSE))</f>
        <v>-</v>
      </c>
      <c r="AF16" s="53" t="str">
        <f>IF($A16="-","-",VLOOKUP($A16,[2]Controle!$A$6:$BP$215,AF$2,FALSE))</f>
        <v>-</v>
      </c>
      <c r="AG16" s="53" t="str">
        <f>IF($A16="-","-",VLOOKUP($A16,[2]Controle!$A$6:$BP$215,AG$2,FALSE))</f>
        <v>-</v>
      </c>
      <c r="AH16" s="53" t="str">
        <f>IF($A16="-","-",VLOOKUP($A16,[2]Controle!$A$6:$BP$215,AH$2,FALSE))</f>
        <v>-</v>
      </c>
      <c r="AI16" s="53" t="str">
        <f>IF($A16="-","-",VLOOKUP($A16,[2]Controle!$A$6:$BP$215,AI$2,FALSE))</f>
        <v>-</v>
      </c>
      <c r="AJ16" s="53" t="str">
        <f>IF($A16="-","-",VLOOKUP($A16,[2]Controle!$A$6:$BP$215,AJ$2,FALSE))</f>
        <v>-</v>
      </c>
      <c r="AK16" s="53" t="str">
        <f>IF($A16="-","-",VLOOKUP($A16,[2]Controle!$A$6:$BP$215,AK$2,FALSE))</f>
        <v>-</v>
      </c>
      <c r="AL16" s="53" t="str">
        <f>IF($A16="-","-",VLOOKUP($A16,[2]Controle!$A$6:$BP$215,AL$2,FALSE))</f>
        <v>-</v>
      </c>
      <c r="AM16" s="53" t="str">
        <f>IF($A16="-","-",VLOOKUP($A16,[2]Controle!$A$6:$BP$215,AM$2,FALSE))</f>
        <v>-</v>
      </c>
      <c r="AN16" s="53" t="str">
        <f>IF($A16="-","-",VLOOKUP($A16,[2]Controle!$A$6:$BP$215,AN$2,FALSE))</f>
        <v>-</v>
      </c>
      <c r="AO16" s="53" t="str">
        <f>IF($A16="-","-",VLOOKUP($A16,[2]Controle!$A$6:$BP$215,AO$2,FALSE))</f>
        <v>-</v>
      </c>
      <c r="AP16" s="53" t="str">
        <f>IF($A16="-","-",VLOOKUP($A16,[2]Controle!$A$6:$BP$215,AP$2,FALSE))</f>
        <v>-</v>
      </c>
      <c r="AQ16" s="53" t="str">
        <f>IF($A16="-","-",VLOOKUP($A16,[2]Controle!$A$6:$BP$215,AQ$2,FALSE))</f>
        <v>-</v>
      </c>
      <c r="AR16" s="53" t="str">
        <f>IF($A16="-","-",VLOOKUP($A16,[2]Controle!$A$6:$BP$215,AR$2,FALSE))</f>
        <v>-</v>
      </c>
      <c r="AS16" s="53" t="str">
        <f>IF($A16="-","-",VLOOKUP($A16,[2]Controle!$A$6:$BP$215,AS$2,FALSE))</f>
        <v>-</v>
      </c>
      <c r="AT16" s="53" t="str">
        <f>IF($A16="-","-",VLOOKUP($A16,[2]Controle!$A$6:$BP$215,AT$2,FALSE))</f>
        <v>-</v>
      </c>
      <c r="AU16" s="53" t="str">
        <f>IF($A16="-","-",VLOOKUP($A16,[2]Controle!$A$6:$BP$215,AU$2,FALSE))</f>
        <v>-</v>
      </c>
      <c r="AV16" s="53" t="str">
        <f>IF($A16="-","-",VLOOKUP($A16,[2]Controle!$A$6:$BP$215,AV$2,FALSE))</f>
        <v>-</v>
      </c>
      <c r="AW16" s="53" t="str">
        <f>IF($A16="-","-",VLOOKUP($A16,[2]Controle!$A$6:$BP$215,AW$2,FALSE))</f>
        <v>-</v>
      </c>
      <c r="AX16" s="53" t="str">
        <f>IF($A16="-","-",VLOOKUP($A16,[2]Controle!$A$6:$BP$215,AX$2,FALSE))</f>
        <v>-</v>
      </c>
      <c r="AY16" s="53" t="str">
        <f>IF($A16="-","-",VLOOKUP($A16,[2]Controle!$A$6:$BP$215,AY$2,FALSE))</f>
        <v>-</v>
      </c>
      <c r="AZ16" s="53" t="str">
        <f>IF($A16="-","-",VLOOKUP($A16,[2]Controle!$A$6:$BP$215,AZ$2,FALSE))</f>
        <v>-</v>
      </c>
      <c r="BA16" s="53" t="str">
        <f>IF($A16="-","-",VLOOKUP($A16,[2]Controle!$A$6:$BP$215,BA$2,FALSE))</f>
        <v>-</v>
      </c>
      <c r="BB16" s="53" t="str">
        <f>IF($A16="-","-",VLOOKUP($A16,[2]Controle!$A$6:$BP$215,BB$2,FALSE))</f>
        <v>-</v>
      </c>
      <c r="BC16" s="53" t="str">
        <f>IF($A16="-","-",VLOOKUP($A16,[2]Controle!$A$6:$BP$215,BC$2,FALSE))</f>
        <v>-</v>
      </c>
      <c r="BD16" s="53" t="str">
        <f>IF($A16="-","-",VLOOKUP($A16,[2]Controle!$A$6:$BP$215,BD$2,FALSE))</f>
        <v>-</v>
      </c>
      <c r="BE16" s="53" t="str">
        <f>IF($A16="-","-",VLOOKUP($A16,[2]Controle!$A$6:$BP$215,BE$2,FALSE))</f>
        <v>-</v>
      </c>
      <c r="BF16" s="53" t="str">
        <f>IF($A16="-","-",VLOOKUP($A16,[2]Controle!$A$6:$BP$215,BF$2,FALSE))</f>
        <v>-</v>
      </c>
      <c r="BG16" s="53" t="str">
        <f>IF($A16="-","-",VLOOKUP($A16,[2]Controle!$A$6:$BP$215,BG$2,FALSE))</f>
        <v>-</v>
      </c>
      <c r="BH16" s="53" t="str">
        <f>IF($A16="-","-",VLOOKUP($A16,[2]Controle!$A$6:$BP$215,BH$2,FALSE))</f>
        <v>-</v>
      </c>
      <c r="BI16" s="53" t="str">
        <f>IF($A16="-","-",VLOOKUP($A16,[2]Controle!$A$6:$BP$215,BI$2,FALSE))</f>
        <v>-</v>
      </c>
      <c r="BJ16" s="53" t="str">
        <f>IF($A16="-","-",VLOOKUP($A16,[2]Controle!$A$6:$BP$215,BJ$2,FALSE))</f>
        <v>-</v>
      </c>
      <c r="BK16" s="53" t="str">
        <f>IF($A16="-","-",VLOOKUP($A16,[2]Controle!$A$6:$BP$215,BK$2,FALSE))</f>
        <v>-</v>
      </c>
      <c r="BL16" s="53" t="str">
        <f>IF($A16="-","-",VLOOKUP($A16,[2]Controle!$A$6:$BP$215,BL$2,FALSE))</f>
        <v>-</v>
      </c>
      <c r="BM16" s="53" t="str">
        <f>IF($A16="-","-",VLOOKUP($A16,[2]Controle!$A$6:$BP$215,BM$2,FALSE))</f>
        <v>-</v>
      </c>
      <c r="BN16" s="53" t="str">
        <f>IF($A16="-","-",VLOOKUP($A16,[2]Controle!$A$6:$BP$215,BN$2,FALSE))</f>
        <v>-</v>
      </c>
      <c r="BO16" s="53" t="str">
        <f>IF($A16="-","-",VLOOKUP($A16,[2]Controle!$A$6:$BP$215,BO$2,FALSE))</f>
        <v>-</v>
      </c>
      <c r="BP16" s="53" t="str">
        <f>IF($A16="-","-",VLOOKUP($A16,[2]Controle!$A$6:$BP$215,BP$2,FALSE))</f>
        <v>-</v>
      </c>
      <c r="CT16" s="41">
        <f>IF(CV16="-",0,MAX($CT$5:CT15)+1)</f>
        <v>0</v>
      </c>
      <c r="CU16" s="53" t="str">
        <f t="shared" ref="CU16:CU17" si="8">IF(CW16="-","-",IF($G$1&lt;=H16,"VÁLIDO","VENCIDO"))</f>
        <v>-</v>
      </c>
      <c r="CV16" s="53" t="str">
        <f t="shared" si="3"/>
        <v>-</v>
      </c>
      <c r="CW16" s="53" t="str">
        <f t="shared" ref="CW16:CW17" si="9">A16</f>
        <v>-</v>
      </c>
      <c r="CY16" s="41" t="str">
        <f t="shared" si="5"/>
        <v>-</v>
      </c>
    </row>
    <row r="17" spans="1:103" x14ac:dyDescent="0.3">
      <c r="A17" s="56" t="s">
        <v>54</v>
      </c>
      <c r="B17" s="53" t="str">
        <f>IF($A17="-","-",VLOOKUP($A17,[2]Controle!$A$6:$BP$215,B$2,FALSE))</f>
        <v>-</v>
      </c>
      <c r="C17" s="53" t="str">
        <f>IF($A17="-","-",VLOOKUP($A17,[2]Controle!$A$6:$BP$215,C$2,FALSE))</f>
        <v>-</v>
      </c>
      <c r="D17" s="53" t="str">
        <f>IF($A17="-","-",VLOOKUP($A17,[2]Controle!$A$6:$BP$215,D$2,FALSE))</f>
        <v>-</v>
      </c>
      <c r="E17" s="53" t="str">
        <f>IF($A17="-","-",VLOOKUP($A17,[2]Controle!$A$6:$BP$215,E$2,FALSE))</f>
        <v>-</v>
      </c>
      <c r="F17" s="53" t="str">
        <f>IF($A17="-","-",VLOOKUP($A17,[2]Controle!$A$6:$BP$215,F$2,FALSE))</f>
        <v>-</v>
      </c>
      <c r="G17" s="54" t="str">
        <f>IF($A17="-","-",VLOOKUP($A17,[2]Controle!$A$6:$BP$215,G$2,FALSE))</f>
        <v>-</v>
      </c>
      <c r="H17" s="55" t="str">
        <f>IF($A17="-","-",VLOOKUP($A17,[2]Controle!$A$6:$BP$215,H$2,FALSE))</f>
        <v>-</v>
      </c>
      <c r="I17" s="53" t="str">
        <f>IF($A17="-","-",VLOOKUP($A17,[2]Controle!$A$6:$BP$215,I$2,FALSE))</f>
        <v>-</v>
      </c>
      <c r="J17" s="53" t="str">
        <f>IF($A17="-","-",VLOOKUP($A17,[2]Controle!$A$6:$BP$215,J$2,FALSE))</f>
        <v>-</v>
      </c>
      <c r="K17" s="53" t="str">
        <f>IF($A17="-","-",VLOOKUP($A17,[2]Controle!$A$6:$BP$215,K$2,FALSE))</f>
        <v>-</v>
      </c>
      <c r="L17" s="53" t="str">
        <f>IF($A17="-","-",VLOOKUP($A17,[2]Controle!$A$6:$BP$215,L$2,FALSE))</f>
        <v>-</v>
      </c>
      <c r="M17" s="53" t="str">
        <f>IF($A17="-","-",VLOOKUP($A17,[2]Controle!$A$6:$BP$215,M$2,FALSE))</f>
        <v>-</v>
      </c>
      <c r="N17" s="53" t="str">
        <f>IF($A17="-","-",VLOOKUP($A17,[2]Controle!$A$6:$BP$215,N$2,FALSE))</f>
        <v>-</v>
      </c>
      <c r="O17" s="53" t="str">
        <f>IF($A17="-","-",VLOOKUP($A17,[2]Controle!$A$6:$BP$215,O$2,FALSE))</f>
        <v>-</v>
      </c>
      <c r="P17" s="53" t="str">
        <f>IF($A17="-","-",VLOOKUP($A17,[2]Controle!$A$6:$BP$215,P$2,FALSE))</f>
        <v>-</v>
      </c>
      <c r="Q17" s="53" t="str">
        <f>IF($A17="-","-",VLOOKUP($A17,[2]Controle!$A$6:$BP$215,Q$2,FALSE))</f>
        <v>-</v>
      </c>
      <c r="R17" s="53" t="str">
        <f>IF($A17="-","-",VLOOKUP($A17,[2]Controle!$A$6:$BP$215,R$2,FALSE))</f>
        <v>-</v>
      </c>
      <c r="S17" s="53" t="str">
        <f>IF($A17="-","-",VLOOKUP($A17,[2]Controle!$A$6:$BP$215,S$2,FALSE))</f>
        <v>-</v>
      </c>
      <c r="T17" s="53" t="str">
        <f>IF($A17="-","-",VLOOKUP($A17,[2]Controle!$A$6:$BP$215,T$2,FALSE))</f>
        <v>-</v>
      </c>
      <c r="U17" s="53" t="str">
        <f>IF($A17="-","-",VLOOKUP($A17,[2]Controle!$A$6:$BP$215,U$2,FALSE))</f>
        <v>-</v>
      </c>
      <c r="V17" s="53" t="str">
        <f>IF($A17="-","-",VLOOKUP($A17,[2]Controle!$A$6:$BP$215,V$2,FALSE))</f>
        <v>-</v>
      </c>
      <c r="W17" s="53" t="str">
        <f>IF($A17="-","-",VLOOKUP($A17,[2]Controle!$A$6:$BP$215,W$2,FALSE))</f>
        <v>-</v>
      </c>
      <c r="X17" s="53" t="str">
        <f>IF($A17="-","-",VLOOKUP($A17,[2]Controle!$A$6:$BP$215,X$2,FALSE))</f>
        <v>-</v>
      </c>
      <c r="Y17" s="53" t="str">
        <f>IF($A17="-","-",VLOOKUP($A17,[2]Controle!$A$6:$BP$215,Y$2,FALSE))</f>
        <v>-</v>
      </c>
      <c r="Z17" s="53" t="str">
        <f>IF($A17="-","-",VLOOKUP($A17,[2]Controle!$A$6:$BP$215,Z$2,FALSE))</f>
        <v>-</v>
      </c>
      <c r="AA17" s="53" t="str">
        <f>IF($A17="-","-",VLOOKUP($A17,[2]Controle!$A$6:$BP$215,AA$2,FALSE))</f>
        <v>-</v>
      </c>
      <c r="AB17" s="53" t="str">
        <f>IF($A17="-","-",VLOOKUP($A17,[2]Controle!$A$6:$BP$215,AB$2,FALSE))</f>
        <v>-</v>
      </c>
      <c r="AC17" s="53" t="str">
        <f>IF($A17="-","-",VLOOKUP($A17,[2]Controle!$A$6:$BP$215,AC$2,FALSE))</f>
        <v>-</v>
      </c>
      <c r="AD17" s="53" t="str">
        <f>IF($A17="-","-",VLOOKUP($A17,[2]Controle!$A$6:$BP$215,AD$2,FALSE))</f>
        <v>-</v>
      </c>
      <c r="AE17" s="53" t="str">
        <f>IF($A17="-","-",VLOOKUP($A17,[2]Controle!$A$6:$BP$215,AE$2,FALSE))</f>
        <v>-</v>
      </c>
      <c r="AF17" s="53" t="str">
        <f>IF($A17="-","-",VLOOKUP($A17,[2]Controle!$A$6:$BP$215,AF$2,FALSE))</f>
        <v>-</v>
      </c>
      <c r="AG17" s="53" t="str">
        <f>IF($A17="-","-",VLOOKUP($A17,[2]Controle!$A$6:$BP$215,AG$2,FALSE))</f>
        <v>-</v>
      </c>
      <c r="AH17" s="53" t="str">
        <f>IF($A17="-","-",VLOOKUP($A17,[2]Controle!$A$6:$BP$215,AH$2,FALSE))</f>
        <v>-</v>
      </c>
      <c r="AI17" s="53" t="str">
        <f>IF($A17="-","-",VLOOKUP($A17,[2]Controle!$A$6:$BP$215,AI$2,FALSE))</f>
        <v>-</v>
      </c>
      <c r="AJ17" s="53" t="str">
        <f>IF($A17="-","-",VLOOKUP($A17,[2]Controle!$A$6:$BP$215,AJ$2,FALSE))</f>
        <v>-</v>
      </c>
      <c r="AK17" s="53" t="str">
        <f>IF($A17="-","-",VLOOKUP($A17,[2]Controle!$A$6:$BP$215,AK$2,FALSE))</f>
        <v>-</v>
      </c>
      <c r="AL17" s="53" t="str">
        <f>IF($A17="-","-",VLOOKUP($A17,[2]Controle!$A$6:$BP$215,AL$2,FALSE))</f>
        <v>-</v>
      </c>
      <c r="AM17" s="53" t="str">
        <f>IF($A17="-","-",VLOOKUP($A17,[2]Controle!$A$6:$BP$215,AM$2,FALSE))</f>
        <v>-</v>
      </c>
      <c r="AN17" s="53" t="str">
        <f>IF($A17="-","-",VLOOKUP($A17,[2]Controle!$A$6:$BP$215,AN$2,FALSE))</f>
        <v>-</v>
      </c>
      <c r="AO17" s="53" t="str">
        <f>IF($A17="-","-",VLOOKUP($A17,[2]Controle!$A$6:$BP$215,AO$2,FALSE))</f>
        <v>-</v>
      </c>
      <c r="AP17" s="53" t="str">
        <f>IF($A17="-","-",VLOOKUP($A17,[2]Controle!$A$6:$BP$215,AP$2,FALSE))</f>
        <v>-</v>
      </c>
      <c r="AQ17" s="53" t="str">
        <f>IF($A17="-","-",VLOOKUP($A17,[2]Controle!$A$6:$BP$215,AQ$2,FALSE))</f>
        <v>-</v>
      </c>
      <c r="AR17" s="53" t="str">
        <f>IF($A17="-","-",VLOOKUP($A17,[2]Controle!$A$6:$BP$215,AR$2,FALSE))</f>
        <v>-</v>
      </c>
      <c r="AS17" s="53" t="str">
        <f>IF($A17="-","-",VLOOKUP($A17,[2]Controle!$A$6:$BP$215,AS$2,FALSE))</f>
        <v>-</v>
      </c>
      <c r="AT17" s="53" t="str">
        <f>IF($A17="-","-",VLOOKUP($A17,[2]Controle!$A$6:$BP$215,AT$2,FALSE))</f>
        <v>-</v>
      </c>
      <c r="AU17" s="53" t="str">
        <f>IF($A17="-","-",VLOOKUP($A17,[2]Controle!$A$6:$BP$215,AU$2,FALSE))</f>
        <v>-</v>
      </c>
      <c r="AV17" s="53" t="str">
        <f>IF($A17="-","-",VLOOKUP($A17,[2]Controle!$A$6:$BP$215,AV$2,FALSE))</f>
        <v>-</v>
      </c>
      <c r="AW17" s="53" t="str">
        <f>IF($A17="-","-",VLOOKUP($A17,[2]Controle!$A$6:$BP$215,AW$2,FALSE))</f>
        <v>-</v>
      </c>
      <c r="AX17" s="53" t="str">
        <f>IF($A17="-","-",VLOOKUP($A17,[2]Controle!$A$6:$BP$215,AX$2,FALSE))</f>
        <v>-</v>
      </c>
      <c r="AY17" s="53" t="str">
        <f>IF($A17="-","-",VLOOKUP($A17,[2]Controle!$A$6:$BP$215,AY$2,FALSE))</f>
        <v>-</v>
      </c>
      <c r="AZ17" s="53" t="str">
        <f>IF($A17="-","-",VLOOKUP($A17,[2]Controle!$A$6:$BP$215,AZ$2,FALSE))</f>
        <v>-</v>
      </c>
      <c r="BA17" s="53" t="str">
        <f>IF($A17="-","-",VLOOKUP($A17,[2]Controle!$A$6:$BP$215,BA$2,FALSE))</f>
        <v>-</v>
      </c>
      <c r="BB17" s="53" t="str">
        <f>IF($A17="-","-",VLOOKUP($A17,[2]Controle!$A$6:$BP$215,BB$2,FALSE))</f>
        <v>-</v>
      </c>
      <c r="BC17" s="53" t="str">
        <f>IF($A17="-","-",VLOOKUP($A17,[2]Controle!$A$6:$BP$215,BC$2,FALSE))</f>
        <v>-</v>
      </c>
      <c r="BD17" s="53" t="str">
        <f>IF($A17="-","-",VLOOKUP($A17,[2]Controle!$A$6:$BP$215,BD$2,FALSE))</f>
        <v>-</v>
      </c>
      <c r="BE17" s="53" t="str">
        <f>IF($A17="-","-",VLOOKUP($A17,[2]Controle!$A$6:$BP$215,BE$2,FALSE))</f>
        <v>-</v>
      </c>
      <c r="BF17" s="53" t="str">
        <f>IF($A17="-","-",VLOOKUP($A17,[2]Controle!$A$6:$BP$215,BF$2,FALSE))</f>
        <v>-</v>
      </c>
      <c r="BG17" s="53" t="str">
        <f>IF($A17="-","-",VLOOKUP($A17,[2]Controle!$A$6:$BP$215,BG$2,FALSE))</f>
        <v>-</v>
      </c>
      <c r="BH17" s="53" t="str">
        <f>IF($A17="-","-",VLOOKUP($A17,[2]Controle!$A$6:$BP$215,BH$2,FALSE))</f>
        <v>-</v>
      </c>
      <c r="BI17" s="53" t="str">
        <f>IF($A17="-","-",VLOOKUP($A17,[2]Controle!$A$6:$BP$215,BI$2,FALSE))</f>
        <v>-</v>
      </c>
      <c r="BJ17" s="53" t="str">
        <f>IF($A17="-","-",VLOOKUP($A17,[2]Controle!$A$6:$BP$215,BJ$2,FALSE))</f>
        <v>-</v>
      </c>
      <c r="BK17" s="53" t="str">
        <f>IF($A17="-","-",VLOOKUP($A17,[2]Controle!$A$6:$BP$215,BK$2,FALSE))</f>
        <v>-</v>
      </c>
      <c r="BL17" s="53" t="str">
        <f>IF($A17="-","-",VLOOKUP($A17,[2]Controle!$A$6:$BP$215,BL$2,FALSE))</f>
        <v>-</v>
      </c>
      <c r="BM17" s="53" t="str">
        <f>IF($A17="-","-",VLOOKUP($A17,[2]Controle!$A$6:$BP$215,BM$2,FALSE))</f>
        <v>-</v>
      </c>
      <c r="BN17" s="53" t="str">
        <f>IF($A17="-","-",VLOOKUP($A17,[2]Controle!$A$6:$BP$215,BN$2,FALSE))</f>
        <v>-</v>
      </c>
      <c r="BO17" s="53" t="str">
        <f>IF($A17="-","-",VLOOKUP($A17,[2]Controle!$A$6:$BP$215,BO$2,FALSE))</f>
        <v>-</v>
      </c>
      <c r="BP17" s="53" t="str">
        <f>IF($A17="-","-",VLOOKUP($A17,[2]Controle!$A$6:$BP$215,BP$2,FALSE))</f>
        <v>-</v>
      </c>
      <c r="CT17" s="41">
        <f>IF(CV17="-",0,MAX($CT$5:CT16)+1)</f>
        <v>0</v>
      </c>
      <c r="CU17" s="53" t="str">
        <f t="shared" si="8"/>
        <v>-</v>
      </c>
      <c r="CV17" s="53" t="str">
        <f t="shared" si="3"/>
        <v>-</v>
      </c>
      <c r="CW17" s="53" t="str">
        <f t="shared" si="9"/>
        <v>-</v>
      </c>
      <c r="CY17" s="41" t="str">
        <f t="shared" si="5"/>
        <v>-</v>
      </c>
    </row>
    <row r="18" spans="1:103" x14ac:dyDescent="0.3">
      <c r="A18" s="56" t="s">
        <v>54</v>
      </c>
      <c r="B18" s="53" t="str">
        <f>IF($A18="-","-",VLOOKUP($A18,[2]Controle!$A$6:$BP$215,B$2,FALSE))</f>
        <v>-</v>
      </c>
      <c r="C18" s="53" t="str">
        <f>IF($A18="-","-",VLOOKUP($A18,[2]Controle!$A$6:$BP$215,C$2,FALSE))</f>
        <v>-</v>
      </c>
      <c r="D18" s="53" t="str">
        <f>IF($A18="-","-",VLOOKUP($A18,[2]Controle!$A$6:$BP$215,D$2,FALSE))</f>
        <v>-</v>
      </c>
      <c r="E18" s="53" t="str">
        <f>IF($A18="-","-",VLOOKUP($A18,[2]Controle!$A$6:$BP$215,E$2,FALSE))</f>
        <v>-</v>
      </c>
      <c r="F18" s="53" t="str">
        <f>IF($A18="-","-",VLOOKUP($A18,[2]Controle!$A$6:$BP$215,F$2,FALSE))</f>
        <v>-</v>
      </c>
      <c r="G18" s="54" t="str">
        <f>IF($A18="-","-",VLOOKUP($A18,[2]Controle!$A$6:$BP$215,G$2,FALSE))</f>
        <v>-</v>
      </c>
      <c r="H18" s="55" t="str">
        <f>IF($A18="-","-",VLOOKUP($A18,[2]Controle!$A$6:$BP$215,H$2,FALSE))</f>
        <v>-</v>
      </c>
      <c r="I18" s="53" t="str">
        <f>IF($A18="-","-",VLOOKUP($A18,[2]Controle!$A$6:$BP$215,I$2,FALSE))</f>
        <v>-</v>
      </c>
      <c r="J18" s="53" t="str">
        <f>IF($A18="-","-",VLOOKUP($A18,[2]Controle!$A$6:$BP$215,J$2,FALSE))</f>
        <v>-</v>
      </c>
      <c r="K18" s="53" t="str">
        <f>IF($A18="-","-",VLOOKUP($A18,[2]Controle!$A$6:$BP$215,K$2,FALSE))</f>
        <v>-</v>
      </c>
      <c r="L18" s="53" t="str">
        <f>IF($A18="-","-",VLOOKUP($A18,[2]Controle!$A$6:$BP$215,L$2,FALSE))</f>
        <v>-</v>
      </c>
      <c r="M18" s="53" t="str">
        <f>IF($A18="-","-",VLOOKUP($A18,[2]Controle!$A$6:$BP$215,M$2,FALSE))</f>
        <v>-</v>
      </c>
      <c r="N18" s="53" t="str">
        <f>IF($A18="-","-",VLOOKUP($A18,[2]Controle!$A$6:$BP$215,N$2,FALSE))</f>
        <v>-</v>
      </c>
      <c r="O18" s="53" t="str">
        <f>IF($A18="-","-",VLOOKUP($A18,[2]Controle!$A$6:$BP$215,O$2,FALSE))</f>
        <v>-</v>
      </c>
      <c r="P18" s="53" t="str">
        <f>IF($A18="-","-",VLOOKUP($A18,[2]Controle!$A$6:$BP$215,P$2,FALSE))</f>
        <v>-</v>
      </c>
      <c r="Q18" s="53" t="str">
        <f>IF($A18="-","-",VLOOKUP($A18,[2]Controle!$A$6:$BP$215,Q$2,FALSE))</f>
        <v>-</v>
      </c>
      <c r="R18" s="53" t="str">
        <f>IF($A18="-","-",VLOOKUP($A18,[2]Controle!$A$6:$BP$215,R$2,FALSE))</f>
        <v>-</v>
      </c>
      <c r="S18" s="53" t="str">
        <f>IF($A18="-","-",VLOOKUP($A18,[2]Controle!$A$6:$BP$215,S$2,FALSE))</f>
        <v>-</v>
      </c>
      <c r="T18" s="53" t="str">
        <f>IF($A18="-","-",VLOOKUP($A18,[2]Controle!$A$6:$BP$215,T$2,FALSE))</f>
        <v>-</v>
      </c>
      <c r="U18" s="53" t="str">
        <f>IF($A18="-","-",VLOOKUP($A18,[2]Controle!$A$6:$BP$215,U$2,FALSE))</f>
        <v>-</v>
      </c>
      <c r="V18" s="53" t="str">
        <f>IF($A18="-","-",VLOOKUP($A18,[2]Controle!$A$6:$BP$215,V$2,FALSE))</f>
        <v>-</v>
      </c>
      <c r="W18" s="53" t="str">
        <f>IF($A18="-","-",VLOOKUP($A18,[2]Controle!$A$6:$BP$215,W$2,FALSE))</f>
        <v>-</v>
      </c>
      <c r="X18" s="53" t="str">
        <f>IF($A18="-","-",VLOOKUP($A18,[2]Controle!$A$6:$BP$215,X$2,FALSE))</f>
        <v>-</v>
      </c>
      <c r="Y18" s="53" t="str">
        <f>IF($A18="-","-",VLOOKUP($A18,[2]Controle!$A$6:$BP$215,Y$2,FALSE))</f>
        <v>-</v>
      </c>
      <c r="Z18" s="53" t="str">
        <f>IF($A18="-","-",VLOOKUP($A18,[2]Controle!$A$6:$BP$215,Z$2,FALSE))</f>
        <v>-</v>
      </c>
      <c r="AA18" s="53" t="str">
        <f>IF($A18="-","-",VLOOKUP($A18,[2]Controle!$A$6:$BP$215,AA$2,FALSE))</f>
        <v>-</v>
      </c>
      <c r="AB18" s="53" t="str">
        <f>IF($A18="-","-",VLOOKUP($A18,[2]Controle!$A$6:$BP$215,AB$2,FALSE))</f>
        <v>-</v>
      </c>
      <c r="AC18" s="53" t="str">
        <f>IF($A18="-","-",VLOOKUP($A18,[2]Controle!$A$6:$BP$215,AC$2,FALSE))</f>
        <v>-</v>
      </c>
      <c r="AD18" s="53" t="str">
        <f>IF($A18="-","-",VLOOKUP($A18,[2]Controle!$A$6:$BP$215,AD$2,FALSE))</f>
        <v>-</v>
      </c>
      <c r="AE18" s="53" t="str">
        <f>IF($A18="-","-",VLOOKUP($A18,[2]Controle!$A$6:$BP$215,AE$2,FALSE))</f>
        <v>-</v>
      </c>
      <c r="AF18" s="53" t="str">
        <f>IF($A18="-","-",VLOOKUP($A18,[2]Controle!$A$6:$BP$215,AF$2,FALSE))</f>
        <v>-</v>
      </c>
      <c r="AG18" s="53" t="str">
        <f>IF($A18="-","-",VLOOKUP($A18,[2]Controle!$A$6:$BP$215,AG$2,FALSE))</f>
        <v>-</v>
      </c>
      <c r="AH18" s="53" t="str">
        <f>IF($A18="-","-",VLOOKUP($A18,[2]Controle!$A$6:$BP$215,AH$2,FALSE))</f>
        <v>-</v>
      </c>
      <c r="AI18" s="53" t="str">
        <f>IF($A18="-","-",VLOOKUP($A18,[2]Controle!$A$6:$BP$215,AI$2,FALSE))</f>
        <v>-</v>
      </c>
      <c r="AJ18" s="53" t="str">
        <f>IF($A18="-","-",VLOOKUP($A18,[2]Controle!$A$6:$BP$215,AJ$2,FALSE))</f>
        <v>-</v>
      </c>
      <c r="AK18" s="53" t="str">
        <f>IF($A18="-","-",VLOOKUP($A18,[2]Controle!$A$6:$BP$215,AK$2,FALSE))</f>
        <v>-</v>
      </c>
      <c r="AL18" s="53" t="str">
        <f>IF($A18="-","-",VLOOKUP($A18,[2]Controle!$A$6:$BP$215,AL$2,FALSE))</f>
        <v>-</v>
      </c>
      <c r="AM18" s="53" t="str">
        <f>IF($A18="-","-",VLOOKUP($A18,[2]Controle!$A$6:$BP$215,AM$2,FALSE))</f>
        <v>-</v>
      </c>
      <c r="AN18" s="53" t="str">
        <f>IF($A18="-","-",VLOOKUP($A18,[2]Controle!$A$6:$BP$215,AN$2,FALSE))</f>
        <v>-</v>
      </c>
      <c r="AO18" s="53" t="str">
        <f>IF($A18="-","-",VLOOKUP($A18,[2]Controle!$A$6:$BP$215,AO$2,FALSE))</f>
        <v>-</v>
      </c>
      <c r="AP18" s="53" t="str">
        <f>IF($A18="-","-",VLOOKUP($A18,[2]Controle!$A$6:$BP$215,AP$2,FALSE))</f>
        <v>-</v>
      </c>
      <c r="AQ18" s="53" t="str">
        <f>IF($A18="-","-",VLOOKUP($A18,[2]Controle!$A$6:$BP$215,AQ$2,FALSE))</f>
        <v>-</v>
      </c>
      <c r="AR18" s="53" t="str">
        <f>IF($A18="-","-",VLOOKUP($A18,[2]Controle!$A$6:$BP$215,AR$2,FALSE))</f>
        <v>-</v>
      </c>
      <c r="AS18" s="53" t="str">
        <f>IF($A18="-","-",VLOOKUP($A18,[2]Controle!$A$6:$BP$215,AS$2,FALSE))</f>
        <v>-</v>
      </c>
      <c r="AT18" s="53" t="str">
        <f>IF($A18="-","-",VLOOKUP($A18,[2]Controle!$A$6:$BP$215,AT$2,FALSE))</f>
        <v>-</v>
      </c>
      <c r="AU18" s="53" t="str">
        <f>IF($A18="-","-",VLOOKUP($A18,[2]Controle!$A$6:$BP$215,AU$2,FALSE))</f>
        <v>-</v>
      </c>
      <c r="AV18" s="53" t="str">
        <f>IF($A18="-","-",VLOOKUP($A18,[2]Controle!$A$6:$BP$215,AV$2,FALSE))</f>
        <v>-</v>
      </c>
      <c r="AW18" s="53" t="str">
        <f>IF($A18="-","-",VLOOKUP($A18,[2]Controle!$A$6:$BP$215,AW$2,FALSE))</f>
        <v>-</v>
      </c>
      <c r="AX18" s="53" t="str">
        <f>IF($A18="-","-",VLOOKUP($A18,[2]Controle!$A$6:$BP$215,AX$2,FALSE))</f>
        <v>-</v>
      </c>
      <c r="AY18" s="53" t="str">
        <f>IF($A18="-","-",VLOOKUP($A18,[2]Controle!$A$6:$BP$215,AY$2,FALSE))</f>
        <v>-</v>
      </c>
      <c r="AZ18" s="53" t="str">
        <f>IF($A18="-","-",VLOOKUP($A18,[2]Controle!$A$6:$BP$215,AZ$2,FALSE))</f>
        <v>-</v>
      </c>
      <c r="BA18" s="53" t="str">
        <f>IF($A18="-","-",VLOOKUP($A18,[2]Controle!$A$6:$BP$215,BA$2,FALSE))</f>
        <v>-</v>
      </c>
      <c r="BB18" s="53" t="str">
        <f>IF($A18="-","-",VLOOKUP($A18,[2]Controle!$A$6:$BP$215,BB$2,FALSE))</f>
        <v>-</v>
      </c>
      <c r="BC18" s="53" t="str">
        <f>IF($A18="-","-",VLOOKUP($A18,[2]Controle!$A$6:$BP$215,BC$2,FALSE))</f>
        <v>-</v>
      </c>
      <c r="BD18" s="53" t="str">
        <f>IF($A18="-","-",VLOOKUP($A18,[2]Controle!$A$6:$BP$215,BD$2,FALSE))</f>
        <v>-</v>
      </c>
      <c r="BE18" s="53" t="str">
        <f>IF($A18="-","-",VLOOKUP($A18,[2]Controle!$A$6:$BP$215,BE$2,FALSE))</f>
        <v>-</v>
      </c>
      <c r="BF18" s="53" t="str">
        <f>IF($A18="-","-",VLOOKUP($A18,[2]Controle!$A$6:$BP$215,BF$2,FALSE))</f>
        <v>-</v>
      </c>
      <c r="BG18" s="53" t="str">
        <f>IF($A18="-","-",VLOOKUP($A18,[2]Controle!$A$6:$BP$215,BG$2,FALSE))</f>
        <v>-</v>
      </c>
      <c r="BH18" s="53" t="str">
        <f>IF($A18="-","-",VLOOKUP($A18,[2]Controle!$A$6:$BP$215,BH$2,FALSE))</f>
        <v>-</v>
      </c>
      <c r="BI18" s="53" t="str">
        <f>IF($A18="-","-",VLOOKUP($A18,[2]Controle!$A$6:$BP$215,BI$2,FALSE))</f>
        <v>-</v>
      </c>
      <c r="BJ18" s="53" t="str">
        <f>IF($A18="-","-",VLOOKUP($A18,[2]Controle!$A$6:$BP$215,BJ$2,FALSE))</f>
        <v>-</v>
      </c>
      <c r="BK18" s="53" t="str">
        <f>IF($A18="-","-",VLOOKUP($A18,[2]Controle!$A$6:$BP$215,BK$2,FALSE))</f>
        <v>-</v>
      </c>
      <c r="BL18" s="53" t="str">
        <f>IF($A18="-","-",VLOOKUP($A18,[2]Controle!$A$6:$BP$215,BL$2,FALSE))</f>
        <v>-</v>
      </c>
      <c r="BM18" s="53" t="str">
        <f>IF($A18="-","-",VLOOKUP($A18,[2]Controle!$A$6:$BP$215,BM$2,FALSE))</f>
        <v>-</v>
      </c>
      <c r="BN18" s="53" t="str">
        <f>IF($A18="-","-",VLOOKUP($A18,[2]Controle!$A$6:$BP$215,BN$2,FALSE))</f>
        <v>-</v>
      </c>
      <c r="BO18" s="53" t="str">
        <f>IF($A18="-","-",VLOOKUP($A18,[2]Controle!$A$6:$BP$215,BO$2,FALSE))</f>
        <v>-</v>
      </c>
      <c r="BP18" s="53" t="str">
        <f>IF($A18="-","-",VLOOKUP($A18,[2]Controle!$A$6:$BP$215,BP$2,FALSE))</f>
        <v>-</v>
      </c>
      <c r="CT18" s="41">
        <f>IF(CV18="-",0,MAX($CT$5:CT17)+1)</f>
        <v>0</v>
      </c>
      <c r="CU18" s="53" t="str">
        <f t="shared" si="6"/>
        <v>-</v>
      </c>
      <c r="CV18" s="53" t="str">
        <f t="shared" si="3"/>
        <v>-</v>
      </c>
      <c r="CW18" s="53" t="str">
        <f t="shared" si="7"/>
        <v>-</v>
      </c>
      <c r="CY18" s="41" t="str">
        <f t="shared" si="5"/>
        <v>-</v>
      </c>
    </row>
    <row r="19" spans="1:103" x14ac:dyDescent="0.3">
      <c r="A19" s="56" t="s">
        <v>54</v>
      </c>
      <c r="B19" s="53" t="str">
        <f>IF($A19="-","-",VLOOKUP($A19,[2]Controle!$A$6:$BP$215,B$2,FALSE))</f>
        <v>-</v>
      </c>
      <c r="C19" s="53" t="str">
        <f>IF($A19="-","-",VLOOKUP($A19,[2]Controle!$A$6:$BP$215,C$2,FALSE))</f>
        <v>-</v>
      </c>
      <c r="D19" s="53" t="str">
        <f>IF($A19="-","-",VLOOKUP($A19,[2]Controle!$A$6:$BP$215,D$2,FALSE))</f>
        <v>-</v>
      </c>
      <c r="E19" s="53" t="str">
        <f>IF($A19="-","-",VLOOKUP($A19,[2]Controle!$A$6:$BP$215,E$2,FALSE))</f>
        <v>-</v>
      </c>
      <c r="F19" s="53" t="str">
        <f>IF($A19="-","-",VLOOKUP($A19,[2]Controle!$A$6:$BP$215,F$2,FALSE))</f>
        <v>-</v>
      </c>
      <c r="G19" s="54" t="str">
        <f>IF($A19="-","-",VLOOKUP($A19,[2]Controle!$A$6:$BP$215,G$2,FALSE))</f>
        <v>-</v>
      </c>
      <c r="H19" s="55" t="str">
        <f>IF($A19="-","-",VLOOKUP($A19,[2]Controle!$A$6:$BP$215,H$2,FALSE))</f>
        <v>-</v>
      </c>
      <c r="I19" s="53" t="str">
        <f>IF($A19="-","-",VLOOKUP($A19,[2]Controle!$A$6:$BP$215,I$2,FALSE))</f>
        <v>-</v>
      </c>
      <c r="J19" s="53" t="str">
        <f>IF($A19="-","-",VLOOKUP($A19,[2]Controle!$A$6:$BP$215,J$2,FALSE))</f>
        <v>-</v>
      </c>
      <c r="K19" s="53" t="str">
        <f>IF($A19="-","-",VLOOKUP($A19,[2]Controle!$A$6:$BP$215,K$2,FALSE))</f>
        <v>-</v>
      </c>
      <c r="L19" s="53" t="str">
        <f>IF($A19="-","-",VLOOKUP($A19,[2]Controle!$A$6:$BP$215,L$2,FALSE))</f>
        <v>-</v>
      </c>
      <c r="M19" s="53" t="str">
        <f>IF($A19="-","-",VLOOKUP($A19,[2]Controle!$A$6:$BP$215,M$2,FALSE))</f>
        <v>-</v>
      </c>
      <c r="N19" s="53" t="str">
        <f>IF($A19="-","-",VLOOKUP($A19,[2]Controle!$A$6:$BP$215,N$2,FALSE))</f>
        <v>-</v>
      </c>
      <c r="O19" s="53" t="str">
        <f>IF($A19="-","-",VLOOKUP($A19,[2]Controle!$A$6:$BP$215,O$2,FALSE))</f>
        <v>-</v>
      </c>
      <c r="P19" s="53" t="str">
        <f>IF($A19="-","-",VLOOKUP($A19,[2]Controle!$A$6:$BP$215,P$2,FALSE))</f>
        <v>-</v>
      </c>
      <c r="Q19" s="53" t="str">
        <f>IF($A19="-","-",VLOOKUP($A19,[2]Controle!$A$6:$BP$215,Q$2,FALSE))</f>
        <v>-</v>
      </c>
      <c r="R19" s="53" t="str">
        <f>IF($A19="-","-",VLOOKUP($A19,[2]Controle!$A$6:$BP$215,R$2,FALSE))</f>
        <v>-</v>
      </c>
      <c r="S19" s="53" t="str">
        <f>IF($A19="-","-",VLOOKUP($A19,[2]Controle!$A$6:$BP$215,S$2,FALSE))</f>
        <v>-</v>
      </c>
      <c r="T19" s="53" t="str">
        <f>IF($A19="-","-",VLOOKUP($A19,[2]Controle!$A$6:$BP$215,T$2,FALSE))</f>
        <v>-</v>
      </c>
      <c r="U19" s="53" t="str">
        <f>IF($A19="-","-",VLOOKUP($A19,[2]Controle!$A$6:$BP$215,U$2,FALSE))</f>
        <v>-</v>
      </c>
      <c r="V19" s="53" t="str">
        <f>IF($A19="-","-",VLOOKUP($A19,[2]Controle!$A$6:$BP$215,V$2,FALSE))</f>
        <v>-</v>
      </c>
      <c r="W19" s="53" t="str">
        <f>IF($A19="-","-",VLOOKUP($A19,[2]Controle!$A$6:$BP$215,W$2,FALSE))</f>
        <v>-</v>
      </c>
      <c r="X19" s="53" t="str">
        <f>IF($A19="-","-",VLOOKUP($A19,[2]Controle!$A$6:$BP$215,X$2,FALSE))</f>
        <v>-</v>
      </c>
      <c r="Y19" s="53" t="str">
        <f>IF($A19="-","-",VLOOKUP($A19,[2]Controle!$A$6:$BP$215,Y$2,FALSE))</f>
        <v>-</v>
      </c>
      <c r="Z19" s="53" t="str">
        <f>IF($A19="-","-",VLOOKUP($A19,[2]Controle!$A$6:$BP$215,Z$2,FALSE))</f>
        <v>-</v>
      </c>
      <c r="AA19" s="53" t="str">
        <f>IF($A19="-","-",VLOOKUP($A19,[2]Controle!$A$6:$BP$215,AA$2,FALSE))</f>
        <v>-</v>
      </c>
      <c r="AB19" s="53" t="str">
        <f>IF($A19="-","-",VLOOKUP($A19,[2]Controle!$A$6:$BP$215,AB$2,FALSE))</f>
        <v>-</v>
      </c>
      <c r="AC19" s="53" t="str">
        <f>IF($A19="-","-",VLOOKUP($A19,[2]Controle!$A$6:$BP$215,AC$2,FALSE))</f>
        <v>-</v>
      </c>
      <c r="AD19" s="53" t="str">
        <f>IF($A19="-","-",VLOOKUP($A19,[2]Controle!$A$6:$BP$215,AD$2,FALSE))</f>
        <v>-</v>
      </c>
      <c r="AE19" s="53" t="str">
        <f>IF($A19="-","-",VLOOKUP($A19,[2]Controle!$A$6:$BP$215,AE$2,FALSE))</f>
        <v>-</v>
      </c>
      <c r="AF19" s="53" t="str">
        <f>IF($A19="-","-",VLOOKUP($A19,[2]Controle!$A$6:$BP$215,AF$2,FALSE))</f>
        <v>-</v>
      </c>
      <c r="AG19" s="53" t="str">
        <f>IF($A19="-","-",VLOOKUP($A19,[2]Controle!$A$6:$BP$215,AG$2,FALSE))</f>
        <v>-</v>
      </c>
      <c r="AH19" s="53" t="str">
        <f>IF($A19="-","-",VLOOKUP($A19,[2]Controle!$A$6:$BP$215,AH$2,FALSE))</f>
        <v>-</v>
      </c>
      <c r="AI19" s="53" t="str">
        <f>IF($A19="-","-",VLOOKUP($A19,[2]Controle!$A$6:$BP$215,AI$2,FALSE))</f>
        <v>-</v>
      </c>
      <c r="AJ19" s="53" t="str">
        <f>IF($A19="-","-",VLOOKUP($A19,[2]Controle!$A$6:$BP$215,AJ$2,FALSE))</f>
        <v>-</v>
      </c>
      <c r="AK19" s="53" t="str">
        <f>IF($A19="-","-",VLOOKUP($A19,[2]Controle!$A$6:$BP$215,AK$2,FALSE))</f>
        <v>-</v>
      </c>
      <c r="AL19" s="53" t="str">
        <f>IF($A19="-","-",VLOOKUP($A19,[2]Controle!$A$6:$BP$215,AL$2,FALSE))</f>
        <v>-</v>
      </c>
      <c r="AM19" s="53" t="str">
        <f>IF($A19="-","-",VLOOKUP($A19,[2]Controle!$A$6:$BP$215,AM$2,FALSE))</f>
        <v>-</v>
      </c>
      <c r="AN19" s="53" t="str">
        <f>IF($A19="-","-",VLOOKUP($A19,[2]Controle!$A$6:$BP$215,AN$2,FALSE))</f>
        <v>-</v>
      </c>
      <c r="AO19" s="53" t="str">
        <f>IF($A19="-","-",VLOOKUP($A19,[2]Controle!$A$6:$BP$215,AO$2,FALSE))</f>
        <v>-</v>
      </c>
      <c r="AP19" s="53" t="str">
        <f>IF($A19="-","-",VLOOKUP($A19,[2]Controle!$A$6:$BP$215,AP$2,FALSE))</f>
        <v>-</v>
      </c>
      <c r="AQ19" s="53" t="str">
        <f>IF($A19="-","-",VLOOKUP($A19,[2]Controle!$A$6:$BP$215,AQ$2,FALSE))</f>
        <v>-</v>
      </c>
      <c r="AR19" s="53" t="str">
        <f>IF($A19="-","-",VLOOKUP($A19,[2]Controle!$A$6:$BP$215,AR$2,FALSE))</f>
        <v>-</v>
      </c>
      <c r="AS19" s="53" t="str">
        <f>IF($A19="-","-",VLOOKUP($A19,[2]Controle!$A$6:$BP$215,AS$2,FALSE))</f>
        <v>-</v>
      </c>
      <c r="AT19" s="53" t="str">
        <f>IF($A19="-","-",VLOOKUP($A19,[2]Controle!$A$6:$BP$215,AT$2,FALSE))</f>
        <v>-</v>
      </c>
      <c r="AU19" s="53" t="str">
        <f>IF($A19="-","-",VLOOKUP($A19,[2]Controle!$A$6:$BP$215,AU$2,FALSE))</f>
        <v>-</v>
      </c>
      <c r="AV19" s="53" t="str">
        <f>IF($A19="-","-",VLOOKUP($A19,[2]Controle!$A$6:$BP$215,AV$2,FALSE))</f>
        <v>-</v>
      </c>
      <c r="AW19" s="53" t="str">
        <f>IF($A19="-","-",VLOOKUP($A19,[2]Controle!$A$6:$BP$215,AW$2,FALSE))</f>
        <v>-</v>
      </c>
      <c r="AX19" s="53" t="str">
        <f>IF($A19="-","-",VLOOKUP($A19,[2]Controle!$A$6:$BP$215,AX$2,FALSE))</f>
        <v>-</v>
      </c>
      <c r="AY19" s="53" t="str">
        <f>IF($A19="-","-",VLOOKUP($A19,[2]Controle!$A$6:$BP$215,AY$2,FALSE))</f>
        <v>-</v>
      </c>
      <c r="AZ19" s="53" t="str">
        <f>IF($A19="-","-",VLOOKUP($A19,[2]Controle!$A$6:$BP$215,AZ$2,FALSE))</f>
        <v>-</v>
      </c>
      <c r="BA19" s="53" t="str">
        <f>IF($A19="-","-",VLOOKUP($A19,[2]Controle!$A$6:$BP$215,BA$2,FALSE))</f>
        <v>-</v>
      </c>
      <c r="BB19" s="53" t="str">
        <f>IF($A19="-","-",VLOOKUP($A19,[2]Controle!$A$6:$BP$215,BB$2,FALSE))</f>
        <v>-</v>
      </c>
      <c r="BC19" s="53" t="str">
        <f>IF($A19="-","-",VLOOKUP($A19,[2]Controle!$A$6:$BP$215,BC$2,FALSE))</f>
        <v>-</v>
      </c>
      <c r="BD19" s="53" t="str">
        <f>IF($A19="-","-",VLOOKUP($A19,[2]Controle!$A$6:$BP$215,BD$2,FALSE))</f>
        <v>-</v>
      </c>
      <c r="BE19" s="53" t="str">
        <f>IF($A19="-","-",VLOOKUP($A19,[2]Controle!$A$6:$BP$215,BE$2,FALSE))</f>
        <v>-</v>
      </c>
      <c r="BF19" s="53" t="str">
        <f>IF($A19="-","-",VLOOKUP($A19,[2]Controle!$A$6:$BP$215,BF$2,FALSE))</f>
        <v>-</v>
      </c>
      <c r="BG19" s="53" t="str">
        <f>IF($A19="-","-",VLOOKUP($A19,[2]Controle!$A$6:$BP$215,BG$2,FALSE))</f>
        <v>-</v>
      </c>
      <c r="BH19" s="53" t="str">
        <f>IF($A19="-","-",VLOOKUP($A19,[2]Controle!$A$6:$BP$215,BH$2,FALSE))</f>
        <v>-</v>
      </c>
      <c r="BI19" s="53" t="str">
        <f>IF($A19="-","-",VLOOKUP($A19,[2]Controle!$A$6:$BP$215,BI$2,FALSE))</f>
        <v>-</v>
      </c>
      <c r="BJ19" s="53" t="str">
        <f>IF($A19="-","-",VLOOKUP($A19,[2]Controle!$A$6:$BP$215,BJ$2,FALSE))</f>
        <v>-</v>
      </c>
      <c r="BK19" s="53" t="str">
        <f>IF($A19="-","-",VLOOKUP($A19,[2]Controle!$A$6:$BP$215,BK$2,FALSE))</f>
        <v>-</v>
      </c>
      <c r="BL19" s="53" t="str">
        <f>IF($A19="-","-",VLOOKUP($A19,[2]Controle!$A$6:$BP$215,BL$2,FALSE))</f>
        <v>-</v>
      </c>
      <c r="BM19" s="53" t="str">
        <f>IF($A19="-","-",VLOOKUP($A19,[2]Controle!$A$6:$BP$215,BM$2,FALSE))</f>
        <v>-</v>
      </c>
      <c r="BN19" s="53" t="str">
        <f>IF($A19="-","-",VLOOKUP($A19,[2]Controle!$A$6:$BP$215,BN$2,FALSE))</f>
        <v>-</v>
      </c>
      <c r="BO19" s="53" t="str">
        <f>IF($A19="-","-",VLOOKUP($A19,[2]Controle!$A$6:$BP$215,BO$2,FALSE))</f>
        <v>-</v>
      </c>
      <c r="BP19" s="53" t="str">
        <f>IF($A19="-","-",VLOOKUP($A19,[2]Controle!$A$6:$BP$215,BP$2,FALSE))</f>
        <v>-</v>
      </c>
      <c r="CT19" s="41">
        <f>IF(CV19="-",0,MAX($CT$5:CT18)+1)</f>
        <v>0</v>
      </c>
      <c r="CU19" s="53" t="str">
        <f t="shared" si="6"/>
        <v>-</v>
      </c>
      <c r="CV19" s="53" t="str">
        <f t="shared" si="3"/>
        <v>-</v>
      </c>
      <c r="CW19" s="53" t="str">
        <f t="shared" si="7"/>
        <v>-</v>
      </c>
      <c r="CY19" s="41" t="str">
        <f t="shared" si="5"/>
        <v>-</v>
      </c>
    </row>
    <row r="20" spans="1:103" x14ac:dyDescent="0.3">
      <c r="A20" s="56" t="s">
        <v>54</v>
      </c>
      <c r="B20" s="53" t="str">
        <f>IF($A20="-","-",VLOOKUP($A20,[2]Controle!$A$6:$BP$215,B$2,FALSE))</f>
        <v>-</v>
      </c>
      <c r="C20" s="53" t="str">
        <f>IF($A20="-","-",VLOOKUP($A20,[2]Controle!$A$6:$BP$215,C$2,FALSE))</f>
        <v>-</v>
      </c>
      <c r="D20" s="53" t="str">
        <f>IF($A20="-","-",VLOOKUP($A20,[2]Controle!$A$6:$BP$215,D$2,FALSE))</f>
        <v>-</v>
      </c>
      <c r="E20" s="53" t="str">
        <f>IF($A20="-","-",VLOOKUP($A20,[2]Controle!$A$6:$BP$215,E$2,FALSE))</f>
        <v>-</v>
      </c>
      <c r="F20" s="53" t="str">
        <f>IF($A20="-","-",VLOOKUP($A20,[2]Controle!$A$6:$BP$215,F$2,FALSE))</f>
        <v>-</v>
      </c>
      <c r="G20" s="54" t="str">
        <f>IF($A20="-","-",VLOOKUP($A20,[2]Controle!$A$6:$BP$215,G$2,FALSE))</f>
        <v>-</v>
      </c>
      <c r="H20" s="55" t="str">
        <f>IF($A20="-","-",VLOOKUP($A20,[2]Controle!$A$6:$BP$215,H$2,FALSE))</f>
        <v>-</v>
      </c>
      <c r="I20" s="53" t="str">
        <f>IF($A20="-","-",VLOOKUP($A20,[2]Controle!$A$6:$BP$215,I$2,FALSE))</f>
        <v>-</v>
      </c>
      <c r="J20" s="53" t="str">
        <f>IF($A20="-","-",VLOOKUP($A20,[2]Controle!$A$6:$BP$215,J$2,FALSE))</f>
        <v>-</v>
      </c>
      <c r="K20" s="53" t="str">
        <f>IF($A20="-","-",VLOOKUP($A20,[2]Controle!$A$6:$BP$215,K$2,FALSE))</f>
        <v>-</v>
      </c>
      <c r="L20" s="53" t="str">
        <f>IF($A20="-","-",VLOOKUP($A20,[2]Controle!$A$6:$BP$215,L$2,FALSE))</f>
        <v>-</v>
      </c>
      <c r="M20" s="53" t="str">
        <f>IF($A20="-","-",VLOOKUP($A20,[2]Controle!$A$6:$BP$215,M$2,FALSE))</f>
        <v>-</v>
      </c>
      <c r="N20" s="53" t="str">
        <f>IF($A20="-","-",VLOOKUP($A20,[2]Controle!$A$6:$BP$215,N$2,FALSE))</f>
        <v>-</v>
      </c>
      <c r="O20" s="53" t="str">
        <f>IF($A20="-","-",VLOOKUP($A20,[2]Controle!$A$6:$BP$215,O$2,FALSE))</f>
        <v>-</v>
      </c>
      <c r="P20" s="53" t="str">
        <f>IF($A20="-","-",VLOOKUP($A20,[2]Controle!$A$6:$BP$215,P$2,FALSE))</f>
        <v>-</v>
      </c>
      <c r="Q20" s="53" t="str">
        <f>IF($A20="-","-",VLOOKUP($A20,[2]Controle!$A$6:$BP$215,Q$2,FALSE))</f>
        <v>-</v>
      </c>
      <c r="R20" s="53" t="str">
        <f>IF($A20="-","-",VLOOKUP($A20,[2]Controle!$A$6:$BP$215,R$2,FALSE))</f>
        <v>-</v>
      </c>
      <c r="S20" s="53" t="str">
        <f>IF($A20="-","-",VLOOKUP($A20,[2]Controle!$A$6:$BP$215,S$2,FALSE))</f>
        <v>-</v>
      </c>
      <c r="T20" s="53" t="str">
        <f>IF($A20="-","-",VLOOKUP($A20,[2]Controle!$A$6:$BP$215,T$2,FALSE))</f>
        <v>-</v>
      </c>
      <c r="U20" s="53" t="str">
        <f>IF($A20="-","-",VLOOKUP($A20,[2]Controle!$A$6:$BP$215,U$2,FALSE))</f>
        <v>-</v>
      </c>
      <c r="V20" s="53" t="str">
        <f>IF($A20="-","-",VLOOKUP($A20,[2]Controle!$A$6:$BP$215,V$2,FALSE))</f>
        <v>-</v>
      </c>
      <c r="W20" s="53" t="str">
        <f>IF($A20="-","-",VLOOKUP($A20,[2]Controle!$A$6:$BP$215,W$2,FALSE))</f>
        <v>-</v>
      </c>
      <c r="X20" s="53" t="str">
        <f>IF($A20="-","-",VLOOKUP($A20,[2]Controle!$A$6:$BP$215,X$2,FALSE))</f>
        <v>-</v>
      </c>
      <c r="Y20" s="53" t="str">
        <f>IF($A20="-","-",VLOOKUP($A20,[2]Controle!$A$6:$BP$215,Y$2,FALSE))</f>
        <v>-</v>
      </c>
      <c r="Z20" s="53" t="str">
        <f>IF($A20="-","-",VLOOKUP($A20,[2]Controle!$A$6:$BP$215,Z$2,FALSE))</f>
        <v>-</v>
      </c>
      <c r="AA20" s="53" t="str">
        <f>IF($A20="-","-",VLOOKUP($A20,[2]Controle!$A$6:$BP$215,AA$2,FALSE))</f>
        <v>-</v>
      </c>
      <c r="AB20" s="53" t="str">
        <f>IF($A20="-","-",VLOOKUP($A20,[2]Controle!$A$6:$BP$215,AB$2,FALSE))</f>
        <v>-</v>
      </c>
      <c r="AC20" s="53" t="str">
        <f>IF($A20="-","-",VLOOKUP($A20,[2]Controle!$A$6:$BP$215,AC$2,FALSE))</f>
        <v>-</v>
      </c>
      <c r="AD20" s="53" t="str">
        <f>IF($A20="-","-",VLOOKUP($A20,[2]Controle!$A$6:$BP$215,AD$2,FALSE))</f>
        <v>-</v>
      </c>
      <c r="AE20" s="53" t="str">
        <f>IF($A20="-","-",VLOOKUP($A20,[2]Controle!$A$6:$BP$215,AE$2,FALSE))</f>
        <v>-</v>
      </c>
      <c r="AF20" s="53" t="str">
        <f>IF($A20="-","-",VLOOKUP($A20,[2]Controle!$A$6:$BP$215,AF$2,FALSE))</f>
        <v>-</v>
      </c>
      <c r="AG20" s="53" t="str">
        <f>IF($A20="-","-",VLOOKUP($A20,[2]Controle!$A$6:$BP$215,AG$2,FALSE))</f>
        <v>-</v>
      </c>
      <c r="AH20" s="53" t="str">
        <f>IF($A20="-","-",VLOOKUP($A20,[2]Controle!$A$6:$BP$215,AH$2,FALSE))</f>
        <v>-</v>
      </c>
      <c r="AI20" s="53" t="str">
        <f>IF($A20="-","-",VLOOKUP($A20,[2]Controle!$A$6:$BP$215,AI$2,FALSE))</f>
        <v>-</v>
      </c>
      <c r="AJ20" s="53" t="str">
        <f>IF($A20="-","-",VLOOKUP($A20,[2]Controle!$A$6:$BP$215,AJ$2,FALSE))</f>
        <v>-</v>
      </c>
      <c r="AK20" s="53" t="str">
        <f>IF($A20="-","-",VLOOKUP($A20,[2]Controle!$A$6:$BP$215,AK$2,FALSE))</f>
        <v>-</v>
      </c>
      <c r="AL20" s="53" t="str">
        <f>IF($A20="-","-",VLOOKUP($A20,[2]Controle!$A$6:$BP$215,AL$2,FALSE))</f>
        <v>-</v>
      </c>
      <c r="AM20" s="53" t="str">
        <f>IF($A20="-","-",VLOOKUP($A20,[2]Controle!$A$6:$BP$215,AM$2,FALSE))</f>
        <v>-</v>
      </c>
      <c r="AN20" s="53" t="str">
        <f>IF($A20="-","-",VLOOKUP($A20,[2]Controle!$A$6:$BP$215,AN$2,FALSE))</f>
        <v>-</v>
      </c>
      <c r="AO20" s="53" t="str">
        <f>IF($A20="-","-",VLOOKUP($A20,[2]Controle!$A$6:$BP$215,AO$2,FALSE))</f>
        <v>-</v>
      </c>
      <c r="AP20" s="53" t="str">
        <f>IF($A20="-","-",VLOOKUP($A20,[2]Controle!$A$6:$BP$215,AP$2,FALSE))</f>
        <v>-</v>
      </c>
      <c r="AQ20" s="53" t="str">
        <f>IF($A20="-","-",VLOOKUP($A20,[2]Controle!$A$6:$BP$215,AQ$2,FALSE))</f>
        <v>-</v>
      </c>
      <c r="AR20" s="53" t="str">
        <f>IF($A20="-","-",VLOOKUP($A20,[2]Controle!$A$6:$BP$215,AR$2,FALSE))</f>
        <v>-</v>
      </c>
      <c r="AS20" s="53" t="str">
        <f>IF($A20="-","-",VLOOKUP($A20,[2]Controle!$A$6:$BP$215,AS$2,FALSE))</f>
        <v>-</v>
      </c>
      <c r="AT20" s="53" t="str">
        <f>IF($A20="-","-",VLOOKUP($A20,[2]Controle!$A$6:$BP$215,AT$2,FALSE))</f>
        <v>-</v>
      </c>
      <c r="AU20" s="53" t="str">
        <f>IF($A20="-","-",VLOOKUP($A20,[2]Controle!$A$6:$BP$215,AU$2,FALSE))</f>
        <v>-</v>
      </c>
      <c r="AV20" s="53" t="str">
        <f>IF($A20="-","-",VLOOKUP($A20,[2]Controle!$A$6:$BP$215,AV$2,FALSE))</f>
        <v>-</v>
      </c>
      <c r="AW20" s="53" t="str">
        <f>IF($A20="-","-",VLOOKUP($A20,[2]Controle!$A$6:$BP$215,AW$2,FALSE))</f>
        <v>-</v>
      </c>
      <c r="AX20" s="53" t="str">
        <f>IF($A20="-","-",VLOOKUP($A20,[2]Controle!$A$6:$BP$215,AX$2,FALSE))</f>
        <v>-</v>
      </c>
      <c r="AY20" s="53" t="str">
        <f>IF($A20="-","-",VLOOKUP($A20,[2]Controle!$A$6:$BP$215,AY$2,FALSE))</f>
        <v>-</v>
      </c>
      <c r="AZ20" s="53" t="str">
        <f>IF($A20="-","-",VLOOKUP($A20,[2]Controle!$A$6:$BP$215,AZ$2,FALSE))</f>
        <v>-</v>
      </c>
      <c r="BA20" s="53" t="str">
        <f>IF($A20="-","-",VLOOKUP($A20,[2]Controle!$A$6:$BP$215,BA$2,FALSE))</f>
        <v>-</v>
      </c>
      <c r="BB20" s="53" t="str">
        <f>IF($A20="-","-",VLOOKUP($A20,[2]Controle!$A$6:$BP$215,BB$2,FALSE))</f>
        <v>-</v>
      </c>
      <c r="BC20" s="53" t="str">
        <f>IF($A20="-","-",VLOOKUP($A20,[2]Controle!$A$6:$BP$215,BC$2,FALSE))</f>
        <v>-</v>
      </c>
      <c r="BD20" s="53" t="str">
        <f>IF($A20="-","-",VLOOKUP($A20,[2]Controle!$A$6:$BP$215,BD$2,FALSE))</f>
        <v>-</v>
      </c>
      <c r="BE20" s="53" t="str">
        <f>IF($A20="-","-",VLOOKUP($A20,[2]Controle!$A$6:$BP$215,BE$2,FALSE))</f>
        <v>-</v>
      </c>
      <c r="BF20" s="53" t="str">
        <f>IF($A20="-","-",VLOOKUP($A20,[2]Controle!$A$6:$BP$215,BF$2,FALSE))</f>
        <v>-</v>
      </c>
      <c r="BG20" s="53" t="str">
        <f>IF($A20="-","-",VLOOKUP($A20,[2]Controle!$A$6:$BP$215,BG$2,FALSE))</f>
        <v>-</v>
      </c>
      <c r="BH20" s="53" t="str">
        <f>IF($A20="-","-",VLOOKUP($A20,[2]Controle!$A$6:$BP$215,BH$2,FALSE))</f>
        <v>-</v>
      </c>
      <c r="BI20" s="53" t="str">
        <f>IF($A20="-","-",VLOOKUP($A20,[2]Controle!$A$6:$BP$215,BI$2,FALSE))</f>
        <v>-</v>
      </c>
      <c r="BJ20" s="53" t="str">
        <f>IF($A20="-","-",VLOOKUP($A20,[2]Controle!$A$6:$BP$215,BJ$2,FALSE))</f>
        <v>-</v>
      </c>
      <c r="BK20" s="53" t="str">
        <f>IF($A20="-","-",VLOOKUP($A20,[2]Controle!$A$6:$BP$215,BK$2,FALSE))</f>
        <v>-</v>
      </c>
      <c r="BL20" s="53" t="str">
        <f>IF($A20="-","-",VLOOKUP($A20,[2]Controle!$A$6:$BP$215,BL$2,FALSE))</f>
        <v>-</v>
      </c>
      <c r="BM20" s="53" t="str">
        <f>IF($A20="-","-",VLOOKUP($A20,[2]Controle!$A$6:$BP$215,BM$2,FALSE))</f>
        <v>-</v>
      </c>
      <c r="BN20" s="53" t="str">
        <f>IF($A20="-","-",VLOOKUP($A20,[2]Controle!$A$6:$BP$215,BN$2,FALSE))</f>
        <v>-</v>
      </c>
      <c r="BO20" s="53" t="str">
        <f>IF($A20="-","-",VLOOKUP($A20,[2]Controle!$A$6:$BP$215,BO$2,FALSE))</f>
        <v>-</v>
      </c>
      <c r="BP20" s="53" t="str">
        <f>IF($A20="-","-",VLOOKUP($A20,[2]Controle!$A$6:$BP$215,BP$2,FALSE))</f>
        <v>-</v>
      </c>
      <c r="CT20" s="41">
        <f>IF(CV20="-",0,MAX($CT$5:CT19)+1)</f>
        <v>0</v>
      </c>
      <c r="CU20" s="53" t="str">
        <f t="shared" si="6"/>
        <v>-</v>
      </c>
      <c r="CV20" s="53" t="str">
        <f t="shared" si="3"/>
        <v>-</v>
      </c>
      <c r="CW20" s="53" t="str">
        <f t="shared" si="7"/>
        <v>-</v>
      </c>
      <c r="CY20" s="41" t="str">
        <f t="shared" si="5"/>
        <v>-</v>
      </c>
    </row>
    <row r="21" spans="1:103" x14ac:dyDescent="0.3">
      <c r="A21" s="56" t="s">
        <v>54</v>
      </c>
      <c r="B21" s="53" t="str">
        <f>IF($A21="-","-",VLOOKUP($A21,[2]Controle!$A$6:$BP$215,B$2,FALSE))</f>
        <v>-</v>
      </c>
      <c r="C21" s="53" t="str">
        <f>IF($A21="-","-",VLOOKUP($A21,[2]Controle!$A$6:$BP$215,C$2,FALSE))</f>
        <v>-</v>
      </c>
      <c r="D21" s="53" t="str">
        <f>IF($A21="-","-",VLOOKUP($A21,[2]Controle!$A$6:$BP$215,D$2,FALSE))</f>
        <v>-</v>
      </c>
      <c r="E21" s="53" t="str">
        <f>IF($A21="-","-",VLOOKUP($A21,[2]Controle!$A$6:$BP$215,E$2,FALSE))</f>
        <v>-</v>
      </c>
      <c r="F21" s="53" t="str">
        <f>IF($A21="-","-",VLOOKUP($A21,[2]Controle!$A$6:$BP$215,F$2,FALSE))</f>
        <v>-</v>
      </c>
      <c r="G21" s="54" t="str">
        <f>IF($A21="-","-",VLOOKUP($A21,[2]Controle!$A$6:$BP$215,G$2,FALSE))</f>
        <v>-</v>
      </c>
      <c r="H21" s="55" t="str">
        <f>IF($A21="-","-",VLOOKUP($A21,[2]Controle!$A$6:$BP$215,H$2,FALSE))</f>
        <v>-</v>
      </c>
      <c r="I21" s="53" t="str">
        <f>IF($A21="-","-",VLOOKUP($A21,[2]Controle!$A$6:$BP$215,I$2,FALSE))</f>
        <v>-</v>
      </c>
      <c r="J21" s="53" t="str">
        <f>IF($A21="-","-",VLOOKUP($A21,[2]Controle!$A$6:$BP$215,J$2,FALSE))</f>
        <v>-</v>
      </c>
      <c r="K21" s="53" t="str">
        <f>IF($A21="-","-",VLOOKUP($A21,[2]Controle!$A$6:$BP$215,K$2,FALSE))</f>
        <v>-</v>
      </c>
      <c r="L21" s="53" t="str">
        <f>IF($A21="-","-",VLOOKUP($A21,[2]Controle!$A$6:$BP$215,L$2,FALSE))</f>
        <v>-</v>
      </c>
      <c r="M21" s="53" t="str">
        <f>IF($A21="-","-",VLOOKUP($A21,[2]Controle!$A$6:$BP$215,M$2,FALSE))</f>
        <v>-</v>
      </c>
      <c r="N21" s="53" t="str">
        <f>IF($A21="-","-",VLOOKUP($A21,[2]Controle!$A$6:$BP$215,N$2,FALSE))</f>
        <v>-</v>
      </c>
      <c r="O21" s="53" t="str">
        <f>IF($A21="-","-",VLOOKUP($A21,[2]Controle!$A$6:$BP$215,O$2,FALSE))</f>
        <v>-</v>
      </c>
      <c r="P21" s="53" t="str">
        <f>IF($A21="-","-",VLOOKUP($A21,[2]Controle!$A$6:$BP$215,P$2,FALSE))</f>
        <v>-</v>
      </c>
      <c r="Q21" s="53" t="str">
        <f>IF($A21="-","-",VLOOKUP($A21,[2]Controle!$A$6:$BP$215,Q$2,FALSE))</f>
        <v>-</v>
      </c>
      <c r="R21" s="53" t="str">
        <f>IF($A21="-","-",VLOOKUP($A21,[2]Controle!$A$6:$BP$215,R$2,FALSE))</f>
        <v>-</v>
      </c>
      <c r="S21" s="53" t="str">
        <f>IF($A21="-","-",VLOOKUP($A21,[2]Controle!$A$6:$BP$215,S$2,FALSE))</f>
        <v>-</v>
      </c>
      <c r="T21" s="53" t="str">
        <f>IF($A21="-","-",VLOOKUP($A21,[2]Controle!$A$6:$BP$215,T$2,FALSE))</f>
        <v>-</v>
      </c>
      <c r="U21" s="53" t="str">
        <f>IF($A21="-","-",VLOOKUP($A21,[2]Controle!$A$6:$BP$215,U$2,FALSE))</f>
        <v>-</v>
      </c>
      <c r="V21" s="53" t="str">
        <f>IF($A21="-","-",VLOOKUP($A21,[2]Controle!$A$6:$BP$215,V$2,FALSE))</f>
        <v>-</v>
      </c>
      <c r="W21" s="53" t="str">
        <f>IF($A21="-","-",VLOOKUP($A21,[2]Controle!$A$6:$BP$215,W$2,FALSE))</f>
        <v>-</v>
      </c>
      <c r="X21" s="53" t="str">
        <f>IF($A21="-","-",VLOOKUP($A21,[2]Controle!$A$6:$BP$215,X$2,FALSE))</f>
        <v>-</v>
      </c>
      <c r="Y21" s="53" t="str">
        <f>IF($A21="-","-",VLOOKUP($A21,[2]Controle!$A$6:$BP$215,Y$2,FALSE))</f>
        <v>-</v>
      </c>
      <c r="Z21" s="53" t="str">
        <f>IF($A21="-","-",VLOOKUP($A21,[2]Controle!$A$6:$BP$215,Z$2,FALSE))</f>
        <v>-</v>
      </c>
      <c r="AA21" s="53" t="str">
        <f>IF($A21="-","-",VLOOKUP($A21,[2]Controle!$A$6:$BP$215,AA$2,FALSE))</f>
        <v>-</v>
      </c>
      <c r="AB21" s="53" t="str">
        <f>IF($A21="-","-",VLOOKUP($A21,[2]Controle!$A$6:$BP$215,AB$2,FALSE))</f>
        <v>-</v>
      </c>
      <c r="AC21" s="53" t="str">
        <f>IF($A21="-","-",VLOOKUP($A21,[2]Controle!$A$6:$BP$215,AC$2,FALSE))</f>
        <v>-</v>
      </c>
      <c r="AD21" s="53" t="str">
        <f>IF($A21="-","-",VLOOKUP($A21,[2]Controle!$A$6:$BP$215,AD$2,FALSE))</f>
        <v>-</v>
      </c>
      <c r="AE21" s="53" t="str">
        <f>IF($A21="-","-",VLOOKUP($A21,[2]Controle!$A$6:$BP$215,AE$2,FALSE))</f>
        <v>-</v>
      </c>
      <c r="AF21" s="53" t="str">
        <f>IF($A21="-","-",VLOOKUP($A21,[2]Controle!$A$6:$BP$215,AF$2,FALSE))</f>
        <v>-</v>
      </c>
      <c r="AG21" s="53" t="str">
        <f>IF($A21="-","-",VLOOKUP($A21,[2]Controle!$A$6:$BP$215,AG$2,FALSE))</f>
        <v>-</v>
      </c>
      <c r="AH21" s="53" t="str">
        <f>IF($A21="-","-",VLOOKUP($A21,[2]Controle!$A$6:$BP$215,AH$2,FALSE))</f>
        <v>-</v>
      </c>
      <c r="AI21" s="53" t="str">
        <f>IF($A21="-","-",VLOOKUP($A21,[2]Controle!$A$6:$BP$215,AI$2,FALSE))</f>
        <v>-</v>
      </c>
      <c r="AJ21" s="53" t="str">
        <f>IF($A21="-","-",VLOOKUP($A21,[2]Controle!$A$6:$BP$215,AJ$2,FALSE))</f>
        <v>-</v>
      </c>
      <c r="AK21" s="53" t="str">
        <f>IF($A21="-","-",VLOOKUP($A21,[2]Controle!$A$6:$BP$215,AK$2,FALSE))</f>
        <v>-</v>
      </c>
      <c r="AL21" s="53" t="str">
        <f>IF($A21="-","-",VLOOKUP($A21,[2]Controle!$A$6:$BP$215,AL$2,FALSE))</f>
        <v>-</v>
      </c>
      <c r="AM21" s="53" t="str">
        <f>IF($A21="-","-",VLOOKUP($A21,[2]Controle!$A$6:$BP$215,AM$2,FALSE))</f>
        <v>-</v>
      </c>
      <c r="AN21" s="53" t="str">
        <f>IF($A21="-","-",VLOOKUP($A21,[2]Controle!$A$6:$BP$215,AN$2,FALSE))</f>
        <v>-</v>
      </c>
      <c r="AO21" s="53" t="str">
        <f>IF($A21="-","-",VLOOKUP($A21,[2]Controle!$A$6:$BP$215,AO$2,FALSE))</f>
        <v>-</v>
      </c>
      <c r="AP21" s="53" t="str">
        <f>IF($A21="-","-",VLOOKUP($A21,[2]Controle!$A$6:$BP$215,AP$2,FALSE))</f>
        <v>-</v>
      </c>
      <c r="AQ21" s="53" t="str">
        <f>IF($A21="-","-",VLOOKUP($A21,[2]Controle!$A$6:$BP$215,AQ$2,FALSE))</f>
        <v>-</v>
      </c>
      <c r="AR21" s="53" t="str">
        <f>IF($A21="-","-",VLOOKUP($A21,[2]Controle!$A$6:$BP$215,AR$2,FALSE))</f>
        <v>-</v>
      </c>
      <c r="AS21" s="53" t="str">
        <f>IF($A21="-","-",VLOOKUP($A21,[2]Controle!$A$6:$BP$215,AS$2,FALSE))</f>
        <v>-</v>
      </c>
      <c r="AT21" s="53" t="str">
        <f>IF($A21="-","-",VLOOKUP($A21,[2]Controle!$A$6:$BP$215,AT$2,FALSE))</f>
        <v>-</v>
      </c>
      <c r="AU21" s="53" t="str">
        <f>IF($A21="-","-",VLOOKUP($A21,[2]Controle!$A$6:$BP$215,AU$2,FALSE))</f>
        <v>-</v>
      </c>
      <c r="AV21" s="53" t="str">
        <f>IF($A21="-","-",VLOOKUP($A21,[2]Controle!$A$6:$BP$215,AV$2,FALSE))</f>
        <v>-</v>
      </c>
      <c r="AW21" s="53" t="str">
        <f>IF($A21="-","-",VLOOKUP($A21,[2]Controle!$A$6:$BP$215,AW$2,FALSE))</f>
        <v>-</v>
      </c>
      <c r="AX21" s="53" t="str">
        <f>IF($A21="-","-",VLOOKUP($A21,[2]Controle!$A$6:$BP$215,AX$2,FALSE))</f>
        <v>-</v>
      </c>
      <c r="AY21" s="53" t="str">
        <f>IF($A21="-","-",VLOOKUP($A21,[2]Controle!$A$6:$BP$215,AY$2,FALSE))</f>
        <v>-</v>
      </c>
      <c r="AZ21" s="53" t="str">
        <f>IF($A21="-","-",VLOOKUP($A21,[2]Controle!$A$6:$BP$215,AZ$2,FALSE))</f>
        <v>-</v>
      </c>
      <c r="BA21" s="53" t="str">
        <f>IF($A21="-","-",VLOOKUP($A21,[2]Controle!$A$6:$BP$215,BA$2,FALSE))</f>
        <v>-</v>
      </c>
      <c r="BB21" s="53" t="str">
        <f>IF($A21="-","-",VLOOKUP($A21,[2]Controle!$A$6:$BP$215,BB$2,FALSE))</f>
        <v>-</v>
      </c>
      <c r="BC21" s="53" t="str">
        <f>IF($A21="-","-",VLOOKUP($A21,[2]Controle!$A$6:$BP$215,BC$2,FALSE))</f>
        <v>-</v>
      </c>
      <c r="BD21" s="53" t="str">
        <f>IF($A21="-","-",VLOOKUP($A21,[2]Controle!$A$6:$BP$215,BD$2,FALSE))</f>
        <v>-</v>
      </c>
      <c r="BE21" s="53" t="str">
        <f>IF($A21="-","-",VLOOKUP($A21,[2]Controle!$A$6:$BP$215,BE$2,FALSE))</f>
        <v>-</v>
      </c>
      <c r="BF21" s="53" t="str">
        <f>IF($A21="-","-",VLOOKUP($A21,[2]Controle!$A$6:$BP$215,BF$2,FALSE))</f>
        <v>-</v>
      </c>
      <c r="BG21" s="53" t="str">
        <f>IF($A21="-","-",VLOOKUP($A21,[2]Controle!$A$6:$BP$215,BG$2,FALSE))</f>
        <v>-</v>
      </c>
      <c r="BH21" s="53" t="str">
        <f>IF($A21="-","-",VLOOKUP($A21,[2]Controle!$A$6:$BP$215,BH$2,FALSE))</f>
        <v>-</v>
      </c>
      <c r="BI21" s="53" t="str">
        <f>IF($A21="-","-",VLOOKUP($A21,[2]Controle!$A$6:$BP$215,BI$2,FALSE))</f>
        <v>-</v>
      </c>
      <c r="BJ21" s="53" t="str">
        <f>IF($A21="-","-",VLOOKUP($A21,[2]Controle!$A$6:$BP$215,BJ$2,FALSE))</f>
        <v>-</v>
      </c>
      <c r="BK21" s="53" t="str">
        <f>IF($A21="-","-",VLOOKUP($A21,[2]Controle!$A$6:$BP$215,BK$2,FALSE))</f>
        <v>-</v>
      </c>
      <c r="BL21" s="53" t="str">
        <f>IF($A21="-","-",VLOOKUP($A21,[2]Controle!$A$6:$BP$215,BL$2,FALSE))</f>
        <v>-</v>
      </c>
      <c r="BM21" s="53" t="str">
        <f>IF($A21="-","-",VLOOKUP($A21,[2]Controle!$A$6:$BP$215,BM$2,FALSE))</f>
        <v>-</v>
      </c>
      <c r="BN21" s="53" t="str">
        <f>IF($A21="-","-",VLOOKUP($A21,[2]Controle!$A$6:$BP$215,BN$2,FALSE))</f>
        <v>-</v>
      </c>
      <c r="BO21" s="53" t="str">
        <f>IF($A21="-","-",VLOOKUP($A21,[2]Controle!$A$6:$BP$215,BO$2,FALSE))</f>
        <v>-</v>
      </c>
      <c r="BP21" s="53" t="str">
        <f>IF($A21="-","-",VLOOKUP($A21,[2]Controle!$A$6:$BP$215,BP$2,FALSE))</f>
        <v>-</v>
      </c>
      <c r="CT21" s="41">
        <f>IF(CV21="-",0,MAX($CT$5:CT20)+1)</f>
        <v>0</v>
      </c>
      <c r="CU21" s="53" t="str">
        <f t="shared" si="6"/>
        <v>-</v>
      </c>
      <c r="CV21" s="53" t="str">
        <f t="shared" si="3"/>
        <v>-</v>
      </c>
      <c r="CW21" s="53" t="str">
        <f t="shared" si="7"/>
        <v>-</v>
      </c>
      <c r="CY21" s="41" t="str">
        <f t="shared" si="5"/>
        <v>-</v>
      </c>
    </row>
    <row r="22" spans="1:103" x14ac:dyDescent="0.3">
      <c r="A22" s="56" t="s">
        <v>54</v>
      </c>
      <c r="B22" s="53" t="str">
        <f>IF($A22="-","-",VLOOKUP($A22,[2]Controle!$A$6:$BP$215,B$2,FALSE))</f>
        <v>-</v>
      </c>
      <c r="C22" s="53" t="str">
        <f>IF($A22="-","-",VLOOKUP($A22,[2]Controle!$A$6:$BP$215,C$2,FALSE))</f>
        <v>-</v>
      </c>
      <c r="D22" s="53" t="str">
        <f>IF($A22="-","-",VLOOKUP($A22,[2]Controle!$A$6:$BP$215,D$2,FALSE))</f>
        <v>-</v>
      </c>
      <c r="E22" s="53" t="str">
        <f>IF($A22="-","-",VLOOKUP($A22,[2]Controle!$A$6:$BP$215,E$2,FALSE))</f>
        <v>-</v>
      </c>
      <c r="F22" s="53" t="str">
        <f>IF($A22="-","-",VLOOKUP($A22,[2]Controle!$A$6:$BP$215,F$2,FALSE))</f>
        <v>-</v>
      </c>
      <c r="G22" s="54" t="str">
        <f>IF($A22="-","-",VLOOKUP($A22,[2]Controle!$A$6:$BP$215,G$2,FALSE))</f>
        <v>-</v>
      </c>
      <c r="H22" s="55" t="str">
        <f>IF($A22="-","-",VLOOKUP($A22,[2]Controle!$A$6:$BP$215,H$2,FALSE))</f>
        <v>-</v>
      </c>
      <c r="I22" s="53" t="str">
        <f>IF($A22="-","-",VLOOKUP($A22,[2]Controle!$A$6:$BP$215,I$2,FALSE))</f>
        <v>-</v>
      </c>
      <c r="J22" s="53" t="str">
        <f>IF($A22="-","-",VLOOKUP($A22,[2]Controle!$A$6:$BP$215,J$2,FALSE))</f>
        <v>-</v>
      </c>
      <c r="K22" s="53" t="str">
        <f>IF($A22="-","-",VLOOKUP($A22,[2]Controle!$A$6:$BP$215,K$2,FALSE))</f>
        <v>-</v>
      </c>
      <c r="L22" s="53" t="str">
        <f>IF($A22="-","-",VLOOKUP($A22,[2]Controle!$A$6:$BP$215,L$2,FALSE))</f>
        <v>-</v>
      </c>
      <c r="M22" s="53" t="str">
        <f>IF($A22="-","-",VLOOKUP($A22,[2]Controle!$A$6:$BP$215,M$2,FALSE))</f>
        <v>-</v>
      </c>
      <c r="N22" s="53" t="str">
        <f>IF($A22="-","-",VLOOKUP($A22,[2]Controle!$A$6:$BP$215,N$2,FALSE))</f>
        <v>-</v>
      </c>
      <c r="O22" s="53" t="str">
        <f>IF($A22="-","-",VLOOKUP($A22,[2]Controle!$A$6:$BP$215,O$2,FALSE))</f>
        <v>-</v>
      </c>
      <c r="P22" s="53" t="str">
        <f>IF($A22="-","-",VLOOKUP($A22,[2]Controle!$A$6:$BP$215,P$2,FALSE))</f>
        <v>-</v>
      </c>
      <c r="Q22" s="53" t="str">
        <f>IF($A22="-","-",VLOOKUP($A22,[2]Controle!$A$6:$BP$215,Q$2,FALSE))</f>
        <v>-</v>
      </c>
      <c r="R22" s="53" t="str">
        <f>IF($A22="-","-",VLOOKUP($A22,[2]Controle!$A$6:$BP$215,R$2,FALSE))</f>
        <v>-</v>
      </c>
      <c r="S22" s="53" t="str">
        <f>IF($A22="-","-",VLOOKUP($A22,[2]Controle!$A$6:$BP$215,S$2,FALSE))</f>
        <v>-</v>
      </c>
      <c r="T22" s="53" t="str">
        <f>IF($A22="-","-",VLOOKUP($A22,[2]Controle!$A$6:$BP$215,T$2,FALSE))</f>
        <v>-</v>
      </c>
      <c r="U22" s="53" t="str">
        <f>IF($A22="-","-",VLOOKUP($A22,[2]Controle!$A$6:$BP$215,U$2,FALSE))</f>
        <v>-</v>
      </c>
      <c r="V22" s="53" t="str">
        <f>IF($A22="-","-",VLOOKUP($A22,[2]Controle!$A$6:$BP$215,V$2,FALSE))</f>
        <v>-</v>
      </c>
      <c r="W22" s="53" t="str">
        <f>IF($A22="-","-",VLOOKUP($A22,[2]Controle!$A$6:$BP$215,W$2,FALSE))</f>
        <v>-</v>
      </c>
      <c r="X22" s="53" t="str">
        <f>IF($A22="-","-",VLOOKUP($A22,[2]Controle!$A$6:$BP$215,X$2,FALSE))</f>
        <v>-</v>
      </c>
      <c r="Y22" s="53" t="str">
        <f>IF($A22="-","-",VLOOKUP($A22,[2]Controle!$A$6:$BP$215,Y$2,FALSE))</f>
        <v>-</v>
      </c>
      <c r="Z22" s="53" t="str">
        <f>IF($A22="-","-",VLOOKUP($A22,[2]Controle!$A$6:$BP$215,Z$2,FALSE))</f>
        <v>-</v>
      </c>
      <c r="AA22" s="53" t="str">
        <f>IF($A22="-","-",VLOOKUP($A22,[2]Controle!$A$6:$BP$215,AA$2,FALSE))</f>
        <v>-</v>
      </c>
      <c r="AB22" s="53" t="str">
        <f>IF($A22="-","-",VLOOKUP($A22,[2]Controle!$A$6:$BP$215,AB$2,FALSE))</f>
        <v>-</v>
      </c>
      <c r="AC22" s="53" t="str">
        <f>IF($A22="-","-",VLOOKUP($A22,[2]Controle!$A$6:$BP$215,AC$2,FALSE))</f>
        <v>-</v>
      </c>
      <c r="AD22" s="53" t="str">
        <f>IF($A22="-","-",VLOOKUP($A22,[2]Controle!$A$6:$BP$215,AD$2,FALSE))</f>
        <v>-</v>
      </c>
      <c r="AE22" s="53" t="str">
        <f>IF($A22="-","-",VLOOKUP($A22,[2]Controle!$A$6:$BP$215,AE$2,FALSE))</f>
        <v>-</v>
      </c>
      <c r="AF22" s="53" t="str">
        <f>IF($A22="-","-",VLOOKUP($A22,[2]Controle!$A$6:$BP$215,AF$2,FALSE))</f>
        <v>-</v>
      </c>
      <c r="AG22" s="53" t="str">
        <f>IF($A22="-","-",VLOOKUP($A22,[2]Controle!$A$6:$BP$215,AG$2,FALSE))</f>
        <v>-</v>
      </c>
      <c r="AH22" s="53" t="str">
        <f>IF($A22="-","-",VLOOKUP($A22,[2]Controle!$A$6:$BP$215,AH$2,FALSE))</f>
        <v>-</v>
      </c>
      <c r="AI22" s="53" t="str">
        <f>IF($A22="-","-",VLOOKUP($A22,[2]Controle!$A$6:$BP$215,AI$2,FALSE))</f>
        <v>-</v>
      </c>
      <c r="AJ22" s="53" t="str">
        <f>IF($A22="-","-",VLOOKUP($A22,[2]Controle!$A$6:$BP$215,AJ$2,FALSE))</f>
        <v>-</v>
      </c>
      <c r="AK22" s="53" t="str">
        <f>IF($A22="-","-",VLOOKUP($A22,[2]Controle!$A$6:$BP$215,AK$2,FALSE))</f>
        <v>-</v>
      </c>
      <c r="AL22" s="53" t="str">
        <f>IF($A22="-","-",VLOOKUP($A22,[2]Controle!$A$6:$BP$215,AL$2,FALSE))</f>
        <v>-</v>
      </c>
      <c r="AM22" s="53" t="str">
        <f>IF($A22="-","-",VLOOKUP($A22,[2]Controle!$A$6:$BP$215,AM$2,FALSE))</f>
        <v>-</v>
      </c>
      <c r="AN22" s="53" t="str">
        <f>IF($A22="-","-",VLOOKUP($A22,[2]Controle!$A$6:$BP$215,AN$2,FALSE))</f>
        <v>-</v>
      </c>
      <c r="AO22" s="53" t="str">
        <f>IF($A22="-","-",VLOOKUP($A22,[2]Controle!$A$6:$BP$215,AO$2,FALSE))</f>
        <v>-</v>
      </c>
      <c r="AP22" s="53" t="str">
        <f>IF($A22="-","-",VLOOKUP($A22,[2]Controle!$A$6:$BP$215,AP$2,FALSE))</f>
        <v>-</v>
      </c>
      <c r="AQ22" s="53" t="str">
        <f>IF($A22="-","-",VLOOKUP($A22,[2]Controle!$A$6:$BP$215,AQ$2,FALSE))</f>
        <v>-</v>
      </c>
      <c r="AR22" s="53" t="str">
        <f>IF($A22="-","-",VLOOKUP($A22,[2]Controle!$A$6:$BP$215,AR$2,FALSE))</f>
        <v>-</v>
      </c>
      <c r="AS22" s="53" t="str">
        <f>IF($A22="-","-",VLOOKUP($A22,[2]Controle!$A$6:$BP$215,AS$2,FALSE))</f>
        <v>-</v>
      </c>
      <c r="AT22" s="53" t="str">
        <f>IF($A22="-","-",VLOOKUP($A22,[2]Controle!$A$6:$BP$215,AT$2,FALSE))</f>
        <v>-</v>
      </c>
      <c r="AU22" s="53" t="str">
        <f>IF($A22="-","-",VLOOKUP($A22,[2]Controle!$A$6:$BP$215,AU$2,FALSE))</f>
        <v>-</v>
      </c>
      <c r="AV22" s="53" t="str">
        <f>IF($A22="-","-",VLOOKUP($A22,[2]Controle!$A$6:$BP$215,AV$2,FALSE))</f>
        <v>-</v>
      </c>
      <c r="AW22" s="53" t="str">
        <f>IF($A22="-","-",VLOOKUP($A22,[2]Controle!$A$6:$BP$215,AW$2,FALSE))</f>
        <v>-</v>
      </c>
      <c r="AX22" s="53" t="str">
        <f>IF($A22="-","-",VLOOKUP($A22,[2]Controle!$A$6:$BP$215,AX$2,FALSE))</f>
        <v>-</v>
      </c>
      <c r="AY22" s="53" t="str">
        <f>IF($A22="-","-",VLOOKUP($A22,[2]Controle!$A$6:$BP$215,AY$2,FALSE))</f>
        <v>-</v>
      </c>
      <c r="AZ22" s="53" t="str">
        <f>IF($A22="-","-",VLOOKUP($A22,[2]Controle!$A$6:$BP$215,AZ$2,FALSE))</f>
        <v>-</v>
      </c>
      <c r="BA22" s="53" t="str">
        <f>IF($A22="-","-",VLOOKUP($A22,[2]Controle!$A$6:$BP$215,BA$2,FALSE))</f>
        <v>-</v>
      </c>
      <c r="BB22" s="53" t="str">
        <f>IF($A22="-","-",VLOOKUP($A22,[2]Controle!$A$6:$BP$215,BB$2,FALSE))</f>
        <v>-</v>
      </c>
      <c r="BC22" s="53" t="str">
        <f>IF($A22="-","-",VLOOKUP($A22,[2]Controle!$A$6:$BP$215,BC$2,FALSE))</f>
        <v>-</v>
      </c>
      <c r="BD22" s="53" t="str">
        <f>IF($A22="-","-",VLOOKUP($A22,[2]Controle!$A$6:$BP$215,BD$2,FALSE))</f>
        <v>-</v>
      </c>
      <c r="BE22" s="53" t="str">
        <f>IF($A22="-","-",VLOOKUP($A22,[2]Controle!$A$6:$BP$215,BE$2,FALSE))</f>
        <v>-</v>
      </c>
      <c r="BF22" s="53" t="str">
        <f>IF($A22="-","-",VLOOKUP($A22,[2]Controle!$A$6:$BP$215,BF$2,FALSE))</f>
        <v>-</v>
      </c>
      <c r="BG22" s="53" t="str">
        <f>IF($A22="-","-",VLOOKUP($A22,[2]Controle!$A$6:$BP$215,BG$2,FALSE))</f>
        <v>-</v>
      </c>
      <c r="BH22" s="53" t="str">
        <f>IF($A22="-","-",VLOOKUP($A22,[2]Controle!$A$6:$BP$215,BH$2,FALSE))</f>
        <v>-</v>
      </c>
      <c r="BI22" s="53" t="str">
        <f>IF($A22="-","-",VLOOKUP($A22,[2]Controle!$A$6:$BP$215,BI$2,FALSE))</f>
        <v>-</v>
      </c>
      <c r="BJ22" s="53" t="str">
        <f>IF($A22="-","-",VLOOKUP($A22,[2]Controle!$A$6:$BP$215,BJ$2,FALSE))</f>
        <v>-</v>
      </c>
      <c r="BK22" s="53" t="str">
        <f>IF($A22="-","-",VLOOKUP($A22,[2]Controle!$A$6:$BP$215,BK$2,FALSE))</f>
        <v>-</v>
      </c>
      <c r="BL22" s="53" t="str">
        <f>IF($A22="-","-",VLOOKUP($A22,[2]Controle!$A$6:$BP$215,BL$2,FALSE))</f>
        <v>-</v>
      </c>
      <c r="BM22" s="53" t="str">
        <f>IF($A22="-","-",VLOOKUP($A22,[2]Controle!$A$6:$BP$215,BM$2,FALSE))</f>
        <v>-</v>
      </c>
      <c r="BN22" s="53" t="str">
        <f>IF($A22="-","-",VLOOKUP($A22,[2]Controle!$A$6:$BP$215,BN$2,FALSE))</f>
        <v>-</v>
      </c>
      <c r="BO22" s="53" t="str">
        <f>IF($A22="-","-",VLOOKUP($A22,[2]Controle!$A$6:$BP$215,BO$2,FALSE))</f>
        <v>-</v>
      </c>
      <c r="BP22" s="53" t="str">
        <f>IF($A22="-","-",VLOOKUP($A22,[2]Controle!$A$6:$BP$215,BP$2,FALSE))</f>
        <v>-</v>
      </c>
      <c r="CT22" s="41">
        <f>IF(CV22="-",0,MAX($CT$5:CT21)+1)</f>
        <v>0</v>
      </c>
      <c r="CU22" s="53" t="str">
        <f t="shared" si="6"/>
        <v>-</v>
      </c>
      <c r="CV22" s="53" t="str">
        <f t="shared" si="3"/>
        <v>-</v>
      </c>
      <c r="CW22" s="53" t="str">
        <f t="shared" si="7"/>
        <v>-</v>
      </c>
      <c r="CY22" s="41" t="str">
        <f t="shared" si="5"/>
        <v>-</v>
      </c>
    </row>
    <row r="23" spans="1:103" x14ac:dyDescent="0.3">
      <c r="A23" s="56" t="s">
        <v>54</v>
      </c>
      <c r="B23" s="53" t="str">
        <f>IF($A23="-","-",VLOOKUP($A23,[2]Controle!$A$6:$BP$215,B$2,FALSE))</f>
        <v>-</v>
      </c>
      <c r="C23" s="53" t="str">
        <f>IF($A23="-","-",VLOOKUP($A23,[2]Controle!$A$6:$BP$215,C$2,FALSE))</f>
        <v>-</v>
      </c>
      <c r="D23" s="53" t="str">
        <f>IF($A23="-","-",VLOOKUP($A23,[2]Controle!$A$6:$BP$215,D$2,FALSE))</f>
        <v>-</v>
      </c>
      <c r="E23" s="53" t="str">
        <f>IF($A23="-","-",VLOOKUP($A23,[2]Controle!$A$6:$BP$215,E$2,FALSE))</f>
        <v>-</v>
      </c>
      <c r="F23" s="53" t="str">
        <f>IF($A23="-","-",VLOOKUP($A23,[2]Controle!$A$6:$BP$215,F$2,FALSE))</f>
        <v>-</v>
      </c>
      <c r="G23" s="54" t="str">
        <f>IF($A23="-","-",VLOOKUP($A23,[2]Controle!$A$6:$BP$215,G$2,FALSE))</f>
        <v>-</v>
      </c>
      <c r="H23" s="55" t="str">
        <f>IF($A23="-","-",VLOOKUP($A23,[2]Controle!$A$6:$BP$215,H$2,FALSE))</f>
        <v>-</v>
      </c>
      <c r="I23" s="53" t="str">
        <f>IF($A23="-","-",VLOOKUP($A23,[2]Controle!$A$6:$BP$215,I$2,FALSE))</f>
        <v>-</v>
      </c>
      <c r="J23" s="53" t="str">
        <f>IF($A23="-","-",VLOOKUP($A23,[2]Controle!$A$6:$BP$215,J$2,FALSE))</f>
        <v>-</v>
      </c>
      <c r="K23" s="53" t="str">
        <f>IF($A23="-","-",VLOOKUP($A23,[2]Controle!$A$6:$BP$215,K$2,FALSE))</f>
        <v>-</v>
      </c>
      <c r="L23" s="53" t="str">
        <f>IF($A23="-","-",VLOOKUP($A23,[2]Controle!$A$6:$BP$215,L$2,FALSE))</f>
        <v>-</v>
      </c>
      <c r="M23" s="53" t="str">
        <f>IF($A23="-","-",VLOOKUP($A23,[2]Controle!$A$6:$BP$215,M$2,FALSE))</f>
        <v>-</v>
      </c>
      <c r="N23" s="53" t="str">
        <f>IF($A23="-","-",VLOOKUP($A23,[2]Controle!$A$6:$BP$215,N$2,FALSE))</f>
        <v>-</v>
      </c>
      <c r="O23" s="53" t="str">
        <f>IF($A23="-","-",VLOOKUP($A23,[2]Controle!$A$6:$BP$215,O$2,FALSE))</f>
        <v>-</v>
      </c>
      <c r="P23" s="53" t="str">
        <f>IF($A23="-","-",VLOOKUP($A23,[2]Controle!$A$6:$BP$215,P$2,FALSE))</f>
        <v>-</v>
      </c>
      <c r="Q23" s="53" t="str">
        <f>IF($A23="-","-",VLOOKUP($A23,[2]Controle!$A$6:$BP$215,Q$2,FALSE))</f>
        <v>-</v>
      </c>
      <c r="R23" s="53" t="str">
        <f>IF($A23="-","-",VLOOKUP($A23,[2]Controle!$A$6:$BP$215,R$2,FALSE))</f>
        <v>-</v>
      </c>
      <c r="S23" s="53" t="str">
        <f>IF($A23="-","-",VLOOKUP($A23,[2]Controle!$A$6:$BP$215,S$2,FALSE))</f>
        <v>-</v>
      </c>
      <c r="T23" s="53" t="str">
        <f>IF($A23="-","-",VLOOKUP($A23,[2]Controle!$A$6:$BP$215,T$2,FALSE))</f>
        <v>-</v>
      </c>
      <c r="U23" s="53" t="str">
        <f>IF($A23="-","-",VLOOKUP($A23,[2]Controle!$A$6:$BP$215,U$2,FALSE))</f>
        <v>-</v>
      </c>
      <c r="V23" s="53" t="str">
        <f>IF($A23="-","-",VLOOKUP($A23,[2]Controle!$A$6:$BP$215,V$2,FALSE))</f>
        <v>-</v>
      </c>
      <c r="W23" s="53" t="str">
        <f>IF($A23="-","-",VLOOKUP($A23,[2]Controle!$A$6:$BP$215,W$2,FALSE))</f>
        <v>-</v>
      </c>
      <c r="X23" s="53" t="str">
        <f>IF($A23="-","-",VLOOKUP($A23,[2]Controle!$A$6:$BP$215,X$2,FALSE))</f>
        <v>-</v>
      </c>
      <c r="Y23" s="53" t="str">
        <f>IF($A23="-","-",VLOOKUP($A23,[2]Controle!$A$6:$BP$215,Y$2,FALSE))</f>
        <v>-</v>
      </c>
      <c r="Z23" s="53" t="str">
        <f>IF($A23="-","-",VLOOKUP($A23,[2]Controle!$A$6:$BP$215,Z$2,FALSE))</f>
        <v>-</v>
      </c>
      <c r="AA23" s="53" t="str">
        <f>IF($A23="-","-",VLOOKUP($A23,[2]Controle!$A$6:$BP$215,AA$2,FALSE))</f>
        <v>-</v>
      </c>
      <c r="AB23" s="53" t="str">
        <f>IF($A23="-","-",VLOOKUP($A23,[2]Controle!$A$6:$BP$215,AB$2,FALSE))</f>
        <v>-</v>
      </c>
      <c r="AC23" s="53" t="str">
        <f>IF($A23="-","-",VLOOKUP($A23,[2]Controle!$A$6:$BP$215,AC$2,FALSE))</f>
        <v>-</v>
      </c>
      <c r="AD23" s="53" t="str">
        <f>IF($A23="-","-",VLOOKUP($A23,[2]Controle!$A$6:$BP$215,AD$2,FALSE))</f>
        <v>-</v>
      </c>
      <c r="AE23" s="53" t="str">
        <f>IF($A23="-","-",VLOOKUP($A23,[2]Controle!$A$6:$BP$215,AE$2,FALSE))</f>
        <v>-</v>
      </c>
      <c r="AF23" s="53" t="str">
        <f>IF($A23="-","-",VLOOKUP($A23,[2]Controle!$A$6:$BP$215,AF$2,FALSE))</f>
        <v>-</v>
      </c>
      <c r="AG23" s="53" t="str">
        <f>IF($A23="-","-",VLOOKUP($A23,[2]Controle!$A$6:$BP$215,AG$2,FALSE))</f>
        <v>-</v>
      </c>
      <c r="AH23" s="53" t="str">
        <f>IF($A23="-","-",VLOOKUP($A23,[2]Controle!$A$6:$BP$215,AH$2,FALSE))</f>
        <v>-</v>
      </c>
      <c r="AI23" s="53" t="str">
        <f>IF($A23="-","-",VLOOKUP($A23,[2]Controle!$A$6:$BP$215,AI$2,FALSE))</f>
        <v>-</v>
      </c>
      <c r="AJ23" s="53" t="str">
        <f>IF($A23="-","-",VLOOKUP($A23,[2]Controle!$A$6:$BP$215,AJ$2,FALSE))</f>
        <v>-</v>
      </c>
      <c r="AK23" s="53" t="str">
        <f>IF($A23="-","-",VLOOKUP($A23,[2]Controle!$A$6:$BP$215,AK$2,FALSE))</f>
        <v>-</v>
      </c>
      <c r="AL23" s="53" t="str">
        <f>IF($A23="-","-",VLOOKUP($A23,[2]Controle!$A$6:$BP$215,AL$2,FALSE))</f>
        <v>-</v>
      </c>
      <c r="AM23" s="53" t="str">
        <f>IF($A23="-","-",VLOOKUP($A23,[2]Controle!$A$6:$BP$215,AM$2,FALSE))</f>
        <v>-</v>
      </c>
      <c r="AN23" s="53" t="str">
        <f>IF($A23="-","-",VLOOKUP($A23,[2]Controle!$A$6:$BP$215,AN$2,FALSE))</f>
        <v>-</v>
      </c>
      <c r="AO23" s="53" t="str">
        <f>IF($A23="-","-",VLOOKUP($A23,[2]Controle!$A$6:$BP$215,AO$2,FALSE))</f>
        <v>-</v>
      </c>
      <c r="AP23" s="53" t="str">
        <f>IF($A23="-","-",VLOOKUP($A23,[2]Controle!$A$6:$BP$215,AP$2,FALSE))</f>
        <v>-</v>
      </c>
      <c r="AQ23" s="53" t="str">
        <f>IF($A23="-","-",VLOOKUP($A23,[2]Controle!$A$6:$BP$215,AQ$2,FALSE))</f>
        <v>-</v>
      </c>
      <c r="AR23" s="53" t="str">
        <f>IF($A23="-","-",VLOOKUP($A23,[2]Controle!$A$6:$BP$215,AR$2,FALSE))</f>
        <v>-</v>
      </c>
      <c r="AS23" s="53" t="str">
        <f>IF($A23="-","-",VLOOKUP($A23,[2]Controle!$A$6:$BP$215,AS$2,FALSE))</f>
        <v>-</v>
      </c>
      <c r="AT23" s="53" t="str">
        <f>IF($A23="-","-",VLOOKUP($A23,[2]Controle!$A$6:$BP$215,AT$2,FALSE))</f>
        <v>-</v>
      </c>
      <c r="AU23" s="53" t="str">
        <f>IF($A23="-","-",VLOOKUP($A23,[2]Controle!$A$6:$BP$215,AU$2,FALSE))</f>
        <v>-</v>
      </c>
      <c r="AV23" s="53" t="str">
        <f>IF($A23="-","-",VLOOKUP($A23,[2]Controle!$A$6:$BP$215,AV$2,FALSE))</f>
        <v>-</v>
      </c>
      <c r="AW23" s="53" t="str">
        <f>IF($A23="-","-",VLOOKUP($A23,[2]Controle!$A$6:$BP$215,AW$2,FALSE))</f>
        <v>-</v>
      </c>
      <c r="AX23" s="53" t="str">
        <f>IF($A23="-","-",VLOOKUP($A23,[2]Controle!$A$6:$BP$215,AX$2,FALSE))</f>
        <v>-</v>
      </c>
      <c r="AY23" s="53" t="str">
        <f>IF($A23="-","-",VLOOKUP($A23,[2]Controle!$A$6:$BP$215,AY$2,FALSE))</f>
        <v>-</v>
      </c>
      <c r="AZ23" s="53" t="str">
        <f>IF($A23="-","-",VLOOKUP($A23,[2]Controle!$A$6:$BP$215,AZ$2,FALSE))</f>
        <v>-</v>
      </c>
      <c r="BA23" s="53" t="str">
        <f>IF($A23="-","-",VLOOKUP($A23,[2]Controle!$A$6:$BP$215,BA$2,FALSE))</f>
        <v>-</v>
      </c>
      <c r="BB23" s="53" t="str">
        <f>IF($A23="-","-",VLOOKUP($A23,[2]Controle!$A$6:$BP$215,BB$2,FALSE))</f>
        <v>-</v>
      </c>
      <c r="BC23" s="53" t="str">
        <f>IF($A23="-","-",VLOOKUP($A23,[2]Controle!$A$6:$BP$215,BC$2,FALSE))</f>
        <v>-</v>
      </c>
      <c r="BD23" s="53" t="str">
        <f>IF($A23="-","-",VLOOKUP($A23,[2]Controle!$A$6:$BP$215,BD$2,FALSE))</f>
        <v>-</v>
      </c>
      <c r="BE23" s="53" t="str">
        <f>IF($A23="-","-",VLOOKUP($A23,[2]Controle!$A$6:$BP$215,BE$2,FALSE))</f>
        <v>-</v>
      </c>
      <c r="BF23" s="53" t="str">
        <f>IF($A23="-","-",VLOOKUP($A23,[2]Controle!$A$6:$BP$215,BF$2,FALSE))</f>
        <v>-</v>
      </c>
      <c r="BG23" s="53" t="str">
        <f>IF($A23="-","-",VLOOKUP($A23,[2]Controle!$A$6:$BP$215,BG$2,FALSE))</f>
        <v>-</v>
      </c>
      <c r="BH23" s="53" t="str">
        <f>IF($A23="-","-",VLOOKUP($A23,[2]Controle!$A$6:$BP$215,BH$2,FALSE))</f>
        <v>-</v>
      </c>
      <c r="BI23" s="53" t="str">
        <f>IF($A23="-","-",VLOOKUP($A23,[2]Controle!$A$6:$BP$215,BI$2,FALSE))</f>
        <v>-</v>
      </c>
      <c r="BJ23" s="53" t="str">
        <f>IF($A23="-","-",VLOOKUP($A23,[2]Controle!$A$6:$BP$215,BJ$2,FALSE))</f>
        <v>-</v>
      </c>
      <c r="BK23" s="53" t="str">
        <f>IF($A23="-","-",VLOOKUP($A23,[2]Controle!$A$6:$BP$215,BK$2,FALSE))</f>
        <v>-</v>
      </c>
      <c r="BL23" s="53" t="str">
        <f>IF($A23="-","-",VLOOKUP($A23,[2]Controle!$A$6:$BP$215,BL$2,FALSE))</f>
        <v>-</v>
      </c>
      <c r="BM23" s="53" t="str">
        <f>IF($A23="-","-",VLOOKUP($A23,[2]Controle!$A$6:$BP$215,BM$2,FALSE))</f>
        <v>-</v>
      </c>
      <c r="BN23" s="53" t="str">
        <f>IF($A23="-","-",VLOOKUP($A23,[2]Controle!$A$6:$BP$215,BN$2,FALSE))</f>
        <v>-</v>
      </c>
      <c r="BO23" s="53" t="str">
        <f>IF($A23="-","-",VLOOKUP($A23,[2]Controle!$A$6:$BP$215,BO$2,FALSE))</f>
        <v>-</v>
      </c>
      <c r="BP23" s="53" t="str">
        <f>IF($A23="-","-",VLOOKUP($A23,[2]Controle!$A$6:$BP$215,BP$2,FALSE))</f>
        <v>-</v>
      </c>
      <c r="CT23" s="41">
        <f>IF(CV23="-",0,MAX($CT$5:CT22)+1)</f>
        <v>0</v>
      </c>
      <c r="CU23" s="53" t="str">
        <f t="shared" si="6"/>
        <v>-</v>
      </c>
      <c r="CV23" s="53" t="str">
        <f t="shared" si="3"/>
        <v>-</v>
      </c>
      <c r="CW23" s="53" t="str">
        <f t="shared" si="7"/>
        <v>-</v>
      </c>
      <c r="CY23" s="41" t="str">
        <f t="shared" si="5"/>
        <v>-</v>
      </c>
    </row>
    <row r="24" spans="1:103" x14ac:dyDescent="0.3">
      <c r="A24" s="56" t="s">
        <v>54</v>
      </c>
      <c r="B24" s="53" t="str">
        <f>IF($A24="-","-",VLOOKUP($A24,[2]Controle!$A$6:$BP$215,B$2,FALSE))</f>
        <v>-</v>
      </c>
      <c r="C24" s="53" t="str">
        <f>IF($A24="-","-",VLOOKUP($A24,[2]Controle!$A$6:$BP$215,C$2,FALSE))</f>
        <v>-</v>
      </c>
      <c r="D24" s="53" t="str">
        <f>IF($A24="-","-",VLOOKUP($A24,[2]Controle!$A$6:$BP$215,D$2,FALSE))</f>
        <v>-</v>
      </c>
      <c r="E24" s="53" t="str">
        <f>IF($A24="-","-",VLOOKUP($A24,[2]Controle!$A$6:$BP$215,E$2,FALSE))</f>
        <v>-</v>
      </c>
      <c r="F24" s="53" t="str">
        <f>IF($A24="-","-",VLOOKUP($A24,[2]Controle!$A$6:$BP$215,F$2,FALSE))</f>
        <v>-</v>
      </c>
      <c r="G24" s="54" t="str">
        <f>IF($A24="-","-",VLOOKUP($A24,[2]Controle!$A$6:$BP$215,G$2,FALSE))</f>
        <v>-</v>
      </c>
      <c r="H24" s="55" t="str">
        <f>IF($A24="-","-",VLOOKUP($A24,[2]Controle!$A$6:$BP$215,H$2,FALSE))</f>
        <v>-</v>
      </c>
      <c r="I24" s="53" t="str">
        <f>IF($A24="-","-",VLOOKUP($A24,[2]Controle!$A$6:$BP$215,I$2,FALSE))</f>
        <v>-</v>
      </c>
      <c r="J24" s="53" t="str">
        <f>IF($A24="-","-",VLOOKUP($A24,[2]Controle!$A$6:$BP$215,J$2,FALSE))</f>
        <v>-</v>
      </c>
      <c r="K24" s="53" t="str">
        <f>IF($A24="-","-",VLOOKUP($A24,[2]Controle!$A$6:$BP$215,K$2,FALSE))</f>
        <v>-</v>
      </c>
      <c r="L24" s="53" t="str">
        <f>IF($A24="-","-",VLOOKUP($A24,[2]Controle!$A$6:$BP$215,L$2,FALSE))</f>
        <v>-</v>
      </c>
      <c r="M24" s="53" t="str">
        <f>IF($A24="-","-",VLOOKUP($A24,[2]Controle!$A$6:$BP$215,M$2,FALSE))</f>
        <v>-</v>
      </c>
      <c r="N24" s="53" t="str">
        <f>IF($A24="-","-",VLOOKUP($A24,[2]Controle!$A$6:$BP$215,N$2,FALSE))</f>
        <v>-</v>
      </c>
      <c r="O24" s="53" t="str">
        <f>IF($A24="-","-",VLOOKUP($A24,[2]Controle!$A$6:$BP$215,O$2,FALSE))</f>
        <v>-</v>
      </c>
      <c r="P24" s="53" t="str">
        <f>IF($A24="-","-",VLOOKUP($A24,[2]Controle!$A$6:$BP$215,P$2,FALSE))</f>
        <v>-</v>
      </c>
      <c r="Q24" s="53" t="str">
        <f>IF($A24="-","-",VLOOKUP($A24,[2]Controle!$A$6:$BP$215,Q$2,FALSE))</f>
        <v>-</v>
      </c>
      <c r="R24" s="53" t="str">
        <f>IF($A24="-","-",VLOOKUP($A24,[2]Controle!$A$6:$BP$215,R$2,FALSE))</f>
        <v>-</v>
      </c>
      <c r="S24" s="53" t="str">
        <f>IF($A24="-","-",VLOOKUP($A24,[2]Controle!$A$6:$BP$215,S$2,FALSE))</f>
        <v>-</v>
      </c>
      <c r="T24" s="53" t="str">
        <f>IF($A24="-","-",VLOOKUP($A24,[2]Controle!$A$6:$BP$215,T$2,FALSE))</f>
        <v>-</v>
      </c>
      <c r="U24" s="53" t="str">
        <f>IF($A24="-","-",VLOOKUP($A24,[2]Controle!$A$6:$BP$215,U$2,FALSE))</f>
        <v>-</v>
      </c>
      <c r="V24" s="53" t="str">
        <f>IF($A24="-","-",VLOOKUP($A24,[2]Controle!$A$6:$BP$215,V$2,FALSE))</f>
        <v>-</v>
      </c>
      <c r="W24" s="53" t="str">
        <f>IF($A24="-","-",VLOOKUP($A24,[2]Controle!$A$6:$BP$215,W$2,FALSE))</f>
        <v>-</v>
      </c>
      <c r="X24" s="53" t="str">
        <f>IF($A24="-","-",VLOOKUP($A24,[2]Controle!$A$6:$BP$215,X$2,FALSE))</f>
        <v>-</v>
      </c>
      <c r="Y24" s="53" t="str">
        <f>IF($A24="-","-",VLOOKUP($A24,[2]Controle!$A$6:$BP$215,Y$2,FALSE))</f>
        <v>-</v>
      </c>
      <c r="Z24" s="53" t="str">
        <f>IF($A24="-","-",VLOOKUP($A24,[2]Controle!$A$6:$BP$215,Z$2,FALSE))</f>
        <v>-</v>
      </c>
      <c r="AA24" s="53" t="str">
        <f>IF($A24="-","-",VLOOKUP($A24,[2]Controle!$A$6:$BP$215,AA$2,FALSE))</f>
        <v>-</v>
      </c>
      <c r="AB24" s="53" t="str">
        <f>IF($A24="-","-",VLOOKUP($A24,[2]Controle!$A$6:$BP$215,AB$2,FALSE))</f>
        <v>-</v>
      </c>
      <c r="AC24" s="53" t="str">
        <f>IF($A24="-","-",VLOOKUP($A24,[2]Controle!$A$6:$BP$215,AC$2,FALSE))</f>
        <v>-</v>
      </c>
      <c r="AD24" s="53" t="str">
        <f>IF($A24="-","-",VLOOKUP($A24,[2]Controle!$A$6:$BP$215,AD$2,FALSE))</f>
        <v>-</v>
      </c>
      <c r="AE24" s="53" t="str">
        <f>IF($A24="-","-",VLOOKUP($A24,[2]Controle!$A$6:$BP$215,AE$2,FALSE))</f>
        <v>-</v>
      </c>
      <c r="AF24" s="53" t="str">
        <f>IF($A24="-","-",VLOOKUP($A24,[2]Controle!$A$6:$BP$215,AF$2,FALSE))</f>
        <v>-</v>
      </c>
      <c r="AG24" s="53" t="str">
        <f>IF($A24="-","-",VLOOKUP($A24,[2]Controle!$A$6:$BP$215,AG$2,FALSE))</f>
        <v>-</v>
      </c>
      <c r="AH24" s="53" t="str">
        <f>IF($A24="-","-",VLOOKUP($A24,[2]Controle!$A$6:$BP$215,AH$2,FALSE))</f>
        <v>-</v>
      </c>
      <c r="AI24" s="53" t="str">
        <f>IF($A24="-","-",VLOOKUP($A24,[2]Controle!$A$6:$BP$215,AI$2,FALSE))</f>
        <v>-</v>
      </c>
      <c r="AJ24" s="53" t="str">
        <f>IF($A24="-","-",VLOOKUP($A24,[2]Controle!$A$6:$BP$215,AJ$2,FALSE))</f>
        <v>-</v>
      </c>
      <c r="AK24" s="53" t="str">
        <f>IF($A24="-","-",VLOOKUP($A24,[2]Controle!$A$6:$BP$215,AK$2,FALSE))</f>
        <v>-</v>
      </c>
      <c r="AL24" s="53" t="str">
        <f>IF($A24="-","-",VLOOKUP($A24,[2]Controle!$A$6:$BP$215,AL$2,FALSE))</f>
        <v>-</v>
      </c>
      <c r="AM24" s="53" t="str">
        <f>IF($A24="-","-",VLOOKUP($A24,[2]Controle!$A$6:$BP$215,AM$2,FALSE))</f>
        <v>-</v>
      </c>
      <c r="AN24" s="53" t="str">
        <f>IF($A24="-","-",VLOOKUP($A24,[2]Controle!$A$6:$BP$215,AN$2,FALSE))</f>
        <v>-</v>
      </c>
      <c r="AO24" s="53" t="str">
        <f>IF($A24="-","-",VLOOKUP($A24,[2]Controle!$A$6:$BP$215,AO$2,FALSE))</f>
        <v>-</v>
      </c>
      <c r="AP24" s="53" t="str">
        <f>IF($A24="-","-",VLOOKUP($A24,[2]Controle!$A$6:$BP$215,AP$2,FALSE))</f>
        <v>-</v>
      </c>
      <c r="AQ24" s="53" t="str">
        <f>IF($A24="-","-",VLOOKUP($A24,[2]Controle!$A$6:$BP$215,AQ$2,FALSE))</f>
        <v>-</v>
      </c>
      <c r="AR24" s="53" t="str">
        <f>IF($A24="-","-",VLOOKUP($A24,[2]Controle!$A$6:$BP$215,AR$2,FALSE))</f>
        <v>-</v>
      </c>
      <c r="AS24" s="53" t="str">
        <f>IF($A24="-","-",VLOOKUP($A24,[2]Controle!$A$6:$BP$215,AS$2,FALSE))</f>
        <v>-</v>
      </c>
      <c r="AT24" s="53" t="str">
        <f>IF($A24="-","-",VLOOKUP($A24,[2]Controle!$A$6:$BP$215,AT$2,FALSE))</f>
        <v>-</v>
      </c>
      <c r="AU24" s="53" t="str">
        <f>IF($A24="-","-",VLOOKUP($A24,[2]Controle!$A$6:$BP$215,AU$2,FALSE))</f>
        <v>-</v>
      </c>
      <c r="AV24" s="53" t="str">
        <f>IF($A24="-","-",VLOOKUP($A24,[2]Controle!$A$6:$BP$215,AV$2,FALSE))</f>
        <v>-</v>
      </c>
      <c r="AW24" s="53" t="str">
        <f>IF($A24="-","-",VLOOKUP($A24,[2]Controle!$A$6:$BP$215,AW$2,FALSE))</f>
        <v>-</v>
      </c>
      <c r="AX24" s="53" t="str">
        <f>IF($A24="-","-",VLOOKUP($A24,[2]Controle!$A$6:$BP$215,AX$2,FALSE))</f>
        <v>-</v>
      </c>
      <c r="AY24" s="53" t="str">
        <f>IF($A24="-","-",VLOOKUP($A24,[2]Controle!$A$6:$BP$215,AY$2,FALSE))</f>
        <v>-</v>
      </c>
      <c r="AZ24" s="53" t="str">
        <f>IF($A24="-","-",VLOOKUP($A24,[2]Controle!$A$6:$BP$215,AZ$2,FALSE))</f>
        <v>-</v>
      </c>
      <c r="BA24" s="53" t="str">
        <f>IF($A24="-","-",VLOOKUP($A24,[2]Controle!$A$6:$BP$215,BA$2,FALSE))</f>
        <v>-</v>
      </c>
      <c r="BB24" s="53" t="str">
        <f>IF($A24="-","-",VLOOKUP($A24,[2]Controle!$A$6:$BP$215,BB$2,FALSE))</f>
        <v>-</v>
      </c>
      <c r="BC24" s="53" t="str">
        <f>IF($A24="-","-",VLOOKUP($A24,[2]Controle!$A$6:$BP$215,BC$2,FALSE))</f>
        <v>-</v>
      </c>
      <c r="BD24" s="53" t="str">
        <f>IF($A24="-","-",VLOOKUP($A24,[2]Controle!$A$6:$BP$215,BD$2,FALSE))</f>
        <v>-</v>
      </c>
      <c r="BE24" s="53" t="str">
        <f>IF($A24="-","-",VLOOKUP($A24,[2]Controle!$A$6:$BP$215,BE$2,FALSE))</f>
        <v>-</v>
      </c>
      <c r="BF24" s="53" t="str">
        <f>IF($A24="-","-",VLOOKUP($A24,[2]Controle!$A$6:$BP$215,BF$2,FALSE))</f>
        <v>-</v>
      </c>
      <c r="BG24" s="53" t="str">
        <f>IF($A24="-","-",VLOOKUP($A24,[2]Controle!$A$6:$BP$215,BG$2,FALSE))</f>
        <v>-</v>
      </c>
      <c r="BH24" s="53" t="str">
        <f>IF($A24="-","-",VLOOKUP($A24,[2]Controle!$A$6:$BP$215,BH$2,FALSE))</f>
        <v>-</v>
      </c>
      <c r="BI24" s="53" t="str">
        <f>IF($A24="-","-",VLOOKUP($A24,[2]Controle!$A$6:$BP$215,BI$2,FALSE))</f>
        <v>-</v>
      </c>
      <c r="BJ24" s="53" t="str">
        <f>IF($A24="-","-",VLOOKUP($A24,[2]Controle!$A$6:$BP$215,BJ$2,FALSE))</f>
        <v>-</v>
      </c>
      <c r="BK24" s="53" t="str">
        <f>IF($A24="-","-",VLOOKUP($A24,[2]Controle!$A$6:$BP$215,BK$2,FALSE))</f>
        <v>-</v>
      </c>
      <c r="BL24" s="53" t="str">
        <f>IF($A24="-","-",VLOOKUP($A24,[2]Controle!$A$6:$BP$215,BL$2,FALSE))</f>
        <v>-</v>
      </c>
      <c r="BM24" s="53" t="str">
        <f>IF($A24="-","-",VLOOKUP($A24,[2]Controle!$A$6:$BP$215,BM$2,FALSE))</f>
        <v>-</v>
      </c>
      <c r="BN24" s="53" t="str">
        <f>IF($A24="-","-",VLOOKUP($A24,[2]Controle!$A$6:$BP$215,BN$2,FALSE))</f>
        <v>-</v>
      </c>
      <c r="BO24" s="53" t="str">
        <f>IF($A24="-","-",VLOOKUP($A24,[2]Controle!$A$6:$BP$215,BO$2,FALSE))</f>
        <v>-</v>
      </c>
      <c r="BP24" s="53" t="str">
        <f>IF($A24="-","-",VLOOKUP($A24,[2]Controle!$A$6:$BP$215,BP$2,FALSE))</f>
        <v>-</v>
      </c>
      <c r="CT24" s="41">
        <f>IF(CV24="-",0,MAX($CT$5:CT23)+1)</f>
        <v>0</v>
      </c>
      <c r="CU24" s="53" t="str">
        <f t="shared" si="6"/>
        <v>-</v>
      </c>
      <c r="CV24" s="53" t="str">
        <f t="shared" si="3"/>
        <v>-</v>
      </c>
      <c r="CW24" s="53" t="str">
        <f t="shared" si="7"/>
        <v>-</v>
      </c>
      <c r="CY24" s="41" t="str">
        <f t="shared" si="5"/>
        <v>-</v>
      </c>
    </row>
    <row r="25" spans="1:103" s="44" customFormat="1" x14ac:dyDescent="0.3">
      <c r="A25" s="43">
        <v>1</v>
      </c>
      <c r="B25" s="44">
        <f t="shared" ref="B25:BM25" si="10">A25+1</f>
        <v>2</v>
      </c>
      <c r="C25" s="44">
        <f t="shared" si="10"/>
        <v>3</v>
      </c>
      <c r="D25" s="44">
        <f t="shared" si="10"/>
        <v>4</v>
      </c>
      <c r="E25" s="44">
        <f t="shared" si="10"/>
        <v>5</v>
      </c>
      <c r="F25" s="44">
        <f t="shared" si="10"/>
        <v>6</v>
      </c>
      <c r="G25" s="44">
        <f t="shared" si="10"/>
        <v>7</v>
      </c>
      <c r="H25" s="44">
        <f t="shared" si="10"/>
        <v>8</v>
      </c>
      <c r="I25" s="44">
        <f t="shared" si="10"/>
        <v>9</v>
      </c>
      <c r="J25" s="44">
        <f t="shared" si="10"/>
        <v>10</v>
      </c>
      <c r="K25" s="44">
        <f t="shared" si="10"/>
        <v>11</v>
      </c>
      <c r="L25" s="44">
        <f t="shared" si="10"/>
        <v>12</v>
      </c>
      <c r="M25" s="44">
        <f t="shared" si="10"/>
        <v>13</v>
      </c>
      <c r="N25" s="44">
        <f t="shared" si="10"/>
        <v>14</v>
      </c>
      <c r="O25" s="44">
        <f t="shared" si="10"/>
        <v>15</v>
      </c>
      <c r="P25" s="44">
        <f t="shared" si="10"/>
        <v>16</v>
      </c>
      <c r="Q25" s="44">
        <f t="shared" si="10"/>
        <v>17</v>
      </c>
      <c r="R25" s="44">
        <f t="shared" si="10"/>
        <v>18</v>
      </c>
      <c r="S25" s="44">
        <f t="shared" si="10"/>
        <v>19</v>
      </c>
      <c r="T25" s="44">
        <f t="shared" si="10"/>
        <v>20</v>
      </c>
      <c r="U25" s="44">
        <f t="shared" si="10"/>
        <v>21</v>
      </c>
      <c r="V25" s="44">
        <f t="shared" si="10"/>
        <v>22</v>
      </c>
      <c r="W25" s="44">
        <f t="shared" si="10"/>
        <v>23</v>
      </c>
      <c r="X25" s="44">
        <f t="shared" si="10"/>
        <v>24</v>
      </c>
      <c r="Y25" s="44">
        <f t="shared" si="10"/>
        <v>25</v>
      </c>
      <c r="Z25" s="44">
        <f t="shared" si="10"/>
        <v>26</v>
      </c>
      <c r="AA25" s="44">
        <f t="shared" si="10"/>
        <v>27</v>
      </c>
      <c r="AB25" s="44">
        <f t="shared" si="10"/>
        <v>28</v>
      </c>
      <c r="AC25" s="44">
        <f t="shared" si="10"/>
        <v>29</v>
      </c>
      <c r="AD25" s="44">
        <f t="shared" si="10"/>
        <v>30</v>
      </c>
      <c r="AE25" s="44">
        <f t="shared" si="10"/>
        <v>31</v>
      </c>
      <c r="AF25" s="44">
        <f t="shared" si="10"/>
        <v>32</v>
      </c>
      <c r="AG25" s="44">
        <f t="shared" si="10"/>
        <v>33</v>
      </c>
      <c r="AH25" s="44">
        <f t="shared" si="10"/>
        <v>34</v>
      </c>
      <c r="AI25" s="44">
        <f t="shared" si="10"/>
        <v>35</v>
      </c>
      <c r="AJ25" s="44">
        <f t="shared" si="10"/>
        <v>36</v>
      </c>
      <c r="AK25" s="44">
        <f t="shared" si="10"/>
        <v>37</v>
      </c>
      <c r="AL25" s="44">
        <f t="shared" si="10"/>
        <v>38</v>
      </c>
      <c r="AM25" s="44">
        <f t="shared" si="10"/>
        <v>39</v>
      </c>
      <c r="AN25" s="44">
        <f t="shared" si="10"/>
        <v>40</v>
      </c>
      <c r="AO25" s="44">
        <f t="shared" si="10"/>
        <v>41</v>
      </c>
      <c r="AP25" s="44">
        <f t="shared" si="10"/>
        <v>42</v>
      </c>
      <c r="AQ25" s="44">
        <f t="shared" si="10"/>
        <v>43</v>
      </c>
      <c r="AR25" s="44">
        <f t="shared" si="10"/>
        <v>44</v>
      </c>
      <c r="AS25" s="44">
        <f t="shared" si="10"/>
        <v>45</v>
      </c>
      <c r="AT25" s="44">
        <f t="shared" si="10"/>
        <v>46</v>
      </c>
      <c r="AU25" s="44">
        <f t="shared" si="10"/>
        <v>47</v>
      </c>
      <c r="AV25" s="44">
        <f t="shared" si="10"/>
        <v>48</v>
      </c>
      <c r="AW25" s="44">
        <f t="shared" si="10"/>
        <v>49</v>
      </c>
      <c r="AX25" s="44">
        <f t="shared" si="10"/>
        <v>50</v>
      </c>
      <c r="AY25" s="44">
        <f t="shared" si="10"/>
        <v>51</v>
      </c>
      <c r="AZ25" s="44">
        <f t="shared" si="10"/>
        <v>52</v>
      </c>
      <c r="BA25" s="44">
        <f t="shared" si="10"/>
        <v>53</v>
      </c>
      <c r="BB25" s="44">
        <f t="shared" si="10"/>
        <v>54</v>
      </c>
      <c r="BC25" s="44">
        <f t="shared" si="10"/>
        <v>55</v>
      </c>
      <c r="BD25" s="44">
        <f t="shared" si="10"/>
        <v>56</v>
      </c>
      <c r="BE25" s="44">
        <f t="shared" si="10"/>
        <v>57</v>
      </c>
      <c r="BF25" s="44">
        <f t="shared" si="10"/>
        <v>58</v>
      </c>
      <c r="BG25" s="44">
        <f t="shared" si="10"/>
        <v>59</v>
      </c>
      <c r="BH25" s="44">
        <f t="shared" si="10"/>
        <v>60</v>
      </c>
      <c r="BI25" s="44">
        <f t="shared" si="10"/>
        <v>61</v>
      </c>
      <c r="BJ25" s="44">
        <f t="shared" si="10"/>
        <v>62</v>
      </c>
      <c r="BK25" s="44">
        <f t="shared" si="10"/>
        <v>63</v>
      </c>
      <c r="BL25" s="44">
        <f t="shared" si="10"/>
        <v>64</v>
      </c>
      <c r="BM25" s="44">
        <f t="shared" si="10"/>
        <v>65</v>
      </c>
      <c r="BN25" s="44">
        <f t="shared" ref="BN25:CV25" si="11">BM25+1</f>
        <v>66</v>
      </c>
      <c r="BO25" s="44">
        <f t="shared" si="11"/>
        <v>67</v>
      </c>
      <c r="BP25" s="44">
        <f t="shared" si="11"/>
        <v>68</v>
      </c>
      <c r="BQ25" s="44">
        <f t="shared" si="11"/>
        <v>69</v>
      </c>
      <c r="BR25" s="44">
        <f t="shared" si="11"/>
        <v>70</v>
      </c>
      <c r="BS25" s="44">
        <f t="shared" si="11"/>
        <v>71</v>
      </c>
      <c r="BT25" s="44">
        <f t="shared" si="11"/>
        <v>72</v>
      </c>
      <c r="BU25" s="44">
        <f t="shared" si="11"/>
        <v>73</v>
      </c>
      <c r="BV25" s="44">
        <f t="shared" si="11"/>
        <v>74</v>
      </c>
      <c r="BW25" s="44">
        <f t="shared" si="11"/>
        <v>75</v>
      </c>
      <c r="BX25" s="44">
        <f t="shared" si="11"/>
        <v>76</v>
      </c>
      <c r="BY25" s="44">
        <f t="shared" si="11"/>
        <v>77</v>
      </c>
      <c r="BZ25" s="44">
        <f t="shared" si="11"/>
        <v>78</v>
      </c>
      <c r="CA25" s="44">
        <f t="shared" si="11"/>
        <v>79</v>
      </c>
      <c r="CB25" s="44">
        <f t="shared" si="11"/>
        <v>80</v>
      </c>
      <c r="CC25" s="44">
        <f t="shared" si="11"/>
        <v>81</v>
      </c>
      <c r="CD25" s="44">
        <f t="shared" si="11"/>
        <v>82</v>
      </c>
      <c r="CE25" s="44">
        <f t="shared" si="11"/>
        <v>83</v>
      </c>
      <c r="CF25" s="44">
        <f t="shared" si="11"/>
        <v>84</v>
      </c>
      <c r="CG25" s="44">
        <f t="shared" si="11"/>
        <v>85</v>
      </c>
      <c r="CH25" s="44">
        <f t="shared" si="11"/>
        <v>86</v>
      </c>
      <c r="CI25" s="44">
        <f t="shared" si="11"/>
        <v>87</v>
      </c>
      <c r="CJ25" s="44">
        <f t="shared" si="11"/>
        <v>88</v>
      </c>
      <c r="CK25" s="44">
        <f t="shared" si="11"/>
        <v>89</v>
      </c>
      <c r="CL25" s="44">
        <f t="shared" si="11"/>
        <v>90</v>
      </c>
      <c r="CM25" s="44">
        <f t="shared" si="11"/>
        <v>91</v>
      </c>
      <c r="CN25" s="44">
        <f t="shared" si="11"/>
        <v>92</v>
      </c>
      <c r="CO25" s="44">
        <f t="shared" si="11"/>
        <v>93</v>
      </c>
      <c r="CP25" s="44">
        <f t="shared" si="11"/>
        <v>94</v>
      </c>
      <c r="CQ25" s="44">
        <f t="shared" si="11"/>
        <v>95</v>
      </c>
      <c r="CR25" s="44">
        <f t="shared" si="11"/>
        <v>96</v>
      </c>
      <c r="CS25" s="44">
        <f t="shared" si="11"/>
        <v>97</v>
      </c>
      <c r="CT25" s="44">
        <f t="shared" si="11"/>
        <v>98</v>
      </c>
      <c r="CU25" s="44">
        <f t="shared" si="11"/>
        <v>99</v>
      </c>
      <c r="CV25" s="44">
        <f t="shared" si="11"/>
        <v>100</v>
      </c>
    </row>
    <row r="26" spans="1:103" s="28" customFormat="1" ht="21" x14ac:dyDescent="0.3">
      <c r="A26" s="45"/>
      <c r="B26" s="40" t="s">
        <v>219</v>
      </c>
      <c r="Q26" s="515" t="s">
        <v>141</v>
      </c>
      <c r="R26" s="516"/>
      <c r="S26" s="516"/>
      <c r="T26" s="516"/>
      <c r="U26" s="516"/>
      <c r="V26" s="516"/>
      <c r="W26" s="516"/>
      <c r="X26" s="516"/>
      <c r="Y26" s="516"/>
      <c r="Z26" s="516"/>
      <c r="AA26" s="517"/>
      <c r="AB26" s="518" t="s">
        <v>142</v>
      </c>
      <c r="AC26" s="519"/>
      <c r="AD26" s="519"/>
      <c r="AE26" s="520"/>
      <c r="AF26" s="511" t="s">
        <v>143</v>
      </c>
      <c r="AG26" s="512"/>
      <c r="AH26" s="512"/>
      <c r="AI26" s="513"/>
      <c r="AJ26" s="518" t="s">
        <v>144</v>
      </c>
      <c r="AK26" s="519"/>
      <c r="AL26" s="519"/>
      <c r="AM26" s="520"/>
      <c r="AN26" s="511" t="s">
        <v>145</v>
      </c>
      <c r="AO26" s="512"/>
      <c r="AP26" s="512"/>
      <c r="AQ26" s="513"/>
      <c r="AR26" s="518" t="s">
        <v>146</v>
      </c>
      <c r="AS26" s="519"/>
      <c r="AT26" s="519"/>
      <c r="AU26" s="520"/>
      <c r="AV26" s="511" t="s">
        <v>147</v>
      </c>
      <c r="AW26" s="512"/>
      <c r="AX26" s="512"/>
      <c r="AY26" s="513"/>
      <c r="AZ26" s="518" t="s">
        <v>148</v>
      </c>
      <c r="BA26" s="519"/>
      <c r="BB26" s="519"/>
      <c r="BC26" s="520"/>
      <c r="BD26" s="511" t="s">
        <v>149</v>
      </c>
      <c r="BE26" s="512"/>
      <c r="BF26" s="512"/>
      <c r="BG26" s="513"/>
      <c r="BH26" s="518" t="s">
        <v>150</v>
      </c>
      <c r="BI26" s="519"/>
      <c r="BJ26" s="519"/>
      <c r="BK26" s="520"/>
      <c r="BL26" s="511" t="s">
        <v>151</v>
      </c>
      <c r="BM26" s="512"/>
      <c r="BN26" s="512"/>
      <c r="BO26" s="513"/>
    </row>
    <row r="27" spans="1:103" s="28" customFormat="1" ht="28.8" x14ac:dyDescent="0.3">
      <c r="A27" s="45"/>
      <c r="B27" s="47" t="s">
        <v>152</v>
      </c>
      <c r="C27" s="47" t="s">
        <v>153</v>
      </c>
      <c r="D27" s="57" t="s">
        <v>220</v>
      </c>
      <c r="E27" s="47" t="s">
        <v>154</v>
      </c>
      <c r="F27" s="47" t="s">
        <v>155</v>
      </c>
      <c r="G27" s="47" t="s">
        <v>156</v>
      </c>
      <c r="H27" s="47" t="s">
        <v>157</v>
      </c>
      <c r="I27" s="47" t="s">
        <v>158</v>
      </c>
      <c r="J27" s="47" t="s">
        <v>159</v>
      </c>
      <c r="K27" s="47" t="s">
        <v>162</v>
      </c>
      <c r="L27" s="47" t="s">
        <v>163</v>
      </c>
      <c r="M27" s="47" t="s">
        <v>134</v>
      </c>
      <c r="N27" s="47" t="s">
        <v>164</v>
      </c>
      <c r="O27" s="47" t="s">
        <v>165</v>
      </c>
      <c r="P27" s="47" t="s">
        <v>135</v>
      </c>
      <c r="Q27" s="48" t="s">
        <v>166</v>
      </c>
      <c r="R27" s="48" t="s">
        <v>167</v>
      </c>
      <c r="S27" s="48" t="s">
        <v>168</v>
      </c>
      <c r="T27" s="48" t="s">
        <v>169</v>
      </c>
      <c r="U27" s="48" t="s">
        <v>170</v>
      </c>
      <c r="V27" s="48" t="s">
        <v>171</v>
      </c>
      <c r="W27" s="48" t="s">
        <v>172</v>
      </c>
      <c r="X27" s="48" t="s">
        <v>173</v>
      </c>
      <c r="Y27" s="48" t="s">
        <v>174</v>
      </c>
      <c r="Z27" s="48" t="s">
        <v>175</v>
      </c>
      <c r="AA27" s="48" t="s">
        <v>176</v>
      </c>
      <c r="AB27" s="49" t="s">
        <v>177</v>
      </c>
      <c r="AC27" s="49" t="s">
        <v>178</v>
      </c>
      <c r="AD27" s="49" t="s">
        <v>179</v>
      </c>
      <c r="AE27" s="49" t="s">
        <v>180</v>
      </c>
      <c r="AF27" s="50" t="s">
        <v>181</v>
      </c>
      <c r="AG27" s="50" t="s">
        <v>182</v>
      </c>
      <c r="AH27" s="50" t="s">
        <v>183</v>
      </c>
      <c r="AI27" s="50" t="s">
        <v>184</v>
      </c>
      <c r="AJ27" s="49" t="s">
        <v>185</v>
      </c>
      <c r="AK27" s="49" t="s">
        <v>186</v>
      </c>
      <c r="AL27" s="49" t="s">
        <v>187</v>
      </c>
      <c r="AM27" s="49" t="s">
        <v>188</v>
      </c>
      <c r="AN27" s="50" t="s">
        <v>189</v>
      </c>
      <c r="AO27" s="50" t="s">
        <v>190</v>
      </c>
      <c r="AP27" s="50" t="s">
        <v>191</v>
      </c>
      <c r="AQ27" s="50" t="s">
        <v>192</v>
      </c>
      <c r="AR27" s="49" t="s">
        <v>193</v>
      </c>
      <c r="AS27" s="49" t="s">
        <v>194</v>
      </c>
      <c r="AT27" s="49" t="s">
        <v>195</v>
      </c>
      <c r="AU27" s="49" t="s">
        <v>196</v>
      </c>
      <c r="AV27" s="50" t="s">
        <v>197</v>
      </c>
      <c r="AW27" s="50" t="s">
        <v>198</v>
      </c>
      <c r="AX27" s="50" t="s">
        <v>199</v>
      </c>
      <c r="AY27" s="50" t="s">
        <v>200</v>
      </c>
      <c r="AZ27" s="49" t="s">
        <v>201</v>
      </c>
      <c r="BA27" s="49" t="s">
        <v>202</v>
      </c>
      <c r="BB27" s="49" t="s">
        <v>203</v>
      </c>
      <c r="BC27" s="49" t="s">
        <v>204</v>
      </c>
      <c r="BD27" s="50" t="s">
        <v>205</v>
      </c>
      <c r="BE27" s="50" t="s">
        <v>206</v>
      </c>
      <c r="BF27" s="50" t="s">
        <v>207</v>
      </c>
      <c r="BG27" s="50" t="s">
        <v>208</v>
      </c>
      <c r="BH27" s="49" t="s">
        <v>209</v>
      </c>
      <c r="BI27" s="49" t="s">
        <v>210</v>
      </c>
      <c r="BJ27" s="49" t="s">
        <v>211</v>
      </c>
      <c r="BK27" s="49" t="s">
        <v>212</v>
      </c>
      <c r="BL27" s="50" t="s">
        <v>213</v>
      </c>
      <c r="BM27" s="50" t="s">
        <v>214</v>
      </c>
      <c r="BN27" s="50" t="s">
        <v>215</v>
      </c>
      <c r="BO27" s="50" t="s">
        <v>216</v>
      </c>
      <c r="CT27" s="28">
        <f ca="1">MAX(CT28:CT47)</f>
        <v>1</v>
      </c>
      <c r="CU27" s="51" t="s">
        <v>217</v>
      </c>
      <c r="CV27" s="51" t="s">
        <v>221</v>
      </c>
    </row>
    <row r="28" spans="1:103" x14ac:dyDescent="0.3">
      <c r="A28" s="52">
        <v>52</v>
      </c>
      <c r="B28" s="53" t="str">
        <f>IF($A28="-","-",VLOOKUP($A28,[3]Controle!$A$6:$BO$105,B$25,FALSE))</f>
        <v>E.TH.LQ-001</v>
      </c>
      <c r="C28" s="53" t="str">
        <f>IF($A28="-","-",VLOOKUP($A28,[3]Controle!$A$6:$BO$105,C$25,FALSE))</f>
        <v>Termohigrômetro Digital</v>
      </c>
      <c r="D28" s="53">
        <f>IF($A28="-","-",VLOOKUP($A28,[3]Controle!$A$6:$BO$105,D$25,FALSE))</f>
        <v>20</v>
      </c>
      <c r="E28" s="53" t="str">
        <f>IF($A28="-","-",VLOOKUP($A28,[3]Controle!$A$6:$BO$105,E$25,FALSE))</f>
        <v>Elus</v>
      </c>
      <c r="F28" s="53" t="str">
        <f>IF($A28="-","-",VLOOKUP($A28,[3]Controle!$A$6:$BO$105,F$25,FALSE))</f>
        <v>RBC - CAL 0439</v>
      </c>
      <c r="G28" s="53" t="str">
        <f>IF($A28="-","-",VLOOKUP($A28,[3]Controle!$A$6:$BO$105,G$25,FALSE))</f>
        <v>E0397A/25</v>
      </c>
      <c r="H28" s="54">
        <f>IF($A28="-","-",VLOOKUP($A28,[3]Controle!$A$6:$BO$105,H$25,FALSE))</f>
        <v>45836</v>
      </c>
      <c r="I28" s="55">
        <f>IF($A28="-","-",VLOOKUP($A28,[3]Controle!$A$6:$BO$105,I$25,FALSE))</f>
        <v>46203</v>
      </c>
      <c r="J28" s="53" t="str">
        <f>IF($A28="-","-",VLOOKUP($A28,[3]Controle!$A$6:$BO$105,J$25,FALSE))</f>
        <v>%ur</v>
      </c>
      <c r="K28" s="53">
        <f>IF($A28="-","-",VLOOKUP($A28,[3]Controle!$A$6:$BO$105,K$25,FALSE))</f>
        <v>20</v>
      </c>
      <c r="L28" s="53">
        <f>IF($A28="-","-",VLOOKUP($A28,[3]Controle!$A$6:$BO$105,L$25,FALSE))</f>
        <v>80</v>
      </c>
      <c r="M28" s="53">
        <f>IF($A28="-","-",VLOOKUP($A28,[3]Controle!$A$6:$BO$105,M$25,FALSE))</f>
        <v>0.1</v>
      </c>
      <c r="N28" s="53">
        <f>IF($A28="-","-",VLOOKUP($A28,[3]Controle!$A$6:$BO$105,N$25,FALSE))</f>
        <v>0.70000000000000284</v>
      </c>
      <c r="O28" s="53">
        <f>IF($A28="-","-",VLOOKUP($A28,[3]Controle!$A$6:$BO$105,O$25,FALSE))</f>
        <v>0.9</v>
      </c>
      <c r="P28" s="53">
        <f>IF($A28="-","-",VLOOKUP($A28,[3]Controle!$A$6:$BO$105,P$25,FALSE))</f>
        <v>0.20000000000000284</v>
      </c>
      <c r="Q28" s="53">
        <f>IF($A28="-","-",VLOOKUP($A28,[3]Controle!$A$6:$BO$105,Q$25,FALSE))</f>
        <v>8.1108783661761663E-2</v>
      </c>
      <c r="R28" s="53">
        <f>IF($A28="-","-",VLOOKUP($A28,[3]Controle!$A$6:$BO$105,R$25,FALSE))</f>
        <v>1</v>
      </c>
      <c r="S28" s="53">
        <f>IF($A28="-","-",VLOOKUP($A28,[3]Controle!$A$6:$BO$105,S$25,FALSE))</f>
        <v>0</v>
      </c>
      <c r="T28" s="53">
        <f>IF($A28="-","-",VLOOKUP($A28,[3]Controle!$A$6:$BO$105,T$25,FALSE))</f>
        <v>0</v>
      </c>
      <c r="U28" s="53">
        <f>IF($A28="-","-",VLOOKUP($A28,[3]Controle!$A$6:$BO$105,U$25,FALSE))</f>
        <v>0</v>
      </c>
      <c r="V28" s="53">
        <f>IF($A28="-","-",VLOOKUP($A28,[3]Controle!$A$6:$BO$105,V$25,FALSE))</f>
        <v>0</v>
      </c>
      <c r="W28" s="53">
        <f>IF($A28="-","-",VLOOKUP($A28,[3]Controle!$A$6:$BO$105,W$25,FALSE))</f>
        <v>0</v>
      </c>
      <c r="X28" s="53">
        <f>IF($A28="-","-",VLOOKUP($A28,[3]Controle!$A$6:$BO$105,X$25,FALSE))</f>
        <v>0</v>
      </c>
      <c r="Y28" s="53">
        <f>IF($A28="-","-",VLOOKUP($A28,[3]Controle!$A$6:$BO$105,Y$25,FALSE))</f>
        <v>0</v>
      </c>
      <c r="Z28" s="53">
        <f>IF($A28="-","-",VLOOKUP($A28,[3]Controle!$A$6:$BO$105,Z$25,FALSE))</f>
        <v>0.99337385285055901</v>
      </c>
      <c r="AA28" s="53">
        <f>IF($A28="-","-",VLOOKUP($A28,[3]Controle!$A$6:$BO$105,AA$25,FALSE))</f>
        <v>-0.13226710719154511</v>
      </c>
      <c r="AB28" s="53">
        <f>IF($A28="-","-",VLOOKUP($A28,[3]Controle!$A$6:$BO$105,AB$25,FALSE))</f>
        <v>20</v>
      </c>
      <c r="AC28" s="53">
        <f>IF($A28="-","-",VLOOKUP($A28,[3]Controle!$A$6:$BO$105,AC$25,FALSE))</f>
        <v>0.4</v>
      </c>
      <c r="AD28" s="53">
        <f>IF($A28="-","-",VLOOKUP($A28,[3]Controle!$A$6:$BO$105,AD$25,FALSE))</f>
        <v>2.0099999999999998</v>
      </c>
      <c r="AE28" s="53">
        <f>IF($A28="-","-",VLOOKUP($A28,[3]Controle!$A$6:$BO$105,AE$25,FALSE))</f>
        <v>269</v>
      </c>
      <c r="AF28" s="53">
        <f>IF($A28="-","-",VLOOKUP($A28,[3]Controle!$A$6:$BO$105,AF$25,FALSE))</f>
        <v>50</v>
      </c>
      <c r="AG28" s="53">
        <f>IF($A28="-","-",VLOOKUP($A28,[3]Controle!$A$6:$BO$105,AG$25,FALSE))</f>
        <v>0.6</v>
      </c>
      <c r="AH28" s="53">
        <f>IF($A28="-","-",VLOOKUP($A28,[3]Controle!$A$6:$BO$105,AH$25,FALSE))</f>
        <v>2.02</v>
      </c>
      <c r="AI28" s="53">
        <f>IF($A28="-","-",VLOOKUP($A28,[3]Controle!$A$6:$BO$105,AI$25,FALSE))</f>
        <v>124</v>
      </c>
      <c r="AJ28" s="53">
        <f>IF($A28="-","-",VLOOKUP($A28,[3]Controle!$A$6:$BO$105,AJ$25,FALSE))</f>
        <v>80</v>
      </c>
      <c r="AK28" s="53">
        <f>IF($A28="-","-",VLOOKUP($A28,[3]Controle!$A$6:$BO$105,AK$25,FALSE))</f>
        <v>0.9</v>
      </c>
      <c r="AL28" s="53">
        <f>IF($A28="-","-",VLOOKUP($A28,[3]Controle!$A$6:$BO$105,AL$25,FALSE))</f>
        <v>2.02</v>
      </c>
      <c r="AM28" s="53">
        <f>IF($A28="-","-",VLOOKUP($A28,[3]Controle!$A$6:$BO$105,AM$25,FALSE))</f>
        <v>104</v>
      </c>
      <c r="AN28" s="53" t="str">
        <f>IF($A28="-","-",VLOOKUP($A28,[3]Controle!$A$6:$BO$105,AN$25,FALSE))</f>
        <v>-</v>
      </c>
      <c r="AO28" s="53" t="str">
        <f>IF($A28="-","-",VLOOKUP($A28,[3]Controle!$A$6:$BO$105,AO$25,FALSE))</f>
        <v>-</v>
      </c>
      <c r="AP28" s="53" t="str">
        <f>IF($A28="-","-",VLOOKUP($A28,[3]Controle!$A$6:$BO$105,AP$25,FALSE))</f>
        <v>-</v>
      </c>
      <c r="AQ28" s="53" t="str">
        <f>IF($A28="-","-",VLOOKUP($A28,[3]Controle!$A$6:$BO$105,AQ$25,FALSE))</f>
        <v>-</v>
      </c>
      <c r="AR28" s="53" t="str">
        <f>IF($A28="-","-",VLOOKUP($A28,[3]Controle!$A$6:$BO$105,AR$25,FALSE))</f>
        <v>-</v>
      </c>
      <c r="AS28" s="53" t="str">
        <f>IF($A28="-","-",VLOOKUP($A28,[3]Controle!$A$6:$BO$105,AS$25,FALSE))</f>
        <v>-</v>
      </c>
      <c r="AT28" s="53" t="str">
        <f>IF($A28="-","-",VLOOKUP($A28,[3]Controle!$A$6:$BO$105,AT$25,FALSE))</f>
        <v>-</v>
      </c>
      <c r="AU28" s="53" t="str">
        <f>IF($A28="-","-",VLOOKUP($A28,[3]Controle!$A$6:$BO$105,AU$25,FALSE))</f>
        <v>-</v>
      </c>
      <c r="AV28" s="53" t="str">
        <f>IF($A28="-","-",VLOOKUP($A28,[3]Controle!$A$6:$BO$105,AV$25,FALSE))</f>
        <v>-</v>
      </c>
      <c r="AW28" s="53" t="str">
        <f>IF($A28="-","-",VLOOKUP($A28,[3]Controle!$A$6:$BO$105,AW$25,FALSE))</f>
        <v>-</v>
      </c>
      <c r="AX28" s="53" t="str">
        <f>IF($A28="-","-",VLOOKUP($A28,[3]Controle!$A$6:$BO$105,AX$25,FALSE))</f>
        <v>-</v>
      </c>
      <c r="AY28" s="53" t="str">
        <f>IF($A28="-","-",VLOOKUP($A28,[3]Controle!$A$6:$BO$105,AY$25,FALSE))</f>
        <v>-</v>
      </c>
      <c r="AZ28" s="53" t="str">
        <f>IF($A28="-","-",VLOOKUP($A28,[3]Controle!$A$6:$BO$105,AZ$25,FALSE))</f>
        <v>-</v>
      </c>
      <c r="BA28" s="53" t="str">
        <f>IF($A28="-","-",VLOOKUP($A28,[3]Controle!$A$6:$BO$105,BA$25,FALSE))</f>
        <v>-</v>
      </c>
      <c r="BB28" s="53" t="str">
        <f>IF($A28="-","-",VLOOKUP($A28,[3]Controle!$A$6:$BO$105,BB$25,FALSE))</f>
        <v>-</v>
      </c>
      <c r="BC28" s="53" t="str">
        <f>IF($A28="-","-",VLOOKUP($A28,[3]Controle!$A$6:$BO$105,BC$25,FALSE))</f>
        <v>-</v>
      </c>
      <c r="BD28" s="53" t="str">
        <f>IF($A28="-","-",VLOOKUP($A28,[3]Controle!$A$6:$BO$105,BD$25,FALSE))</f>
        <v>-</v>
      </c>
      <c r="BE28" s="53" t="str">
        <f>IF($A28="-","-",VLOOKUP($A28,[3]Controle!$A$6:$BO$105,BE$25,FALSE))</f>
        <v>-</v>
      </c>
      <c r="BF28" s="53" t="str">
        <f>IF($A28="-","-",VLOOKUP($A28,[3]Controle!$A$6:$BO$105,BF$25,FALSE))</f>
        <v>-</v>
      </c>
      <c r="BG28" s="53" t="str">
        <f>IF($A28="-","-",VLOOKUP($A28,[3]Controle!$A$6:$BO$105,BG$25,FALSE))</f>
        <v>-</v>
      </c>
      <c r="BH28" s="53" t="str">
        <f>IF($A28="-","-",VLOOKUP($A28,[3]Controle!$A$6:$BO$105,BH$25,FALSE))</f>
        <v>-</v>
      </c>
      <c r="BI28" s="53" t="str">
        <f>IF($A28="-","-",VLOOKUP($A28,[3]Controle!$A$6:$BO$105,BI$25,FALSE))</f>
        <v>-</v>
      </c>
      <c r="BJ28" s="53" t="str">
        <f>IF($A28="-","-",VLOOKUP($A28,[3]Controle!$A$6:$BO$105,BJ$25,FALSE))</f>
        <v>-</v>
      </c>
      <c r="BK28" s="53" t="str">
        <f>IF($A28="-","-",VLOOKUP($A28,[3]Controle!$A$6:$BO$105,BK$25,FALSE))</f>
        <v>-</v>
      </c>
      <c r="BL28" s="53" t="str">
        <f>IF($A28="-","-",VLOOKUP($A28,[3]Controle!$A$6:$BO$105,BL$25,FALSE))</f>
        <v>-</v>
      </c>
      <c r="BM28" s="53" t="str">
        <f>IF($A28="-","-",VLOOKUP($A28,[3]Controle!$A$6:$BO$105,BM$25,FALSE))</f>
        <v>-</v>
      </c>
      <c r="BN28" s="53" t="str">
        <f>IF($A28="-","-",VLOOKUP($A28,[3]Controle!$A$6:$BO$105,BN$25,FALSE))</f>
        <v>-</v>
      </c>
      <c r="BO28" s="53" t="str">
        <f>IF($A28="-","-",VLOOKUP($A28,[3]Controle!$A$6:$BO$105,BO$25,FALSE))</f>
        <v>-</v>
      </c>
      <c r="CT28" s="41">
        <f ca="1">IF(CV28="-",0,1)</f>
        <v>1</v>
      </c>
      <c r="CU28" s="53" t="str">
        <f ca="1">IF(CW28="-","-",IF($G$1&lt;=I28,"VÁLIDO","VENCIDO"))</f>
        <v>VÁLIDO</v>
      </c>
      <c r="CV28" s="53" t="str">
        <f ca="1">IF(CW28="-","-",IF(CY28=$CY$1,IF(CU28="VENCIDO","-",B28),"-"))</f>
        <v>E.TH.LQ-001</v>
      </c>
      <c r="CW28" s="53">
        <f>A28</f>
        <v>52</v>
      </c>
      <c r="CY28" s="41" t="str">
        <f>LEFT(B28,1)</f>
        <v>E</v>
      </c>
    </row>
    <row r="29" spans="1:103" x14ac:dyDescent="0.3">
      <c r="A29" s="56">
        <v>62</v>
      </c>
      <c r="B29" s="53" t="str">
        <f>IF($A29="-","-",VLOOKUP($A29,[3]Controle!$A$6:$BO$105,B$25,FALSE))</f>
        <v>M.MS.LM-013</v>
      </c>
      <c r="C29" s="53" t="str">
        <f>IF($A29="-","-",VLOOKUP($A29,[3]Controle!$A$6:$BO$105,C$25,FALSE))</f>
        <v>Termohigrômetro Digital</v>
      </c>
      <c r="D29" s="53">
        <f>IF($A29="-","-",VLOOKUP($A29,[3]Controle!$A$6:$BO$105,D$25,FALSE))</f>
        <v>20</v>
      </c>
      <c r="E29" s="53" t="str">
        <f>IF($A29="-","-",VLOOKUP($A29,[3]Controle!$A$6:$BO$105,E$25,FALSE))</f>
        <v>Elus</v>
      </c>
      <c r="F29" s="53" t="str">
        <f>IF($A29="-","-",VLOOKUP($A29,[3]Controle!$A$6:$BO$105,F$25,FALSE))</f>
        <v>RBC - CAL 0439</v>
      </c>
      <c r="G29" s="53" t="str">
        <f>IF($A29="-","-",VLOOKUP($A29,[3]Controle!$A$6:$BO$105,G$25,FALSE))</f>
        <v>E0040B/25</v>
      </c>
      <c r="H29" s="54">
        <f>IF($A29="-","-",VLOOKUP($A29,[3]Controle!$A$6:$BO$105,H$25,FALSE))</f>
        <v>45709</v>
      </c>
      <c r="I29" s="55">
        <f>IF($A29="-","-",VLOOKUP($A29,[3]Controle!$A$6:$BO$105,I$25,FALSE))</f>
        <v>46446</v>
      </c>
      <c r="J29" s="53" t="str">
        <f>IF($A29="-","-",VLOOKUP($A29,[3]Controle!$A$6:$BO$105,J$25,FALSE))</f>
        <v>%ur</v>
      </c>
      <c r="K29" s="53">
        <f>IF($A29="-","-",VLOOKUP($A29,[3]Controle!$A$6:$BO$105,K$25,FALSE))</f>
        <v>25</v>
      </c>
      <c r="L29" s="53">
        <f>IF($A29="-","-",VLOOKUP($A29,[3]Controle!$A$6:$BO$105,L$25,FALSE))</f>
        <v>80</v>
      </c>
      <c r="M29" s="53">
        <f>IF($A29="-","-",VLOOKUP($A29,[3]Controle!$A$6:$BO$105,M$25,FALSE))</f>
        <v>0.1</v>
      </c>
      <c r="N29" s="53">
        <f>IF($A29="-","-",VLOOKUP($A29,[3]Controle!$A$6:$BO$105,N$25,FALSE))</f>
        <v>7.7999999999999972</v>
      </c>
      <c r="O29" s="53">
        <f>IF($A29="-","-",VLOOKUP($A29,[3]Controle!$A$6:$BO$105,O$25,FALSE))</f>
        <v>1.1000000000000001</v>
      </c>
      <c r="P29" s="53">
        <f>IF($A29="-","-",VLOOKUP($A29,[3]Controle!$A$6:$BO$105,P$25,FALSE))</f>
        <v>2.4999999999999964</v>
      </c>
      <c r="Q29" s="53">
        <f>IF($A29="-","-",VLOOKUP($A29,[3]Controle!$A$6:$BO$105,Q$25,FALSE))</f>
        <v>0.15790157368385271</v>
      </c>
      <c r="R29" s="53">
        <f>IF($A29="-","-",VLOOKUP($A29,[3]Controle!$A$6:$BO$105,R$25,FALSE))</f>
        <v>2</v>
      </c>
      <c r="S29" s="53">
        <f>IF($A29="-","-",VLOOKUP($A29,[3]Controle!$A$6:$BO$105,S$25,FALSE))</f>
        <v>0</v>
      </c>
      <c r="T29" s="53">
        <f>IF($A29="-","-",VLOOKUP($A29,[3]Controle!$A$6:$BO$105,T$25,FALSE))</f>
        <v>0</v>
      </c>
      <c r="U29" s="53">
        <f>IF($A29="-","-",VLOOKUP($A29,[3]Controle!$A$6:$BO$105,U$25,FALSE))</f>
        <v>0</v>
      </c>
      <c r="V29" s="53">
        <f>IF($A29="-","-",VLOOKUP($A29,[3]Controle!$A$6:$BO$105,V$25,FALSE))</f>
        <v>0</v>
      </c>
      <c r="W29" s="53">
        <f>IF($A29="-","-",VLOOKUP($A29,[3]Controle!$A$6:$BO$105,W$25,FALSE))</f>
        <v>0</v>
      </c>
      <c r="X29" s="53">
        <f>IF($A29="-","-",VLOOKUP($A29,[3]Controle!$A$6:$BO$105,X$25,FALSE))</f>
        <v>0</v>
      </c>
      <c r="Y29" s="53">
        <f>IF($A29="-","-",VLOOKUP($A29,[3]Controle!$A$6:$BO$105,Y$25,FALSE))</f>
        <v>-1.488845453661436E-3</v>
      </c>
      <c r="Z29" s="53">
        <f>IF($A29="-","-",VLOOKUP($A29,[3]Controle!$A$6:$BO$105,Z$25,FALSE))</f>
        <v>1.2082192075011531</v>
      </c>
      <c r="AA29" s="53">
        <f>IF($A29="-","-",VLOOKUP($A29,[3]Controle!$A$6:$BO$105,AA$25,FALSE))</f>
        <v>-13.058990484605143</v>
      </c>
      <c r="AB29" s="53">
        <f>IF($A29="-","-",VLOOKUP($A29,[3]Controle!$A$6:$BO$105,AB$25,FALSE))</f>
        <v>25</v>
      </c>
      <c r="AC29" s="53">
        <f>IF($A29="-","-",VLOOKUP($A29,[3]Controle!$A$6:$BO$105,AC$25,FALSE))</f>
        <v>0.8</v>
      </c>
      <c r="AD29" s="53">
        <f>IF($A29="-","-",VLOOKUP($A29,[3]Controle!$A$6:$BO$105,AD$25,FALSE))</f>
        <v>2</v>
      </c>
      <c r="AE29" s="53">
        <f>IF($A29="-","-",VLOOKUP($A29,[3]Controle!$A$6:$BO$105,AE$25,FALSE))</f>
        <v>1000000</v>
      </c>
      <c r="AF29" s="53">
        <f>IF($A29="-","-",VLOOKUP($A29,[3]Controle!$A$6:$BO$105,AF$25,FALSE))</f>
        <v>45</v>
      </c>
      <c r="AG29" s="53">
        <f>IF($A29="-","-",VLOOKUP($A29,[3]Controle!$A$6:$BO$105,AG$25,FALSE))</f>
        <v>0.9</v>
      </c>
      <c r="AH29" s="53">
        <f>IF($A29="-","-",VLOOKUP($A29,[3]Controle!$A$6:$BO$105,AH$25,FALSE))</f>
        <v>2</v>
      </c>
      <c r="AI29" s="53">
        <f>IF($A29="-","-",VLOOKUP($A29,[3]Controle!$A$6:$BO$105,AI$25,FALSE))</f>
        <v>1000000</v>
      </c>
      <c r="AJ29" s="53">
        <f>IF($A29="-","-",VLOOKUP($A29,[3]Controle!$A$6:$BO$105,AJ$25,FALSE))</f>
        <v>60</v>
      </c>
      <c r="AK29" s="53">
        <f>IF($A29="-","-",VLOOKUP($A29,[3]Controle!$A$6:$BO$105,AK$25,FALSE))</f>
        <v>1.1000000000000001</v>
      </c>
      <c r="AL29" s="53">
        <f>IF($A29="-","-",VLOOKUP($A29,[3]Controle!$A$6:$BO$105,AL$25,FALSE))</f>
        <v>2</v>
      </c>
      <c r="AM29" s="53">
        <f>IF($A29="-","-",VLOOKUP($A29,[3]Controle!$A$6:$BO$105,AM$25,FALSE))</f>
        <v>1000000</v>
      </c>
      <c r="AN29" s="53">
        <f>IF($A29="-","-",VLOOKUP($A29,[3]Controle!$A$6:$BO$105,AN$25,FALSE))</f>
        <v>80</v>
      </c>
      <c r="AO29" s="53">
        <f>IF($A29="-","-",VLOOKUP($A29,[3]Controle!$A$6:$BO$105,AO$25,FALSE))</f>
        <v>1.1000000000000001</v>
      </c>
      <c r="AP29" s="53">
        <f>IF($A29="-","-",VLOOKUP($A29,[3]Controle!$A$6:$BO$105,AP$25,FALSE))</f>
        <v>2</v>
      </c>
      <c r="AQ29" s="53">
        <f>IF($A29="-","-",VLOOKUP($A29,[3]Controle!$A$6:$BO$105,AQ$25,FALSE))</f>
        <v>1000000</v>
      </c>
      <c r="AR29" s="53" t="str">
        <f>IF($A29="-","-",VLOOKUP($A29,[3]Controle!$A$6:$BO$105,AR$25,FALSE))</f>
        <v>-</v>
      </c>
      <c r="AS29" s="53" t="str">
        <f>IF($A29="-","-",VLOOKUP($A29,[3]Controle!$A$6:$BO$105,AS$25,FALSE))</f>
        <v>-</v>
      </c>
      <c r="AT29" s="53" t="str">
        <f>IF($A29="-","-",VLOOKUP($A29,[3]Controle!$A$6:$BO$105,AT$25,FALSE))</f>
        <v>-</v>
      </c>
      <c r="AU29" s="53" t="str">
        <f>IF($A29="-","-",VLOOKUP($A29,[3]Controle!$A$6:$BO$105,AU$25,FALSE))</f>
        <v>-</v>
      </c>
      <c r="AV29" s="53" t="str">
        <f>IF($A29="-","-",VLOOKUP($A29,[3]Controle!$A$6:$BO$105,AV$25,FALSE))</f>
        <v>-</v>
      </c>
      <c r="AW29" s="53" t="str">
        <f>IF($A29="-","-",VLOOKUP($A29,[3]Controle!$A$6:$BO$105,AW$25,FALSE))</f>
        <v>-</v>
      </c>
      <c r="AX29" s="53" t="str">
        <f>IF($A29="-","-",VLOOKUP($A29,[3]Controle!$A$6:$BO$105,AX$25,FALSE))</f>
        <v>-</v>
      </c>
      <c r="AY29" s="53" t="str">
        <f>IF($A29="-","-",VLOOKUP($A29,[3]Controle!$A$6:$BO$105,AY$25,FALSE))</f>
        <v>-</v>
      </c>
      <c r="AZ29" s="53" t="str">
        <f>IF($A29="-","-",VLOOKUP($A29,[3]Controle!$A$6:$BO$105,AZ$25,FALSE))</f>
        <v>-</v>
      </c>
      <c r="BA29" s="53" t="str">
        <f>IF($A29="-","-",VLOOKUP($A29,[3]Controle!$A$6:$BO$105,BA$25,FALSE))</f>
        <v>-</v>
      </c>
      <c r="BB29" s="53" t="str">
        <f>IF($A29="-","-",VLOOKUP($A29,[3]Controle!$A$6:$BO$105,BB$25,FALSE))</f>
        <v>-</v>
      </c>
      <c r="BC29" s="53" t="str">
        <f>IF($A29="-","-",VLOOKUP($A29,[3]Controle!$A$6:$BO$105,BC$25,FALSE))</f>
        <v>-</v>
      </c>
      <c r="BD29" s="53" t="str">
        <f>IF($A29="-","-",VLOOKUP($A29,[3]Controle!$A$6:$BO$105,BD$25,FALSE))</f>
        <v>-</v>
      </c>
      <c r="BE29" s="53" t="str">
        <f>IF($A29="-","-",VLOOKUP($A29,[3]Controle!$A$6:$BO$105,BE$25,FALSE))</f>
        <v>-</v>
      </c>
      <c r="BF29" s="53" t="str">
        <f>IF($A29="-","-",VLOOKUP($A29,[3]Controle!$A$6:$BO$105,BF$25,FALSE))</f>
        <v>-</v>
      </c>
      <c r="BG29" s="53" t="str">
        <f>IF($A29="-","-",VLOOKUP($A29,[3]Controle!$A$6:$BO$105,BG$25,FALSE))</f>
        <v>-</v>
      </c>
      <c r="BH29" s="53" t="str">
        <f>IF($A29="-","-",VLOOKUP($A29,[3]Controle!$A$6:$BO$105,BH$25,FALSE))</f>
        <v>-</v>
      </c>
      <c r="BI29" s="53" t="str">
        <f>IF($A29="-","-",VLOOKUP($A29,[3]Controle!$A$6:$BO$105,BI$25,FALSE))</f>
        <v>-</v>
      </c>
      <c r="BJ29" s="53" t="str">
        <f>IF($A29="-","-",VLOOKUP($A29,[3]Controle!$A$6:$BO$105,BJ$25,FALSE))</f>
        <v>-</v>
      </c>
      <c r="BK29" s="53" t="str">
        <f>IF($A29="-","-",VLOOKUP($A29,[3]Controle!$A$6:$BO$105,BK$25,FALSE))</f>
        <v>-</v>
      </c>
      <c r="BL29" s="53" t="str">
        <f>IF($A29="-","-",VLOOKUP($A29,[3]Controle!$A$6:$BO$105,BL$25,FALSE))</f>
        <v>-</v>
      </c>
      <c r="BM29" s="53" t="str">
        <f>IF($A29="-","-",VLOOKUP($A29,[3]Controle!$A$6:$BO$105,BM$25,FALSE))</f>
        <v>-</v>
      </c>
      <c r="BN29" s="53" t="str">
        <f>IF($A29="-","-",VLOOKUP($A29,[3]Controle!$A$6:$BO$105,BN$25,FALSE))</f>
        <v>-</v>
      </c>
      <c r="BO29" s="53" t="str">
        <f>IF($A29="-","-",VLOOKUP($A29,[3]Controle!$A$6:$BO$105,BO$25,FALSE))</f>
        <v>-</v>
      </c>
      <c r="CT29" s="41">
        <f>IF(CV29="-",0,MAX($CT$28:CT28)+1)</f>
        <v>0</v>
      </c>
      <c r="CU29" s="53" t="str">
        <f t="shared" ref="CU29:CU37" ca="1" si="12">IF(CW29="-","-",IF($G$1&lt;=I29,"VÁLIDO","VENCIDO"))</f>
        <v>VÁLIDO</v>
      </c>
      <c r="CV29" s="53" t="str">
        <f t="shared" ref="CV29:CV47" si="13">IF(CW29="-","-",IF(CY29=$CY$1,IF(CU29="VENCIDO","-",B29),"-"))</f>
        <v>-</v>
      </c>
      <c r="CW29" s="53">
        <f t="shared" ref="CW29:CW38" si="14">A29</f>
        <v>62</v>
      </c>
      <c r="CY29" s="41" t="str">
        <f t="shared" ref="CY29:CY47" si="15">LEFT(B29,1)</f>
        <v>M</v>
      </c>
    </row>
    <row r="30" spans="1:103" x14ac:dyDescent="0.3">
      <c r="A30" s="56">
        <v>63</v>
      </c>
      <c r="B30" s="53" t="str">
        <f>IF($A30="-","-",VLOOKUP($A30,[3]Controle!$A$6:$BO$105,B$25,FALSE))</f>
        <v>M.MS.LM-012</v>
      </c>
      <c r="C30" s="53" t="str">
        <f>IF($A30="-","-",VLOOKUP($A30,[3]Controle!$A$6:$BO$105,C$25,FALSE))</f>
        <v>Termohigrômetro Digital</v>
      </c>
      <c r="D30" s="53">
        <f>IF($A30="-","-",VLOOKUP($A30,[3]Controle!$A$6:$BO$105,D$25,FALSE))</f>
        <v>20</v>
      </c>
      <c r="E30" s="53" t="str">
        <f>IF($A30="-","-",VLOOKUP($A30,[3]Controle!$A$6:$BO$105,E$25,FALSE))</f>
        <v>Elus</v>
      </c>
      <c r="F30" s="53" t="str">
        <f>IF($A30="-","-",VLOOKUP($A30,[3]Controle!$A$6:$BO$105,F$25,FALSE))</f>
        <v>RBC - CAL 0439</v>
      </c>
      <c r="G30" s="53" t="str">
        <f>IF($A30="-","-",VLOOKUP($A30,[3]Controle!$A$6:$BO$105,G$25,FALSE))</f>
        <v>E0526B/24</v>
      </c>
      <c r="H30" s="54">
        <f>IF($A30="-","-",VLOOKUP($A30,[3]Controle!$A$6:$BO$105,H$25,FALSE))</f>
        <v>45664</v>
      </c>
      <c r="I30" s="55">
        <f>IF($A30="-","-",VLOOKUP($A30,[3]Controle!$A$6:$BO$105,I$25,FALSE))</f>
        <v>46417</v>
      </c>
      <c r="J30" s="53" t="str">
        <f>IF($A30="-","-",VLOOKUP($A30,[3]Controle!$A$6:$BO$105,J$25,FALSE))</f>
        <v>%UR</v>
      </c>
      <c r="K30" s="53">
        <f>IF($A30="-","-",VLOOKUP($A30,[3]Controle!$A$6:$BO$105,K$25,FALSE))</f>
        <v>25</v>
      </c>
      <c r="L30" s="53">
        <f>IF($A30="-","-",VLOOKUP($A30,[3]Controle!$A$6:$BO$105,L$25,FALSE))</f>
        <v>80</v>
      </c>
      <c r="M30" s="53">
        <f>IF($A30="-","-",VLOOKUP($A30,[3]Controle!$A$6:$BO$105,M$25,FALSE))</f>
        <v>1</v>
      </c>
      <c r="N30" s="53">
        <f>IF($A30="-","-",VLOOKUP($A30,[3]Controle!$A$6:$BO$105,N$25,FALSE))</f>
        <v>6</v>
      </c>
      <c r="O30" s="53">
        <f>IF($A30="-","-",VLOOKUP($A30,[3]Controle!$A$6:$BO$105,O$25,FALSE))</f>
        <v>2</v>
      </c>
      <c r="P30" s="53">
        <f>IF($A30="-","-",VLOOKUP($A30,[3]Controle!$A$6:$BO$105,P$25,FALSE))</f>
        <v>5</v>
      </c>
      <c r="Q30" s="53">
        <f>IF($A30="-","-",VLOOKUP($A30,[3]Controle!$A$6:$BO$105,Q$25,FALSE))</f>
        <v>0.24297353582319037</v>
      </c>
      <c r="R30" s="53">
        <f>IF($A30="-","-",VLOOKUP($A30,[3]Controle!$A$6:$BO$105,R$25,FALSE))</f>
        <v>2</v>
      </c>
      <c r="S30" s="53">
        <f>IF($A30="-","-",VLOOKUP($A30,[3]Controle!$A$6:$BO$105,S$25,FALSE))</f>
        <v>0</v>
      </c>
      <c r="T30" s="53">
        <f>IF($A30="-","-",VLOOKUP($A30,[3]Controle!$A$6:$BO$105,T$25,FALSE))</f>
        <v>0</v>
      </c>
      <c r="U30" s="53">
        <f>IF($A30="-","-",VLOOKUP($A30,[3]Controle!$A$6:$BO$105,U$25,FALSE))</f>
        <v>0</v>
      </c>
      <c r="V30" s="53">
        <f>IF($A30="-","-",VLOOKUP($A30,[3]Controle!$A$6:$BO$105,V$25,FALSE))</f>
        <v>0</v>
      </c>
      <c r="W30" s="53">
        <f>IF($A30="-","-",VLOOKUP($A30,[3]Controle!$A$6:$BO$105,W$25,FALSE))</f>
        <v>0</v>
      </c>
      <c r="X30" s="53">
        <f>IF($A30="-","-",VLOOKUP($A30,[3]Controle!$A$6:$BO$105,X$25,FALSE))</f>
        <v>0</v>
      </c>
      <c r="Y30" s="53">
        <f>IF($A30="-","-",VLOOKUP($A30,[3]Controle!$A$6:$BO$105,Y$25,FALSE))</f>
        <v>-2.0323127381339035E-3</v>
      </c>
      <c r="Z30" s="53">
        <f>IF($A30="-","-",VLOOKUP($A30,[3]Controle!$A$6:$BO$105,Z$25,FALSE))</f>
        <v>1.3498390757854259</v>
      </c>
      <c r="AA30" s="53">
        <f>IF($A30="-","-",VLOOKUP($A30,[3]Controle!$A$6:$BO$105,AA$25,FALSE))</f>
        <v>-14.940014590033325</v>
      </c>
      <c r="AB30" s="53">
        <f>IF($A30="-","-",VLOOKUP($A30,[3]Controle!$A$6:$BO$105,AB$25,FALSE))</f>
        <v>25</v>
      </c>
      <c r="AC30" s="53">
        <f>IF($A30="-","-",VLOOKUP($A30,[3]Controle!$A$6:$BO$105,AC$25,FALSE))</f>
        <v>1</v>
      </c>
      <c r="AD30" s="53">
        <f>IF($A30="-","-",VLOOKUP($A30,[3]Controle!$A$6:$BO$105,AD$25,FALSE))</f>
        <v>2</v>
      </c>
      <c r="AE30" s="53">
        <f>IF($A30="-","-",VLOOKUP($A30,[3]Controle!$A$6:$BO$105,AE$25,FALSE))</f>
        <v>1000000</v>
      </c>
      <c r="AF30" s="53">
        <f>IF($A30="-","-",VLOOKUP($A30,[3]Controle!$A$6:$BO$105,AF$25,FALSE))</f>
        <v>45</v>
      </c>
      <c r="AG30" s="53">
        <f>IF($A30="-","-",VLOOKUP($A30,[3]Controle!$A$6:$BO$105,AG$25,FALSE))</f>
        <v>2</v>
      </c>
      <c r="AH30" s="53">
        <f>IF($A30="-","-",VLOOKUP($A30,[3]Controle!$A$6:$BO$105,AH$25,FALSE))</f>
        <v>2</v>
      </c>
      <c r="AI30" s="53">
        <f>IF($A30="-","-",VLOOKUP($A30,[3]Controle!$A$6:$BO$105,AI$25,FALSE))</f>
        <v>1000000</v>
      </c>
      <c r="AJ30" s="53">
        <f>IF($A30="-","-",VLOOKUP($A30,[3]Controle!$A$6:$BO$105,AJ$25,FALSE))</f>
        <v>60</v>
      </c>
      <c r="AK30" s="53">
        <f>IF($A30="-","-",VLOOKUP($A30,[3]Controle!$A$6:$BO$105,AK$25,FALSE))</f>
        <v>2</v>
      </c>
      <c r="AL30" s="53">
        <f>IF($A30="-","-",VLOOKUP($A30,[3]Controle!$A$6:$BO$105,AL$25,FALSE))</f>
        <v>2</v>
      </c>
      <c r="AM30" s="53">
        <f>IF($A30="-","-",VLOOKUP($A30,[3]Controle!$A$6:$BO$105,AM$25,FALSE))</f>
        <v>1000000</v>
      </c>
      <c r="AN30" s="53">
        <f>IF($A30="-","-",VLOOKUP($A30,[3]Controle!$A$6:$BO$105,AN$25,FALSE))</f>
        <v>80</v>
      </c>
      <c r="AO30" s="53">
        <f>IF($A30="-","-",VLOOKUP($A30,[3]Controle!$A$6:$BO$105,AO$25,FALSE))</f>
        <v>2</v>
      </c>
      <c r="AP30" s="53">
        <f>IF($A30="-","-",VLOOKUP($A30,[3]Controle!$A$6:$BO$105,AP$25,FALSE))</f>
        <v>2</v>
      </c>
      <c r="AQ30" s="53">
        <f>IF($A30="-","-",VLOOKUP($A30,[3]Controle!$A$6:$BO$105,AQ$25,FALSE))</f>
        <v>1000000</v>
      </c>
      <c r="AR30" s="53" t="str">
        <f>IF($A30="-","-",VLOOKUP($A30,[3]Controle!$A$6:$BO$105,AR$25,FALSE))</f>
        <v>-</v>
      </c>
      <c r="AS30" s="53" t="str">
        <f>IF($A30="-","-",VLOOKUP($A30,[3]Controle!$A$6:$BO$105,AS$25,FALSE))</f>
        <v>-</v>
      </c>
      <c r="AT30" s="53" t="str">
        <f>IF($A30="-","-",VLOOKUP($A30,[3]Controle!$A$6:$BO$105,AT$25,FALSE))</f>
        <v>-</v>
      </c>
      <c r="AU30" s="53" t="str">
        <f>IF($A30="-","-",VLOOKUP($A30,[3]Controle!$A$6:$BO$105,AU$25,FALSE))</f>
        <v>-</v>
      </c>
      <c r="AV30" s="53" t="str">
        <f>IF($A30="-","-",VLOOKUP($A30,[3]Controle!$A$6:$BO$105,AV$25,FALSE))</f>
        <v>-</v>
      </c>
      <c r="AW30" s="53" t="str">
        <f>IF($A30="-","-",VLOOKUP($A30,[3]Controle!$A$6:$BO$105,AW$25,FALSE))</f>
        <v>-</v>
      </c>
      <c r="AX30" s="53" t="str">
        <f>IF($A30="-","-",VLOOKUP($A30,[3]Controle!$A$6:$BO$105,AX$25,FALSE))</f>
        <v>-</v>
      </c>
      <c r="AY30" s="53" t="str">
        <f>IF($A30="-","-",VLOOKUP($A30,[3]Controle!$A$6:$BO$105,AY$25,FALSE))</f>
        <v>-</v>
      </c>
      <c r="AZ30" s="53" t="str">
        <f>IF($A30="-","-",VLOOKUP($A30,[3]Controle!$A$6:$BO$105,AZ$25,FALSE))</f>
        <v>-</v>
      </c>
      <c r="BA30" s="53" t="str">
        <f>IF($A30="-","-",VLOOKUP($A30,[3]Controle!$A$6:$BO$105,BA$25,FALSE))</f>
        <v>-</v>
      </c>
      <c r="BB30" s="53" t="str">
        <f>IF($A30="-","-",VLOOKUP($A30,[3]Controle!$A$6:$BO$105,BB$25,FALSE))</f>
        <v>-</v>
      </c>
      <c r="BC30" s="53" t="str">
        <f>IF($A30="-","-",VLOOKUP($A30,[3]Controle!$A$6:$BO$105,BC$25,FALSE))</f>
        <v>-</v>
      </c>
      <c r="BD30" s="53" t="str">
        <f>IF($A30="-","-",VLOOKUP($A30,[3]Controle!$A$6:$BO$105,BD$25,FALSE))</f>
        <v>-</v>
      </c>
      <c r="BE30" s="53" t="str">
        <f>IF($A30="-","-",VLOOKUP($A30,[3]Controle!$A$6:$BO$105,BE$25,FALSE))</f>
        <v>-</v>
      </c>
      <c r="BF30" s="53" t="str">
        <f>IF($A30="-","-",VLOOKUP($A30,[3]Controle!$A$6:$BO$105,BF$25,FALSE))</f>
        <v>-</v>
      </c>
      <c r="BG30" s="53" t="str">
        <f>IF($A30="-","-",VLOOKUP($A30,[3]Controle!$A$6:$BO$105,BG$25,FALSE))</f>
        <v>-</v>
      </c>
      <c r="BH30" s="53" t="str">
        <f>IF($A30="-","-",VLOOKUP($A30,[3]Controle!$A$6:$BO$105,BH$25,FALSE))</f>
        <v>-</v>
      </c>
      <c r="BI30" s="53" t="str">
        <f>IF($A30="-","-",VLOOKUP($A30,[3]Controle!$A$6:$BO$105,BI$25,FALSE))</f>
        <v>-</v>
      </c>
      <c r="BJ30" s="53" t="str">
        <f>IF($A30="-","-",VLOOKUP($A30,[3]Controle!$A$6:$BO$105,BJ$25,FALSE))</f>
        <v>-</v>
      </c>
      <c r="BK30" s="53" t="str">
        <f>IF($A30="-","-",VLOOKUP($A30,[3]Controle!$A$6:$BO$105,BK$25,FALSE))</f>
        <v>-</v>
      </c>
      <c r="BL30" s="53" t="str">
        <f>IF($A30="-","-",VLOOKUP($A30,[3]Controle!$A$6:$BO$105,BL$25,FALSE))</f>
        <v>-</v>
      </c>
      <c r="BM30" s="53" t="str">
        <f>IF($A30="-","-",VLOOKUP($A30,[3]Controle!$A$6:$BO$105,BM$25,FALSE))</f>
        <v>-</v>
      </c>
      <c r="BN30" s="53" t="str">
        <f>IF($A30="-","-",VLOOKUP($A30,[3]Controle!$A$6:$BO$105,BN$25,FALSE))</f>
        <v>-</v>
      </c>
      <c r="BO30" s="53" t="str">
        <f>IF($A30="-","-",VLOOKUP($A30,[3]Controle!$A$6:$BO$105,BO$25,FALSE))</f>
        <v>-</v>
      </c>
      <c r="CT30" s="41">
        <f>IF(CV30="-",0,MAX($CT$28:CT29)+1)</f>
        <v>0</v>
      </c>
      <c r="CU30" s="53" t="str">
        <f t="shared" ca="1" si="12"/>
        <v>VÁLIDO</v>
      </c>
      <c r="CV30" s="53" t="str">
        <f t="shared" si="13"/>
        <v>-</v>
      </c>
      <c r="CW30" s="53">
        <f t="shared" si="14"/>
        <v>63</v>
      </c>
      <c r="CY30" s="41" t="str">
        <f t="shared" si="15"/>
        <v>M</v>
      </c>
    </row>
    <row r="31" spans="1:103" x14ac:dyDescent="0.3">
      <c r="A31" s="56">
        <v>73</v>
      </c>
      <c r="B31" s="53" t="str">
        <f>IF($A31="-","-",VLOOKUP($A31,[3]Controle!$A$6:$BO$105,B$25,FALSE))</f>
        <v>M.TH.FS-001</v>
      </c>
      <c r="C31" s="53" t="str">
        <f>IF($A31="-","-",VLOOKUP($A31,[3]Controle!$A$6:$BO$105,C$25,FALSE))</f>
        <v>Termohigrômetro Digital</v>
      </c>
      <c r="D31" s="53">
        <f>IF($A31="-","-",VLOOKUP($A31,[3]Controle!$A$6:$BO$105,D$25,FALSE))</f>
        <v>20</v>
      </c>
      <c r="E31" s="53" t="str">
        <f>IF($A31="-","-",VLOOKUP($A31,[3]Controle!$A$6:$BO$105,E$25,FALSE))</f>
        <v>Elus</v>
      </c>
      <c r="F31" s="53" t="str">
        <f>IF($A31="-","-",VLOOKUP($A31,[3]Controle!$A$6:$BO$105,F$25,FALSE))</f>
        <v>RBC - CAL 0439</v>
      </c>
      <c r="G31" s="53" t="str">
        <f>IF($A31="-","-",VLOOKUP($A31,[3]Controle!$A$6:$BO$105,G$25,FALSE))</f>
        <v>E0307/24</v>
      </c>
      <c r="H31" s="54">
        <f>IF($A31="-","-",VLOOKUP($A31,[3]Controle!$A$6:$BO$105,H$25,FALSE))</f>
        <v>45520</v>
      </c>
      <c r="I31" s="55">
        <f>IF($A31="-","-",VLOOKUP($A31,[3]Controle!$A$6:$BO$105,I$25,FALSE))</f>
        <v>45899</v>
      </c>
      <c r="J31" s="53" t="str">
        <f>IF($A31="-","-",VLOOKUP($A31,[3]Controle!$A$6:$BO$105,J$25,FALSE))</f>
        <v>%ur</v>
      </c>
      <c r="K31" s="53">
        <f>IF($A31="-","-",VLOOKUP($A31,[3]Controle!$A$6:$BO$105,K$25,FALSE))</f>
        <v>30</v>
      </c>
      <c r="L31" s="53">
        <f>IF($A31="-","-",VLOOKUP($A31,[3]Controle!$A$6:$BO$105,L$25,FALSE))</f>
        <v>90</v>
      </c>
      <c r="M31" s="53">
        <f>IF($A31="-","-",VLOOKUP($A31,[3]Controle!$A$6:$BO$105,M$25,FALSE))</f>
        <v>1</v>
      </c>
      <c r="N31" s="53">
        <f>IF($A31="-","-",VLOOKUP($A31,[3]Controle!$A$6:$BO$105,N$25,FALSE))</f>
        <v>3</v>
      </c>
      <c r="O31" s="53">
        <f>IF($A31="-","-",VLOOKUP($A31,[3]Controle!$A$6:$BO$105,O$25,FALSE))</f>
        <v>2</v>
      </c>
      <c r="P31" s="53">
        <f>IF($A31="-","-",VLOOKUP($A31,[3]Controle!$A$6:$BO$105,P$25,FALSE))</f>
        <v>3</v>
      </c>
      <c r="Q31" s="53">
        <f>IF($A31="-","-",VLOOKUP($A31,[3]Controle!$A$6:$BO$105,Q$25,FALSE))</f>
        <v>0.65072867974367377</v>
      </c>
      <c r="R31" s="53">
        <f>IF($A31="-","-",VLOOKUP($A31,[3]Controle!$A$6:$BO$105,R$25,FALSE))</f>
        <v>2</v>
      </c>
      <c r="S31" s="53">
        <f>IF($A31="-","-",VLOOKUP($A31,[3]Controle!$A$6:$BO$105,S$25,FALSE))</f>
        <v>0</v>
      </c>
      <c r="T31" s="53">
        <f>IF($A31="-","-",VLOOKUP($A31,[3]Controle!$A$6:$BO$105,T$25,FALSE))</f>
        <v>0</v>
      </c>
      <c r="U31" s="53">
        <f>IF($A31="-","-",VLOOKUP($A31,[3]Controle!$A$6:$BO$105,U$25,FALSE))</f>
        <v>0</v>
      </c>
      <c r="V31" s="53">
        <f>IF($A31="-","-",VLOOKUP($A31,[3]Controle!$A$6:$BO$105,V$25,FALSE))</f>
        <v>0</v>
      </c>
      <c r="W31" s="53">
        <f>IF($A31="-","-",VLOOKUP($A31,[3]Controle!$A$6:$BO$105,W$25,FALSE))</f>
        <v>0</v>
      </c>
      <c r="X31" s="53">
        <f>IF($A31="-","-",VLOOKUP($A31,[3]Controle!$A$6:$BO$105,X$25,FALSE))</f>
        <v>0</v>
      </c>
      <c r="Y31" s="53">
        <f>IF($A31="-","-",VLOOKUP($A31,[3]Controle!$A$6:$BO$105,Y$25,FALSE))</f>
        <v>-3.2040581707492807E-3</v>
      </c>
      <c r="Z31" s="53">
        <f>IF($A31="-","-",VLOOKUP($A31,[3]Controle!$A$6:$BO$105,Z$25,FALSE))</f>
        <v>1.4730940103865267</v>
      </c>
      <c r="AA31" s="53">
        <f>IF($A31="-","-",VLOOKUP($A31,[3]Controle!$A$6:$BO$105,AA$25,FALSE))</f>
        <v>-14.946605000062808</v>
      </c>
      <c r="AB31" s="53">
        <f>IF($A31="-","-",VLOOKUP($A31,[3]Controle!$A$6:$BO$105,AB$25,FALSE))</f>
        <v>30</v>
      </c>
      <c r="AC31" s="53">
        <f>IF($A31="-","-",VLOOKUP($A31,[3]Controle!$A$6:$BO$105,AC$25,FALSE))</f>
        <v>2</v>
      </c>
      <c r="AD31" s="53">
        <f>IF($A31="-","-",VLOOKUP($A31,[3]Controle!$A$6:$BO$105,AD$25,FALSE))</f>
        <v>2</v>
      </c>
      <c r="AE31" s="53">
        <f>IF($A31="-","-",VLOOKUP($A31,[3]Controle!$A$6:$BO$105,AE$25,FALSE))</f>
        <v>1000000</v>
      </c>
      <c r="AF31" s="53">
        <f>IF($A31="-","-",VLOOKUP($A31,[3]Controle!$A$6:$BO$105,AF$25,FALSE))</f>
        <v>50</v>
      </c>
      <c r="AG31" s="53">
        <f>IF($A31="-","-",VLOOKUP($A31,[3]Controle!$A$6:$BO$105,AG$25,FALSE))</f>
        <v>2</v>
      </c>
      <c r="AH31" s="53">
        <f>IF($A31="-","-",VLOOKUP($A31,[3]Controle!$A$6:$BO$105,AH$25,FALSE))</f>
        <v>2</v>
      </c>
      <c r="AI31" s="53">
        <f>IF($A31="-","-",VLOOKUP($A31,[3]Controle!$A$6:$BO$105,AI$25,FALSE))</f>
        <v>1000000</v>
      </c>
      <c r="AJ31" s="53">
        <f>IF($A31="-","-",VLOOKUP($A31,[3]Controle!$A$6:$BO$105,AJ$25,FALSE))</f>
        <v>70</v>
      </c>
      <c r="AK31" s="53">
        <f>IF($A31="-","-",VLOOKUP($A31,[3]Controle!$A$6:$BO$105,AK$25,FALSE))</f>
        <v>2</v>
      </c>
      <c r="AL31" s="53">
        <f>IF($A31="-","-",VLOOKUP($A31,[3]Controle!$A$6:$BO$105,AL$25,FALSE))</f>
        <v>2</v>
      </c>
      <c r="AM31" s="53">
        <f>IF($A31="-","-",VLOOKUP($A31,[3]Controle!$A$6:$BO$105,AM$25,FALSE))</f>
        <v>1000000</v>
      </c>
      <c r="AN31" s="53">
        <f>IF($A31="-","-",VLOOKUP($A31,[3]Controle!$A$6:$BO$105,AN$25,FALSE))</f>
        <v>90</v>
      </c>
      <c r="AO31" s="53">
        <f>IF($A31="-","-",VLOOKUP($A31,[3]Controle!$A$6:$BO$105,AO$25,FALSE))</f>
        <v>2</v>
      </c>
      <c r="AP31" s="53">
        <f>IF($A31="-","-",VLOOKUP($A31,[3]Controle!$A$6:$BO$105,AP$25,FALSE))</f>
        <v>2</v>
      </c>
      <c r="AQ31" s="53">
        <f>IF($A31="-","-",VLOOKUP($A31,[3]Controle!$A$6:$BO$105,AQ$25,FALSE))</f>
        <v>1000000</v>
      </c>
      <c r="AR31" s="53" t="str">
        <f>IF($A31="-","-",VLOOKUP($A31,[3]Controle!$A$6:$BO$105,AR$25,FALSE))</f>
        <v>-</v>
      </c>
      <c r="AS31" s="53" t="str">
        <f>IF($A31="-","-",VLOOKUP($A31,[3]Controle!$A$6:$BO$105,AS$25,FALSE))</f>
        <v>-</v>
      </c>
      <c r="AT31" s="53" t="str">
        <f>IF($A31="-","-",VLOOKUP($A31,[3]Controle!$A$6:$BO$105,AT$25,FALSE))</f>
        <v>-</v>
      </c>
      <c r="AU31" s="53" t="str">
        <f>IF($A31="-","-",VLOOKUP($A31,[3]Controle!$A$6:$BO$105,AU$25,FALSE))</f>
        <v>-</v>
      </c>
      <c r="AV31" s="53" t="str">
        <f>IF($A31="-","-",VLOOKUP($A31,[3]Controle!$A$6:$BO$105,AV$25,FALSE))</f>
        <v>-</v>
      </c>
      <c r="AW31" s="53" t="str">
        <f>IF($A31="-","-",VLOOKUP($A31,[3]Controle!$A$6:$BO$105,AW$25,FALSE))</f>
        <v>-</v>
      </c>
      <c r="AX31" s="53" t="str">
        <f>IF($A31="-","-",VLOOKUP($A31,[3]Controle!$A$6:$BO$105,AX$25,FALSE))</f>
        <v>-</v>
      </c>
      <c r="AY31" s="53" t="str">
        <f>IF($A31="-","-",VLOOKUP($A31,[3]Controle!$A$6:$BO$105,AY$25,FALSE))</f>
        <v>-</v>
      </c>
      <c r="AZ31" s="53" t="str">
        <f>IF($A31="-","-",VLOOKUP($A31,[3]Controle!$A$6:$BO$105,AZ$25,FALSE))</f>
        <v>-</v>
      </c>
      <c r="BA31" s="53" t="str">
        <f>IF($A31="-","-",VLOOKUP($A31,[3]Controle!$A$6:$BO$105,BA$25,FALSE))</f>
        <v>-</v>
      </c>
      <c r="BB31" s="53" t="str">
        <f>IF($A31="-","-",VLOOKUP($A31,[3]Controle!$A$6:$BO$105,BB$25,FALSE))</f>
        <v>-</v>
      </c>
      <c r="BC31" s="53" t="str">
        <f>IF($A31="-","-",VLOOKUP($A31,[3]Controle!$A$6:$BO$105,BC$25,FALSE))</f>
        <v>-</v>
      </c>
      <c r="BD31" s="53" t="str">
        <f>IF($A31="-","-",VLOOKUP($A31,[3]Controle!$A$6:$BO$105,BD$25,FALSE))</f>
        <v>-</v>
      </c>
      <c r="BE31" s="53" t="str">
        <f>IF($A31="-","-",VLOOKUP($A31,[3]Controle!$A$6:$BO$105,BE$25,FALSE))</f>
        <v>-</v>
      </c>
      <c r="BF31" s="53" t="str">
        <f>IF($A31="-","-",VLOOKUP($A31,[3]Controle!$A$6:$BO$105,BF$25,FALSE))</f>
        <v>-</v>
      </c>
      <c r="BG31" s="53" t="str">
        <f>IF($A31="-","-",VLOOKUP($A31,[3]Controle!$A$6:$BO$105,BG$25,FALSE))</f>
        <v>-</v>
      </c>
      <c r="BH31" s="53" t="str">
        <f>IF($A31="-","-",VLOOKUP($A31,[3]Controle!$A$6:$BO$105,BH$25,FALSE))</f>
        <v>-</v>
      </c>
      <c r="BI31" s="53" t="str">
        <f>IF($A31="-","-",VLOOKUP($A31,[3]Controle!$A$6:$BO$105,BI$25,FALSE))</f>
        <v>-</v>
      </c>
      <c r="BJ31" s="53" t="str">
        <f>IF($A31="-","-",VLOOKUP($A31,[3]Controle!$A$6:$BO$105,BJ$25,FALSE))</f>
        <v>-</v>
      </c>
      <c r="BK31" s="53" t="str">
        <f>IF($A31="-","-",VLOOKUP($A31,[3]Controle!$A$6:$BO$105,BK$25,FALSE))</f>
        <v>-</v>
      </c>
      <c r="BL31" s="53" t="str">
        <f>IF($A31="-","-",VLOOKUP($A31,[3]Controle!$A$6:$BO$105,BL$25,FALSE))</f>
        <v>-</v>
      </c>
      <c r="BM31" s="53" t="str">
        <f>IF($A31="-","-",VLOOKUP($A31,[3]Controle!$A$6:$BO$105,BM$25,FALSE))</f>
        <v>-</v>
      </c>
      <c r="BN31" s="53" t="str">
        <f>IF($A31="-","-",VLOOKUP($A31,[3]Controle!$A$6:$BO$105,BN$25,FALSE))</f>
        <v>-</v>
      </c>
      <c r="BO31" s="53" t="str">
        <f>IF($A31="-","-",VLOOKUP($A31,[3]Controle!$A$6:$BO$105,BO$25,FALSE))</f>
        <v>-</v>
      </c>
      <c r="CT31" s="41">
        <f>IF(CV31="-",0,MAX($CT$28:CT30)+1)</f>
        <v>0</v>
      </c>
      <c r="CU31" s="53" t="str">
        <f t="shared" ca="1" si="12"/>
        <v>VENCIDO</v>
      </c>
      <c r="CV31" s="53" t="str">
        <f t="shared" si="13"/>
        <v>-</v>
      </c>
      <c r="CW31" s="53">
        <f t="shared" si="14"/>
        <v>73</v>
      </c>
      <c r="CY31" s="41" t="str">
        <f t="shared" si="15"/>
        <v>M</v>
      </c>
    </row>
    <row r="32" spans="1:103" x14ac:dyDescent="0.3">
      <c r="A32" s="56">
        <v>74</v>
      </c>
      <c r="B32" s="53" t="str">
        <f>IF($A32="-","-",VLOOKUP($A32,[3]Controle!$A$6:$BO$105,B$25,FALSE))</f>
        <v>M.TH.FS-002</v>
      </c>
      <c r="C32" s="53" t="str">
        <f>IF($A32="-","-",VLOOKUP($A32,[3]Controle!$A$6:$BO$105,C$25,FALSE))</f>
        <v>Termohigrômetro Digital</v>
      </c>
      <c r="D32" s="53">
        <f>IF($A32="-","-",VLOOKUP($A32,[3]Controle!$A$6:$BO$105,D$25,FALSE))</f>
        <v>20</v>
      </c>
      <c r="E32" s="53" t="str">
        <f>IF($A32="-","-",VLOOKUP($A32,[3]Controle!$A$6:$BO$105,E$25,FALSE))</f>
        <v>Elus</v>
      </c>
      <c r="F32" s="53" t="str">
        <f>IF($A32="-","-",VLOOKUP($A32,[3]Controle!$A$6:$BO$105,F$25,FALSE))</f>
        <v>RBC - CAL 0439</v>
      </c>
      <c r="G32" s="53" t="str">
        <f>IF($A32="-","-",VLOOKUP($A32,[3]Controle!$A$6:$BO$105,G$25,FALSE))</f>
        <v>E0308/24</v>
      </c>
      <c r="H32" s="54">
        <f>IF($A32="-","-",VLOOKUP($A32,[3]Controle!$A$6:$BO$105,H$25,FALSE))</f>
        <v>45520</v>
      </c>
      <c r="I32" s="55">
        <f>IF($A32="-","-",VLOOKUP($A32,[3]Controle!$A$6:$BO$105,I$25,FALSE))</f>
        <v>45899</v>
      </c>
      <c r="J32" s="53" t="str">
        <f>IF($A32="-","-",VLOOKUP($A32,[3]Controle!$A$6:$BO$105,J$25,FALSE))</f>
        <v>%ur</v>
      </c>
      <c r="K32" s="53">
        <f>IF($A32="-","-",VLOOKUP($A32,[3]Controle!$A$6:$BO$105,K$25,FALSE))</f>
        <v>30</v>
      </c>
      <c r="L32" s="53">
        <f>IF($A32="-","-",VLOOKUP($A32,[3]Controle!$A$6:$BO$105,L$25,FALSE))</f>
        <v>90</v>
      </c>
      <c r="M32" s="53">
        <f>IF($A32="-","-",VLOOKUP($A32,[3]Controle!$A$6:$BO$105,M$25,FALSE))</f>
        <v>1</v>
      </c>
      <c r="N32" s="53">
        <f>IF($A32="-","-",VLOOKUP($A32,[3]Controle!$A$6:$BO$105,N$25,FALSE))</f>
        <v>2</v>
      </c>
      <c r="O32" s="53">
        <f>IF($A32="-","-",VLOOKUP($A32,[3]Controle!$A$6:$BO$105,O$25,FALSE))</f>
        <v>2</v>
      </c>
      <c r="P32" s="53">
        <f>IF($A32="-","-",VLOOKUP($A32,[3]Controle!$A$6:$BO$105,P$25,FALSE))</f>
        <v>2</v>
      </c>
      <c r="Q32" s="53">
        <f>IF($A32="-","-",VLOOKUP($A32,[3]Controle!$A$6:$BO$105,Q$25,FALSE))</f>
        <v>0.89768839625197216</v>
      </c>
      <c r="R32" s="53">
        <f>IF($A32="-","-",VLOOKUP($A32,[3]Controle!$A$6:$BO$105,R$25,FALSE))</f>
        <v>2</v>
      </c>
      <c r="S32" s="53">
        <f>IF($A32="-","-",VLOOKUP($A32,[3]Controle!$A$6:$BO$105,S$25,FALSE))</f>
        <v>0</v>
      </c>
      <c r="T32" s="53">
        <f>IF($A32="-","-",VLOOKUP($A32,[3]Controle!$A$6:$BO$105,T$25,FALSE))</f>
        <v>0</v>
      </c>
      <c r="U32" s="53">
        <f>IF($A32="-","-",VLOOKUP($A32,[3]Controle!$A$6:$BO$105,U$25,FALSE))</f>
        <v>0</v>
      </c>
      <c r="V32" s="53">
        <f>IF($A32="-","-",VLOOKUP($A32,[3]Controle!$A$6:$BO$105,V$25,FALSE))</f>
        <v>0</v>
      </c>
      <c r="W32" s="53">
        <f>IF($A32="-","-",VLOOKUP($A32,[3]Controle!$A$6:$BO$105,W$25,FALSE))</f>
        <v>0</v>
      </c>
      <c r="X32" s="53">
        <f>IF($A32="-","-",VLOOKUP($A32,[3]Controle!$A$6:$BO$105,X$25,FALSE))</f>
        <v>0</v>
      </c>
      <c r="Y32" s="53">
        <f>IF($A32="-","-",VLOOKUP($A32,[3]Controle!$A$6:$BO$105,Y$25,FALSE))</f>
        <v>-1.4093750682057991E-3</v>
      </c>
      <c r="Z32" s="53">
        <f>IF($A32="-","-",VLOOKUP($A32,[3]Controle!$A$6:$BO$105,Z$25,FALSE))</f>
        <v>1.2101077063715087</v>
      </c>
      <c r="AA32" s="53">
        <f>IF($A32="-","-",VLOOKUP($A32,[3]Controle!$A$6:$BO$105,AA$25,FALSE))</f>
        <v>-6.3617941936792599</v>
      </c>
      <c r="AB32" s="53">
        <f>IF($A32="-","-",VLOOKUP($A32,[3]Controle!$A$6:$BO$105,AB$25,FALSE))</f>
        <v>30</v>
      </c>
      <c r="AC32" s="53">
        <f>IF($A32="-","-",VLOOKUP($A32,[3]Controle!$A$6:$BO$105,AC$25,FALSE))</f>
        <v>2</v>
      </c>
      <c r="AD32" s="53">
        <f>IF($A32="-","-",VLOOKUP($A32,[3]Controle!$A$6:$BO$105,AD$25,FALSE))</f>
        <v>2</v>
      </c>
      <c r="AE32" s="53">
        <f>IF($A32="-","-",VLOOKUP($A32,[3]Controle!$A$6:$BO$105,AE$25,FALSE))</f>
        <v>1000000</v>
      </c>
      <c r="AF32" s="53">
        <f>IF($A32="-","-",VLOOKUP($A32,[3]Controle!$A$6:$BO$105,AF$25,FALSE))</f>
        <v>50</v>
      </c>
      <c r="AG32" s="53">
        <f>IF($A32="-","-",VLOOKUP($A32,[3]Controle!$A$6:$BO$105,AG$25,FALSE))</f>
        <v>2</v>
      </c>
      <c r="AH32" s="53">
        <f>IF($A32="-","-",VLOOKUP($A32,[3]Controle!$A$6:$BO$105,AH$25,FALSE))</f>
        <v>2</v>
      </c>
      <c r="AI32" s="53">
        <f>IF($A32="-","-",VLOOKUP($A32,[3]Controle!$A$6:$BO$105,AI$25,FALSE))</f>
        <v>1000000</v>
      </c>
      <c r="AJ32" s="53">
        <f>IF($A32="-","-",VLOOKUP($A32,[3]Controle!$A$6:$BO$105,AJ$25,FALSE))</f>
        <v>70</v>
      </c>
      <c r="AK32" s="53">
        <f>IF($A32="-","-",VLOOKUP($A32,[3]Controle!$A$6:$BO$105,AK$25,FALSE))</f>
        <v>2</v>
      </c>
      <c r="AL32" s="53">
        <f>IF($A32="-","-",VLOOKUP($A32,[3]Controle!$A$6:$BO$105,AL$25,FALSE))</f>
        <v>2</v>
      </c>
      <c r="AM32" s="53">
        <f>IF($A32="-","-",VLOOKUP($A32,[3]Controle!$A$6:$BO$105,AM$25,FALSE))</f>
        <v>1000000</v>
      </c>
      <c r="AN32" s="53">
        <f>IF($A32="-","-",VLOOKUP($A32,[3]Controle!$A$6:$BO$105,AN$25,FALSE))</f>
        <v>90</v>
      </c>
      <c r="AO32" s="53">
        <f>IF($A32="-","-",VLOOKUP($A32,[3]Controle!$A$6:$BO$105,AO$25,FALSE))</f>
        <v>2</v>
      </c>
      <c r="AP32" s="53">
        <f>IF($A32="-","-",VLOOKUP($A32,[3]Controle!$A$6:$BO$105,AP$25,FALSE))</f>
        <v>2</v>
      </c>
      <c r="AQ32" s="53">
        <f>IF($A32="-","-",VLOOKUP($A32,[3]Controle!$A$6:$BO$105,AQ$25,FALSE))</f>
        <v>1000000</v>
      </c>
      <c r="AR32" s="53" t="str">
        <f>IF($A32="-","-",VLOOKUP($A32,[3]Controle!$A$6:$BO$105,AR$25,FALSE))</f>
        <v>-</v>
      </c>
      <c r="AS32" s="53" t="str">
        <f>IF($A32="-","-",VLOOKUP($A32,[3]Controle!$A$6:$BO$105,AS$25,FALSE))</f>
        <v>-</v>
      </c>
      <c r="AT32" s="53" t="str">
        <f>IF($A32="-","-",VLOOKUP($A32,[3]Controle!$A$6:$BO$105,AT$25,FALSE))</f>
        <v>-</v>
      </c>
      <c r="AU32" s="53" t="str">
        <f>IF($A32="-","-",VLOOKUP($A32,[3]Controle!$A$6:$BO$105,AU$25,FALSE))</f>
        <v>-</v>
      </c>
      <c r="AV32" s="53" t="str">
        <f>IF($A32="-","-",VLOOKUP($A32,[3]Controle!$A$6:$BO$105,AV$25,FALSE))</f>
        <v>-</v>
      </c>
      <c r="AW32" s="53" t="str">
        <f>IF($A32="-","-",VLOOKUP($A32,[3]Controle!$A$6:$BO$105,AW$25,FALSE))</f>
        <v>-</v>
      </c>
      <c r="AX32" s="53" t="str">
        <f>IF($A32="-","-",VLOOKUP($A32,[3]Controle!$A$6:$BO$105,AX$25,FALSE))</f>
        <v>-</v>
      </c>
      <c r="AY32" s="53" t="str">
        <f>IF($A32="-","-",VLOOKUP($A32,[3]Controle!$A$6:$BO$105,AY$25,FALSE))</f>
        <v>-</v>
      </c>
      <c r="AZ32" s="53" t="str">
        <f>IF($A32="-","-",VLOOKUP($A32,[3]Controle!$A$6:$BO$105,AZ$25,FALSE))</f>
        <v>-</v>
      </c>
      <c r="BA32" s="53" t="str">
        <f>IF($A32="-","-",VLOOKUP($A32,[3]Controle!$A$6:$BO$105,BA$25,FALSE))</f>
        <v>-</v>
      </c>
      <c r="BB32" s="53" t="str">
        <f>IF($A32="-","-",VLOOKUP($A32,[3]Controle!$A$6:$BO$105,BB$25,FALSE))</f>
        <v>-</v>
      </c>
      <c r="BC32" s="53" t="str">
        <f>IF($A32="-","-",VLOOKUP($A32,[3]Controle!$A$6:$BO$105,BC$25,FALSE))</f>
        <v>-</v>
      </c>
      <c r="BD32" s="53" t="str">
        <f>IF($A32="-","-",VLOOKUP($A32,[3]Controle!$A$6:$BO$105,BD$25,FALSE))</f>
        <v>-</v>
      </c>
      <c r="BE32" s="53" t="str">
        <f>IF($A32="-","-",VLOOKUP($A32,[3]Controle!$A$6:$BO$105,BE$25,FALSE))</f>
        <v>-</v>
      </c>
      <c r="BF32" s="53" t="str">
        <f>IF($A32="-","-",VLOOKUP($A32,[3]Controle!$A$6:$BO$105,BF$25,FALSE))</f>
        <v>-</v>
      </c>
      <c r="BG32" s="53" t="str">
        <f>IF($A32="-","-",VLOOKUP($A32,[3]Controle!$A$6:$BO$105,BG$25,FALSE))</f>
        <v>-</v>
      </c>
      <c r="BH32" s="53" t="str">
        <f>IF($A32="-","-",VLOOKUP($A32,[3]Controle!$A$6:$BO$105,BH$25,FALSE))</f>
        <v>-</v>
      </c>
      <c r="BI32" s="53" t="str">
        <f>IF($A32="-","-",VLOOKUP($A32,[3]Controle!$A$6:$BO$105,BI$25,FALSE))</f>
        <v>-</v>
      </c>
      <c r="BJ32" s="53" t="str">
        <f>IF($A32="-","-",VLOOKUP($A32,[3]Controle!$A$6:$BO$105,BJ$25,FALSE))</f>
        <v>-</v>
      </c>
      <c r="BK32" s="53" t="str">
        <f>IF($A32="-","-",VLOOKUP($A32,[3]Controle!$A$6:$BO$105,BK$25,FALSE))</f>
        <v>-</v>
      </c>
      <c r="BL32" s="53" t="str">
        <f>IF($A32="-","-",VLOOKUP($A32,[3]Controle!$A$6:$BO$105,BL$25,FALSE))</f>
        <v>-</v>
      </c>
      <c r="BM32" s="53" t="str">
        <f>IF($A32="-","-",VLOOKUP($A32,[3]Controle!$A$6:$BO$105,BM$25,FALSE))</f>
        <v>-</v>
      </c>
      <c r="BN32" s="53" t="str">
        <f>IF($A32="-","-",VLOOKUP($A32,[3]Controle!$A$6:$BO$105,BN$25,FALSE))</f>
        <v>-</v>
      </c>
      <c r="BO32" s="53" t="str">
        <f>IF($A32="-","-",VLOOKUP($A32,[3]Controle!$A$6:$BO$105,BO$25,FALSE))</f>
        <v>-</v>
      </c>
      <c r="CT32" s="41">
        <f>IF(CV32="-",0,MAX($CT$28:CT31)+1)</f>
        <v>0</v>
      </c>
      <c r="CU32" s="53" t="str">
        <f t="shared" ca="1" si="12"/>
        <v>VENCIDO</v>
      </c>
      <c r="CV32" s="53" t="str">
        <f t="shared" si="13"/>
        <v>-</v>
      </c>
      <c r="CW32" s="53">
        <f t="shared" si="14"/>
        <v>74</v>
      </c>
      <c r="CY32" s="41" t="str">
        <f t="shared" si="15"/>
        <v>M</v>
      </c>
    </row>
    <row r="33" spans="1:103" x14ac:dyDescent="0.3">
      <c r="A33" s="56">
        <v>75</v>
      </c>
      <c r="B33" s="53" t="str">
        <f>IF($A33="-","-",VLOOKUP($A33,[3]Controle!$A$6:$BO$105,B$25,FALSE))</f>
        <v>M.TH.FS-003</v>
      </c>
      <c r="C33" s="53" t="str">
        <f>IF($A33="-","-",VLOOKUP($A33,[3]Controle!$A$6:$BO$105,C$25,FALSE))</f>
        <v>Termohigrômetro Digital</v>
      </c>
      <c r="D33" s="53">
        <f>IF($A33="-","-",VLOOKUP($A33,[3]Controle!$A$6:$BO$105,D$25,FALSE))</f>
        <v>20</v>
      </c>
      <c r="E33" s="53" t="str">
        <f>IF($A33="-","-",VLOOKUP($A33,[3]Controle!$A$6:$BO$105,E$25,FALSE))</f>
        <v>Elus</v>
      </c>
      <c r="F33" s="53" t="str">
        <f>IF($A33="-","-",VLOOKUP($A33,[3]Controle!$A$6:$BO$105,F$25,FALSE))</f>
        <v>RBC - CAL 0439</v>
      </c>
      <c r="G33" s="53" t="str">
        <f>IF($A33="-","-",VLOOKUP($A33,[3]Controle!$A$6:$BO$105,G$25,FALSE))</f>
        <v>E0309/24</v>
      </c>
      <c r="H33" s="54">
        <f>IF($A33="-","-",VLOOKUP($A33,[3]Controle!$A$6:$BO$105,H$25,FALSE))</f>
        <v>45520</v>
      </c>
      <c r="I33" s="55">
        <f>IF($A33="-","-",VLOOKUP($A33,[3]Controle!$A$6:$BO$105,I$25,FALSE))</f>
        <v>45899</v>
      </c>
      <c r="J33" s="53" t="str">
        <f>IF($A33="-","-",VLOOKUP($A33,[3]Controle!$A$6:$BO$105,J$25,FALSE))</f>
        <v>%ur</v>
      </c>
      <c r="K33" s="53">
        <f>IF($A33="-","-",VLOOKUP($A33,[3]Controle!$A$6:$BO$105,K$25,FALSE))</f>
        <v>30</v>
      </c>
      <c r="L33" s="53">
        <f>IF($A33="-","-",VLOOKUP($A33,[3]Controle!$A$6:$BO$105,L$25,FALSE))</f>
        <v>90</v>
      </c>
      <c r="M33" s="53">
        <f>IF($A33="-","-",VLOOKUP($A33,[3]Controle!$A$6:$BO$105,M$25,FALSE))</f>
        <v>1</v>
      </c>
      <c r="N33" s="53">
        <f>IF($A33="-","-",VLOOKUP($A33,[3]Controle!$A$6:$BO$105,N$25,FALSE))</f>
        <v>2</v>
      </c>
      <c r="O33" s="53">
        <f>IF($A33="-","-",VLOOKUP($A33,[3]Controle!$A$6:$BO$105,O$25,FALSE))</f>
        <v>2</v>
      </c>
      <c r="P33" s="53">
        <f>IF($A33="-","-",VLOOKUP($A33,[3]Controle!$A$6:$BO$105,P$25,FALSE))</f>
        <v>2</v>
      </c>
      <c r="Q33" s="53">
        <f>IF($A33="-","-",VLOOKUP($A33,[3]Controle!$A$6:$BO$105,Q$25,FALSE))</f>
        <v>1.4370812861417965</v>
      </c>
      <c r="R33" s="53">
        <f>IF($A33="-","-",VLOOKUP($A33,[3]Controle!$A$6:$BO$105,R$25,FALSE))</f>
        <v>2</v>
      </c>
      <c r="S33" s="53">
        <f>IF($A33="-","-",VLOOKUP($A33,[3]Controle!$A$6:$BO$105,S$25,FALSE))</f>
        <v>0</v>
      </c>
      <c r="T33" s="53">
        <f>IF($A33="-","-",VLOOKUP($A33,[3]Controle!$A$6:$BO$105,T$25,FALSE))</f>
        <v>0</v>
      </c>
      <c r="U33" s="53">
        <f>IF($A33="-","-",VLOOKUP($A33,[3]Controle!$A$6:$BO$105,U$25,FALSE))</f>
        <v>0</v>
      </c>
      <c r="V33" s="53">
        <f>IF($A33="-","-",VLOOKUP($A33,[3]Controle!$A$6:$BO$105,V$25,FALSE))</f>
        <v>0</v>
      </c>
      <c r="W33" s="53">
        <f>IF($A33="-","-",VLOOKUP($A33,[3]Controle!$A$6:$BO$105,W$25,FALSE))</f>
        <v>0</v>
      </c>
      <c r="X33" s="53">
        <f>IF($A33="-","-",VLOOKUP($A33,[3]Controle!$A$6:$BO$105,X$25,FALSE))</f>
        <v>0</v>
      </c>
      <c r="Y33" s="53">
        <f>IF($A33="-","-",VLOOKUP($A33,[3]Controle!$A$6:$BO$105,Y$25,FALSE))</f>
        <v>-1.4025954539598113E-3</v>
      </c>
      <c r="Z33" s="53">
        <f>IF($A33="-","-",VLOOKUP($A33,[3]Controle!$A$6:$BO$105,Z$25,FALSE))</f>
        <v>1.2071930815661953</v>
      </c>
      <c r="AA33" s="53">
        <f>IF($A33="-","-",VLOOKUP($A33,[3]Controle!$A$6:$BO$105,AA$25,FALSE))</f>
        <v>-5.694659235168972</v>
      </c>
      <c r="AB33" s="53">
        <f>IF($A33="-","-",VLOOKUP($A33,[3]Controle!$A$6:$BO$105,AB$25,FALSE))</f>
        <v>30</v>
      </c>
      <c r="AC33" s="53">
        <f>IF($A33="-","-",VLOOKUP($A33,[3]Controle!$A$6:$BO$105,AC$25,FALSE))</f>
        <v>2</v>
      </c>
      <c r="AD33" s="53">
        <f>IF($A33="-","-",VLOOKUP($A33,[3]Controle!$A$6:$BO$105,AD$25,FALSE))</f>
        <v>2</v>
      </c>
      <c r="AE33" s="53">
        <f>IF($A33="-","-",VLOOKUP($A33,[3]Controle!$A$6:$BO$105,AE$25,FALSE))</f>
        <v>1000000</v>
      </c>
      <c r="AF33" s="53">
        <f>IF($A33="-","-",VLOOKUP($A33,[3]Controle!$A$6:$BO$105,AF$25,FALSE))</f>
        <v>50</v>
      </c>
      <c r="AG33" s="53">
        <f>IF($A33="-","-",VLOOKUP($A33,[3]Controle!$A$6:$BO$105,AG$25,FALSE))</f>
        <v>2</v>
      </c>
      <c r="AH33" s="53">
        <f>IF($A33="-","-",VLOOKUP($A33,[3]Controle!$A$6:$BO$105,AH$25,FALSE))</f>
        <v>2</v>
      </c>
      <c r="AI33" s="53">
        <f>IF($A33="-","-",VLOOKUP($A33,[3]Controle!$A$6:$BO$105,AI$25,FALSE))</f>
        <v>1000000</v>
      </c>
      <c r="AJ33" s="53">
        <f>IF($A33="-","-",VLOOKUP($A33,[3]Controle!$A$6:$BO$105,AJ$25,FALSE))</f>
        <v>70</v>
      </c>
      <c r="AK33" s="53">
        <f>IF($A33="-","-",VLOOKUP($A33,[3]Controle!$A$6:$BO$105,AK$25,FALSE))</f>
        <v>2</v>
      </c>
      <c r="AL33" s="53">
        <f>IF($A33="-","-",VLOOKUP($A33,[3]Controle!$A$6:$BO$105,AL$25,FALSE))</f>
        <v>2</v>
      </c>
      <c r="AM33" s="53">
        <f>IF($A33="-","-",VLOOKUP($A33,[3]Controle!$A$6:$BO$105,AM$25,FALSE))</f>
        <v>1000000</v>
      </c>
      <c r="AN33" s="53">
        <f>IF($A33="-","-",VLOOKUP($A33,[3]Controle!$A$6:$BO$105,AN$25,FALSE))</f>
        <v>90</v>
      </c>
      <c r="AO33" s="53">
        <f>IF($A33="-","-",VLOOKUP($A33,[3]Controle!$A$6:$BO$105,AO$25,FALSE))</f>
        <v>2</v>
      </c>
      <c r="AP33" s="53">
        <f>IF($A33="-","-",VLOOKUP($A33,[3]Controle!$A$6:$BO$105,AP$25,FALSE))</f>
        <v>2</v>
      </c>
      <c r="AQ33" s="53">
        <f>IF($A33="-","-",VLOOKUP($A33,[3]Controle!$A$6:$BO$105,AQ$25,FALSE))</f>
        <v>1000000</v>
      </c>
      <c r="AR33" s="53" t="str">
        <f>IF($A33="-","-",VLOOKUP($A33,[3]Controle!$A$6:$BO$105,AR$25,FALSE))</f>
        <v>-</v>
      </c>
      <c r="AS33" s="53" t="str">
        <f>IF($A33="-","-",VLOOKUP($A33,[3]Controle!$A$6:$BO$105,AS$25,FALSE))</f>
        <v>-</v>
      </c>
      <c r="AT33" s="53" t="str">
        <f>IF($A33="-","-",VLOOKUP($A33,[3]Controle!$A$6:$BO$105,AT$25,FALSE))</f>
        <v>-</v>
      </c>
      <c r="AU33" s="53" t="str">
        <f>IF($A33="-","-",VLOOKUP($A33,[3]Controle!$A$6:$BO$105,AU$25,FALSE))</f>
        <v>-</v>
      </c>
      <c r="AV33" s="53" t="str">
        <f>IF($A33="-","-",VLOOKUP($A33,[3]Controle!$A$6:$BO$105,AV$25,FALSE))</f>
        <v>-</v>
      </c>
      <c r="AW33" s="53" t="str">
        <f>IF($A33="-","-",VLOOKUP($A33,[3]Controle!$A$6:$BO$105,AW$25,FALSE))</f>
        <v>-</v>
      </c>
      <c r="AX33" s="53" t="str">
        <f>IF($A33="-","-",VLOOKUP($A33,[3]Controle!$A$6:$BO$105,AX$25,FALSE))</f>
        <v>-</v>
      </c>
      <c r="AY33" s="53" t="str">
        <f>IF($A33="-","-",VLOOKUP($A33,[3]Controle!$A$6:$BO$105,AY$25,FALSE))</f>
        <v>-</v>
      </c>
      <c r="AZ33" s="53" t="str">
        <f>IF($A33="-","-",VLOOKUP($A33,[3]Controle!$A$6:$BO$105,AZ$25,FALSE))</f>
        <v>-</v>
      </c>
      <c r="BA33" s="53" t="str">
        <f>IF($A33="-","-",VLOOKUP($A33,[3]Controle!$A$6:$BO$105,BA$25,FALSE))</f>
        <v>-</v>
      </c>
      <c r="BB33" s="53" t="str">
        <f>IF($A33="-","-",VLOOKUP($A33,[3]Controle!$A$6:$BO$105,BB$25,FALSE))</f>
        <v>-</v>
      </c>
      <c r="BC33" s="53" t="str">
        <f>IF($A33="-","-",VLOOKUP($A33,[3]Controle!$A$6:$BO$105,BC$25,FALSE))</f>
        <v>-</v>
      </c>
      <c r="BD33" s="53" t="str">
        <f>IF($A33="-","-",VLOOKUP($A33,[3]Controle!$A$6:$BO$105,BD$25,FALSE))</f>
        <v>-</v>
      </c>
      <c r="BE33" s="53" t="str">
        <f>IF($A33="-","-",VLOOKUP($A33,[3]Controle!$A$6:$BO$105,BE$25,FALSE))</f>
        <v>-</v>
      </c>
      <c r="BF33" s="53" t="str">
        <f>IF($A33="-","-",VLOOKUP($A33,[3]Controle!$A$6:$BO$105,BF$25,FALSE))</f>
        <v>-</v>
      </c>
      <c r="BG33" s="53" t="str">
        <f>IF($A33="-","-",VLOOKUP($A33,[3]Controle!$A$6:$BO$105,BG$25,FALSE))</f>
        <v>-</v>
      </c>
      <c r="BH33" s="53" t="str">
        <f>IF($A33="-","-",VLOOKUP($A33,[3]Controle!$A$6:$BO$105,BH$25,FALSE))</f>
        <v>-</v>
      </c>
      <c r="BI33" s="53" t="str">
        <f>IF($A33="-","-",VLOOKUP($A33,[3]Controle!$A$6:$BO$105,BI$25,FALSE))</f>
        <v>-</v>
      </c>
      <c r="BJ33" s="53" t="str">
        <f>IF($A33="-","-",VLOOKUP($A33,[3]Controle!$A$6:$BO$105,BJ$25,FALSE))</f>
        <v>-</v>
      </c>
      <c r="BK33" s="53" t="str">
        <f>IF($A33="-","-",VLOOKUP($A33,[3]Controle!$A$6:$BO$105,BK$25,FALSE))</f>
        <v>-</v>
      </c>
      <c r="BL33" s="53" t="str">
        <f>IF($A33="-","-",VLOOKUP($A33,[3]Controle!$A$6:$BO$105,BL$25,FALSE))</f>
        <v>-</v>
      </c>
      <c r="BM33" s="53" t="str">
        <f>IF($A33="-","-",VLOOKUP($A33,[3]Controle!$A$6:$BO$105,BM$25,FALSE))</f>
        <v>-</v>
      </c>
      <c r="BN33" s="53" t="str">
        <f>IF($A33="-","-",VLOOKUP($A33,[3]Controle!$A$6:$BO$105,BN$25,FALSE))</f>
        <v>-</v>
      </c>
      <c r="BO33" s="53" t="str">
        <f>IF($A33="-","-",VLOOKUP($A33,[3]Controle!$A$6:$BO$105,BO$25,FALSE))</f>
        <v>-</v>
      </c>
      <c r="CT33" s="41">
        <f>IF(CV33="-",0,MAX($CT$28:CT32)+1)</f>
        <v>0</v>
      </c>
      <c r="CU33" s="53" t="str">
        <f t="shared" ca="1" si="12"/>
        <v>VENCIDO</v>
      </c>
      <c r="CV33" s="53" t="str">
        <f t="shared" si="13"/>
        <v>-</v>
      </c>
      <c r="CW33" s="53">
        <f t="shared" si="14"/>
        <v>75</v>
      </c>
      <c r="CY33" s="41" t="str">
        <f t="shared" si="15"/>
        <v>M</v>
      </c>
    </row>
    <row r="34" spans="1:103" x14ac:dyDescent="0.3">
      <c r="A34" s="56">
        <v>76</v>
      </c>
      <c r="B34" s="53" t="str">
        <f>IF($A34="-","-",VLOOKUP($A34,[3]Controle!$A$6:$BO$105,B$25,FALSE))</f>
        <v>M.TH.FS-004</v>
      </c>
      <c r="C34" s="53" t="str">
        <f>IF($A34="-","-",VLOOKUP($A34,[3]Controle!$A$6:$BO$105,C$25,FALSE))</f>
        <v>Termohigrômetro Digital</v>
      </c>
      <c r="D34" s="53">
        <f>IF($A34="-","-",VLOOKUP($A34,[3]Controle!$A$6:$BO$105,D$25,FALSE))</f>
        <v>20</v>
      </c>
      <c r="E34" s="53" t="str">
        <f>IF($A34="-","-",VLOOKUP($A34,[3]Controle!$A$6:$BO$105,E$25,FALSE))</f>
        <v>Elus</v>
      </c>
      <c r="F34" s="53" t="str">
        <f>IF($A34="-","-",VLOOKUP($A34,[3]Controle!$A$6:$BO$105,F$25,FALSE))</f>
        <v>RBC - CAL 0439</v>
      </c>
      <c r="G34" s="53" t="str">
        <f>IF($A34="-","-",VLOOKUP($A34,[3]Controle!$A$6:$BO$105,G$25,FALSE))</f>
        <v>E0310/24</v>
      </c>
      <c r="H34" s="54">
        <f>IF($A34="-","-",VLOOKUP($A34,[3]Controle!$A$6:$BO$105,H$25,FALSE))</f>
        <v>45520</v>
      </c>
      <c r="I34" s="55">
        <f>IF($A34="-","-",VLOOKUP($A34,[3]Controle!$A$6:$BO$105,I$25,FALSE))</f>
        <v>45899</v>
      </c>
      <c r="J34" s="53" t="str">
        <f>IF($A34="-","-",VLOOKUP($A34,[3]Controle!$A$6:$BO$105,J$25,FALSE))</f>
        <v>%ur</v>
      </c>
      <c r="K34" s="53">
        <f>IF($A34="-","-",VLOOKUP($A34,[3]Controle!$A$6:$BO$105,K$25,FALSE))</f>
        <v>30</v>
      </c>
      <c r="L34" s="53">
        <f>IF($A34="-","-",VLOOKUP($A34,[3]Controle!$A$6:$BO$105,L$25,FALSE))</f>
        <v>90</v>
      </c>
      <c r="M34" s="53">
        <f>IF($A34="-","-",VLOOKUP($A34,[3]Controle!$A$6:$BO$105,M$25,FALSE))</f>
        <v>1</v>
      </c>
      <c r="N34" s="53">
        <f>IF($A34="-","-",VLOOKUP($A34,[3]Controle!$A$6:$BO$105,N$25,FALSE))</f>
        <v>1</v>
      </c>
      <c r="O34" s="53">
        <f>IF($A34="-","-",VLOOKUP($A34,[3]Controle!$A$6:$BO$105,O$25,FALSE))</f>
        <v>2</v>
      </c>
      <c r="P34" s="53">
        <f>IF($A34="-","-",VLOOKUP($A34,[3]Controle!$A$6:$BO$105,P$25,FALSE))</f>
        <v>1</v>
      </c>
      <c r="Q34" s="53">
        <f>IF($A34="-","-",VLOOKUP($A34,[3]Controle!$A$6:$BO$105,Q$25,FALSE))</f>
        <v>0.66608271259680896</v>
      </c>
      <c r="R34" s="53">
        <f>IF($A34="-","-",VLOOKUP($A34,[3]Controle!$A$6:$BO$105,R$25,FALSE))</f>
        <v>2</v>
      </c>
      <c r="S34" s="53">
        <f>IF($A34="-","-",VLOOKUP($A34,[3]Controle!$A$6:$BO$105,S$25,FALSE))</f>
        <v>0</v>
      </c>
      <c r="T34" s="53">
        <f>IF($A34="-","-",VLOOKUP($A34,[3]Controle!$A$6:$BO$105,T$25,FALSE))</f>
        <v>0</v>
      </c>
      <c r="U34" s="53">
        <f>IF($A34="-","-",VLOOKUP($A34,[3]Controle!$A$6:$BO$105,U$25,FALSE))</f>
        <v>0</v>
      </c>
      <c r="V34" s="53">
        <f>IF($A34="-","-",VLOOKUP($A34,[3]Controle!$A$6:$BO$105,V$25,FALSE))</f>
        <v>0</v>
      </c>
      <c r="W34" s="53">
        <f>IF($A34="-","-",VLOOKUP($A34,[3]Controle!$A$6:$BO$105,W$25,FALSE))</f>
        <v>0</v>
      </c>
      <c r="X34" s="53">
        <f>IF($A34="-","-",VLOOKUP($A34,[3]Controle!$A$6:$BO$105,X$25,FALSE))</f>
        <v>0</v>
      </c>
      <c r="Y34" s="53">
        <f>IF($A34="-","-",VLOOKUP($A34,[3]Controle!$A$6:$BO$105,Y$25,FALSE))</f>
        <v>-6.3361076334152839E-4</v>
      </c>
      <c r="Z34" s="53">
        <f>IF($A34="-","-",VLOOKUP($A34,[3]Controle!$A$6:$BO$105,Z$25,FALSE))</f>
        <v>1.0807749738999506</v>
      </c>
      <c r="AA34" s="53">
        <f>IF($A34="-","-",VLOOKUP($A34,[3]Controle!$A$6:$BO$105,AA$25,FALSE))</f>
        <v>-2.0005185348479024</v>
      </c>
      <c r="AB34" s="53">
        <f>IF($A34="-","-",VLOOKUP($A34,[3]Controle!$A$6:$BO$105,AB$25,FALSE))</f>
        <v>30</v>
      </c>
      <c r="AC34" s="53">
        <f>IF($A34="-","-",VLOOKUP($A34,[3]Controle!$A$6:$BO$105,AC$25,FALSE))</f>
        <v>2</v>
      </c>
      <c r="AD34" s="53">
        <f>IF($A34="-","-",VLOOKUP($A34,[3]Controle!$A$6:$BO$105,AD$25,FALSE))</f>
        <v>2</v>
      </c>
      <c r="AE34" s="53">
        <f>IF($A34="-","-",VLOOKUP($A34,[3]Controle!$A$6:$BO$105,AE$25,FALSE))</f>
        <v>1000000</v>
      </c>
      <c r="AF34" s="53">
        <f>IF($A34="-","-",VLOOKUP($A34,[3]Controle!$A$6:$BO$105,AF$25,FALSE))</f>
        <v>50</v>
      </c>
      <c r="AG34" s="53">
        <f>IF($A34="-","-",VLOOKUP($A34,[3]Controle!$A$6:$BO$105,AG$25,FALSE))</f>
        <v>2</v>
      </c>
      <c r="AH34" s="53">
        <f>IF($A34="-","-",VLOOKUP($A34,[3]Controle!$A$6:$BO$105,AH$25,FALSE))</f>
        <v>2</v>
      </c>
      <c r="AI34" s="53">
        <f>IF($A34="-","-",VLOOKUP($A34,[3]Controle!$A$6:$BO$105,AI$25,FALSE))</f>
        <v>1000000</v>
      </c>
      <c r="AJ34" s="53">
        <f>IF($A34="-","-",VLOOKUP($A34,[3]Controle!$A$6:$BO$105,AJ$25,FALSE))</f>
        <v>70</v>
      </c>
      <c r="AK34" s="53">
        <f>IF($A34="-","-",VLOOKUP($A34,[3]Controle!$A$6:$BO$105,AK$25,FALSE))</f>
        <v>2</v>
      </c>
      <c r="AL34" s="53">
        <f>IF($A34="-","-",VLOOKUP($A34,[3]Controle!$A$6:$BO$105,AL$25,FALSE))</f>
        <v>2</v>
      </c>
      <c r="AM34" s="53">
        <f>IF($A34="-","-",VLOOKUP($A34,[3]Controle!$A$6:$BO$105,AM$25,FALSE))</f>
        <v>1000000</v>
      </c>
      <c r="AN34" s="53">
        <f>IF($A34="-","-",VLOOKUP($A34,[3]Controle!$A$6:$BO$105,AN$25,FALSE))</f>
        <v>90</v>
      </c>
      <c r="AO34" s="53">
        <f>IF($A34="-","-",VLOOKUP($A34,[3]Controle!$A$6:$BO$105,AO$25,FALSE))</f>
        <v>2</v>
      </c>
      <c r="AP34" s="53">
        <f>IF($A34="-","-",VLOOKUP($A34,[3]Controle!$A$6:$BO$105,AP$25,FALSE))</f>
        <v>2</v>
      </c>
      <c r="AQ34" s="53">
        <f>IF($A34="-","-",VLOOKUP($A34,[3]Controle!$A$6:$BO$105,AQ$25,FALSE))</f>
        <v>1000000</v>
      </c>
      <c r="AR34" s="53" t="str">
        <f>IF($A34="-","-",VLOOKUP($A34,[3]Controle!$A$6:$BO$105,AR$25,FALSE))</f>
        <v>-</v>
      </c>
      <c r="AS34" s="53" t="str">
        <f>IF($A34="-","-",VLOOKUP($A34,[3]Controle!$A$6:$BO$105,AS$25,FALSE))</f>
        <v>-</v>
      </c>
      <c r="AT34" s="53" t="str">
        <f>IF($A34="-","-",VLOOKUP($A34,[3]Controle!$A$6:$BO$105,AT$25,FALSE))</f>
        <v>-</v>
      </c>
      <c r="AU34" s="53" t="str">
        <f>IF($A34="-","-",VLOOKUP($A34,[3]Controle!$A$6:$BO$105,AU$25,FALSE))</f>
        <v>-</v>
      </c>
      <c r="AV34" s="53" t="str">
        <f>IF($A34="-","-",VLOOKUP($A34,[3]Controle!$A$6:$BO$105,AV$25,FALSE))</f>
        <v>-</v>
      </c>
      <c r="AW34" s="53" t="str">
        <f>IF($A34="-","-",VLOOKUP($A34,[3]Controle!$A$6:$BO$105,AW$25,FALSE))</f>
        <v>-</v>
      </c>
      <c r="AX34" s="53" t="str">
        <f>IF($A34="-","-",VLOOKUP($A34,[3]Controle!$A$6:$BO$105,AX$25,FALSE))</f>
        <v>-</v>
      </c>
      <c r="AY34" s="53" t="str">
        <f>IF($A34="-","-",VLOOKUP($A34,[3]Controle!$A$6:$BO$105,AY$25,FALSE))</f>
        <v>-</v>
      </c>
      <c r="AZ34" s="53" t="str">
        <f>IF($A34="-","-",VLOOKUP($A34,[3]Controle!$A$6:$BO$105,AZ$25,FALSE))</f>
        <v>-</v>
      </c>
      <c r="BA34" s="53" t="str">
        <f>IF($A34="-","-",VLOOKUP($A34,[3]Controle!$A$6:$BO$105,BA$25,FALSE))</f>
        <v>-</v>
      </c>
      <c r="BB34" s="53" t="str">
        <f>IF($A34="-","-",VLOOKUP($A34,[3]Controle!$A$6:$BO$105,BB$25,FALSE))</f>
        <v>-</v>
      </c>
      <c r="BC34" s="53" t="str">
        <f>IF($A34="-","-",VLOOKUP($A34,[3]Controle!$A$6:$BO$105,BC$25,FALSE))</f>
        <v>-</v>
      </c>
      <c r="BD34" s="53" t="str">
        <f>IF($A34="-","-",VLOOKUP($A34,[3]Controle!$A$6:$BO$105,BD$25,FALSE))</f>
        <v>-</v>
      </c>
      <c r="BE34" s="53" t="str">
        <f>IF($A34="-","-",VLOOKUP($A34,[3]Controle!$A$6:$BO$105,BE$25,FALSE))</f>
        <v>-</v>
      </c>
      <c r="BF34" s="53" t="str">
        <f>IF($A34="-","-",VLOOKUP($A34,[3]Controle!$A$6:$BO$105,BF$25,FALSE))</f>
        <v>-</v>
      </c>
      <c r="BG34" s="53" t="str">
        <f>IF($A34="-","-",VLOOKUP($A34,[3]Controle!$A$6:$BO$105,BG$25,FALSE))</f>
        <v>-</v>
      </c>
      <c r="BH34" s="53" t="str">
        <f>IF($A34="-","-",VLOOKUP($A34,[3]Controle!$A$6:$BO$105,BH$25,FALSE))</f>
        <v>-</v>
      </c>
      <c r="BI34" s="53" t="str">
        <f>IF($A34="-","-",VLOOKUP($A34,[3]Controle!$A$6:$BO$105,BI$25,FALSE))</f>
        <v>-</v>
      </c>
      <c r="BJ34" s="53" t="str">
        <f>IF($A34="-","-",VLOOKUP($A34,[3]Controle!$A$6:$BO$105,BJ$25,FALSE))</f>
        <v>-</v>
      </c>
      <c r="BK34" s="53" t="str">
        <f>IF($A34="-","-",VLOOKUP($A34,[3]Controle!$A$6:$BO$105,BK$25,FALSE))</f>
        <v>-</v>
      </c>
      <c r="BL34" s="53" t="str">
        <f>IF($A34="-","-",VLOOKUP($A34,[3]Controle!$A$6:$BO$105,BL$25,FALSE))</f>
        <v>-</v>
      </c>
      <c r="BM34" s="53" t="str">
        <f>IF($A34="-","-",VLOOKUP($A34,[3]Controle!$A$6:$BO$105,BM$25,FALSE))</f>
        <v>-</v>
      </c>
      <c r="BN34" s="53" t="str">
        <f>IF($A34="-","-",VLOOKUP($A34,[3]Controle!$A$6:$BO$105,BN$25,FALSE))</f>
        <v>-</v>
      </c>
      <c r="BO34" s="53" t="str">
        <f>IF($A34="-","-",VLOOKUP($A34,[3]Controle!$A$6:$BO$105,BO$25,FALSE))</f>
        <v>-</v>
      </c>
      <c r="CT34" s="41">
        <f>IF(CV34="-",0,MAX($CT$28:CT33)+1)</f>
        <v>0</v>
      </c>
      <c r="CU34" s="53" t="str">
        <f t="shared" ca="1" si="12"/>
        <v>VENCIDO</v>
      </c>
      <c r="CV34" s="53" t="str">
        <f t="shared" si="13"/>
        <v>-</v>
      </c>
      <c r="CW34" s="53">
        <f t="shared" si="14"/>
        <v>76</v>
      </c>
      <c r="CY34" s="41" t="str">
        <f t="shared" si="15"/>
        <v>M</v>
      </c>
    </row>
    <row r="35" spans="1:103" x14ac:dyDescent="0.3">
      <c r="A35" s="56">
        <v>77</v>
      </c>
      <c r="B35" s="53" t="str">
        <f>IF($A35="-","-",VLOOKUP($A35,[3]Controle!$A$6:$BO$105,B$25,FALSE))</f>
        <v>M.TH.FS-005</v>
      </c>
      <c r="C35" s="53" t="str">
        <f>IF($A35="-","-",VLOOKUP($A35,[3]Controle!$A$6:$BO$105,C$25,FALSE))</f>
        <v>Termohigrômetro Digital</v>
      </c>
      <c r="D35" s="53">
        <f>IF($A35="-","-",VLOOKUP($A35,[3]Controle!$A$6:$BO$105,D$25,FALSE))</f>
        <v>20</v>
      </c>
      <c r="E35" s="53" t="str">
        <f>IF($A35="-","-",VLOOKUP($A35,[3]Controle!$A$6:$BO$105,E$25,FALSE))</f>
        <v>Elus</v>
      </c>
      <c r="F35" s="53" t="str">
        <f>IF($A35="-","-",VLOOKUP($A35,[3]Controle!$A$6:$BO$105,F$25,FALSE))</f>
        <v>RBC - CAL 0439</v>
      </c>
      <c r="G35" s="53" t="str">
        <f>IF($A35="-","-",VLOOKUP($A35,[3]Controle!$A$6:$BO$105,G$25,FALSE))</f>
        <v>E0311/24</v>
      </c>
      <c r="H35" s="54">
        <f>IF($A35="-","-",VLOOKUP($A35,[3]Controle!$A$6:$BO$105,H$25,FALSE))</f>
        <v>45520</v>
      </c>
      <c r="I35" s="55">
        <f>IF($A35="-","-",VLOOKUP($A35,[3]Controle!$A$6:$BO$105,I$25,FALSE))</f>
        <v>45899</v>
      </c>
      <c r="J35" s="53" t="str">
        <f>IF($A35="-","-",VLOOKUP($A35,[3]Controle!$A$6:$BO$105,J$25,FALSE))</f>
        <v>%ur</v>
      </c>
      <c r="K35" s="53">
        <f>IF($A35="-","-",VLOOKUP($A35,[3]Controle!$A$6:$BO$105,K$25,FALSE))</f>
        <v>30</v>
      </c>
      <c r="L35" s="53">
        <f>IF($A35="-","-",VLOOKUP($A35,[3]Controle!$A$6:$BO$105,L$25,FALSE))</f>
        <v>90</v>
      </c>
      <c r="M35" s="53">
        <f>IF($A35="-","-",VLOOKUP($A35,[3]Controle!$A$6:$BO$105,M$25,FALSE))</f>
        <v>1</v>
      </c>
      <c r="N35" s="53">
        <f>IF($A35="-","-",VLOOKUP($A35,[3]Controle!$A$6:$BO$105,N$25,FALSE))</f>
        <v>2</v>
      </c>
      <c r="O35" s="53">
        <f>IF($A35="-","-",VLOOKUP($A35,[3]Controle!$A$6:$BO$105,O$25,FALSE))</f>
        <v>2</v>
      </c>
      <c r="P35" s="53">
        <f>IF($A35="-","-",VLOOKUP($A35,[3]Controle!$A$6:$BO$105,P$25,FALSE))</f>
        <v>2</v>
      </c>
      <c r="Q35" s="53">
        <f>IF($A35="-","-",VLOOKUP($A35,[3]Controle!$A$6:$BO$105,Q$25,FALSE))</f>
        <v>1.0497007139463466</v>
      </c>
      <c r="R35" s="53">
        <f>IF($A35="-","-",VLOOKUP($A35,[3]Controle!$A$6:$BO$105,R$25,FALSE))</f>
        <v>2</v>
      </c>
      <c r="S35" s="53">
        <f>IF($A35="-","-",VLOOKUP($A35,[3]Controle!$A$6:$BO$105,S$25,FALSE))</f>
        <v>0</v>
      </c>
      <c r="T35" s="53">
        <f>IF($A35="-","-",VLOOKUP($A35,[3]Controle!$A$6:$BO$105,T$25,FALSE))</f>
        <v>0</v>
      </c>
      <c r="U35" s="53">
        <f>IF($A35="-","-",VLOOKUP($A35,[3]Controle!$A$6:$BO$105,U$25,FALSE))</f>
        <v>0</v>
      </c>
      <c r="V35" s="53">
        <f>IF($A35="-","-",VLOOKUP($A35,[3]Controle!$A$6:$BO$105,V$25,FALSE))</f>
        <v>0</v>
      </c>
      <c r="W35" s="53">
        <f>IF($A35="-","-",VLOOKUP($A35,[3]Controle!$A$6:$BO$105,W$25,FALSE))</f>
        <v>0</v>
      </c>
      <c r="X35" s="53">
        <f>IF($A35="-","-",VLOOKUP($A35,[3]Controle!$A$6:$BO$105,X$25,FALSE))</f>
        <v>0</v>
      </c>
      <c r="Y35" s="53">
        <f>IF($A35="-","-",VLOOKUP($A35,[3]Controle!$A$6:$BO$105,Y$25,FALSE))</f>
        <v>-2.5655011483406145E-3</v>
      </c>
      <c r="Z35" s="53">
        <f>IF($A35="-","-",VLOOKUP($A35,[3]Controle!$A$6:$BO$105,Z$25,FALSE))</f>
        <v>1.3240127561178827</v>
      </c>
      <c r="AA35" s="53">
        <f>IF($A35="-","-",VLOOKUP($A35,[3]Controle!$A$6:$BO$105,AA$25,FALSE))</f>
        <v>-9.4520937277958428</v>
      </c>
      <c r="AB35" s="53">
        <f>IF($A35="-","-",VLOOKUP($A35,[3]Controle!$A$6:$BO$105,AB$25,FALSE))</f>
        <v>30</v>
      </c>
      <c r="AC35" s="53">
        <f>IF($A35="-","-",VLOOKUP($A35,[3]Controle!$A$6:$BO$105,AC$25,FALSE))</f>
        <v>2</v>
      </c>
      <c r="AD35" s="53">
        <f>IF($A35="-","-",VLOOKUP($A35,[3]Controle!$A$6:$BO$105,AD$25,FALSE))</f>
        <v>2</v>
      </c>
      <c r="AE35" s="53">
        <f>IF($A35="-","-",VLOOKUP($A35,[3]Controle!$A$6:$BO$105,AE$25,FALSE))</f>
        <v>1000000</v>
      </c>
      <c r="AF35" s="53">
        <f>IF($A35="-","-",VLOOKUP($A35,[3]Controle!$A$6:$BO$105,AF$25,FALSE))</f>
        <v>50</v>
      </c>
      <c r="AG35" s="53">
        <f>IF($A35="-","-",VLOOKUP($A35,[3]Controle!$A$6:$BO$105,AG$25,FALSE))</f>
        <v>2</v>
      </c>
      <c r="AH35" s="53">
        <f>IF($A35="-","-",VLOOKUP($A35,[3]Controle!$A$6:$BO$105,AH$25,FALSE))</f>
        <v>2</v>
      </c>
      <c r="AI35" s="53">
        <f>IF($A35="-","-",VLOOKUP($A35,[3]Controle!$A$6:$BO$105,AI$25,FALSE))</f>
        <v>1000000</v>
      </c>
      <c r="AJ35" s="53">
        <f>IF($A35="-","-",VLOOKUP($A35,[3]Controle!$A$6:$BO$105,AJ$25,FALSE))</f>
        <v>70</v>
      </c>
      <c r="AK35" s="53">
        <f>IF($A35="-","-",VLOOKUP($A35,[3]Controle!$A$6:$BO$105,AK$25,FALSE))</f>
        <v>2</v>
      </c>
      <c r="AL35" s="53">
        <f>IF($A35="-","-",VLOOKUP($A35,[3]Controle!$A$6:$BO$105,AL$25,FALSE))</f>
        <v>2</v>
      </c>
      <c r="AM35" s="53">
        <f>IF($A35="-","-",VLOOKUP($A35,[3]Controle!$A$6:$BO$105,AM$25,FALSE))</f>
        <v>1000000</v>
      </c>
      <c r="AN35" s="53">
        <f>IF($A35="-","-",VLOOKUP($A35,[3]Controle!$A$6:$BO$105,AN$25,FALSE))</f>
        <v>90</v>
      </c>
      <c r="AO35" s="53">
        <f>IF($A35="-","-",VLOOKUP($A35,[3]Controle!$A$6:$BO$105,AO$25,FALSE))</f>
        <v>2</v>
      </c>
      <c r="AP35" s="53">
        <f>IF($A35="-","-",VLOOKUP($A35,[3]Controle!$A$6:$BO$105,AP$25,FALSE))</f>
        <v>2</v>
      </c>
      <c r="AQ35" s="53">
        <f>IF($A35="-","-",VLOOKUP($A35,[3]Controle!$A$6:$BO$105,AQ$25,FALSE))</f>
        <v>1000000</v>
      </c>
      <c r="AR35" s="53" t="str">
        <f>IF($A35="-","-",VLOOKUP($A35,[3]Controle!$A$6:$BO$105,AR$25,FALSE))</f>
        <v>-</v>
      </c>
      <c r="AS35" s="53" t="str">
        <f>IF($A35="-","-",VLOOKUP($A35,[3]Controle!$A$6:$BO$105,AS$25,FALSE))</f>
        <v>-</v>
      </c>
      <c r="AT35" s="53" t="str">
        <f>IF($A35="-","-",VLOOKUP($A35,[3]Controle!$A$6:$BO$105,AT$25,FALSE))</f>
        <v>-</v>
      </c>
      <c r="AU35" s="53" t="str">
        <f>IF($A35="-","-",VLOOKUP($A35,[3]Controle!$A$6:$BO$105,AU$25,FALSE))</f>
        <v>-</v>
      </c>
      <c r="AV35" s="53" t="str">
        <f>IF($A35="-","-",VLOOKUP($A35,[3]Controle!$A$6:$BO$105,AV$25,FALSE))</f>
        <v>-</v>
      </c>
      <c r="AW35" s="53" t="str">
        <f>IF($A35="-","-",VLOOKUP($A35,[3]Controle!$A$6:$BO$105,AW$25,FALSE))</f>
        <v>-</v>
      </c>
      <c r="AX35" s="53" t="str">
        <f>IF($A35="-","-",VLOOKUP($A35,[3]Controle!$A$6:$BO$105,AX$25,FALSE))</f>
        <v>-</v>
      </c>
      <c r="AY35" s="53" t="str">
        <f>IF($A35="-","-",VLOOKUP($A35,[3]Controle!$A$6:$BO$105,AY$25,FALSE))</f>
        <v>-</v>
      </c>
      <c r="AZ35" s="53" t="str">
        <f>IF($A35="-","-",VLOOKUP($A35,[3]Controle!$A$6:$BO$105,AZ$25,FALSE))</f>
        <v>-</v>
      </c>
      <c r="BA35" s="53" t="str">
        <f>IF($A35="-","-",VLOOKUP($A35,[3]Controle!$A$6:$BO$105,BA$25,FALSE))</f>
        <v>-</v>
      </c>
      <c r="BB35" s="53" t="str">
        <f>IF($A35="-","-",VLOOKUP($A35,[3]Controle!$A$6:$BO$105,BB$25,FALSE))</f>
        <v>-</v>
      </c>
      <c r="BC35" s="53" t="str">
        <f>IF($A35="-","-",VLOOKUP($A35,[3]Controle!$A$6:$BO$105,BC$25,FALSE))</f>
        <v>-</v>
      </c>
      <c r="BD35" s="53" t="str">
        <f>IF($A35="-","-",VLOOKUP($A35,[3]Controle!$A$6:$BO$105,BD$25,FALSE))</f>
        <v>-</v>
      </c>
      <c r="BE35" s="53" t="str">
        <f>IF($A35="-","-",VLOOKUP($A35,[3]Controle!$A$6:$BO$105,BE$25,FALSE))</f>
        <v>-</v>
      </c>
      <c r="BF35" s="53" t="str">
        <f>IF($A35="-","-",VLOOKUP($A35,[3]Controle!$A$6:$BO$105,BF$25,FALSE))</f>
        <v>-</v>
      </c>
      <c r="BG35" s="53" t="str">
        <f>IF($A35="-","-",VLOOKUP($A35,[3]Controle!$A$6:$BO$105,BG$25,FALSE))</f>
        <v>-</v>
      </c>
      <c r="BH35" s="53" t="str">
        <f>IF($A35="-","-",VLOOKUP($A35,[3]Controle!$A$6:$BO$105,BH$25,FALSE))</f>
        <v>-</v>
      </c>
      <c r="BI35" s="53" t="str">
        <f>IF($A35="-","-",VLOOKUP($A35,[3]Controle!$A$6:$BO$105,BI$25,FALSE))</f>
        <v>-</v>
      </c>
      <c r="BJ35" s="53" t="str">
        <f>IF($A35="-","-",VLOOKUP($A35,[3]Controle!$A$6:$BO$105,BJ$25,FALSE))</f>
        <v>-</v>
      </c>
      <c r="BK35" s="53" t="str">
        <f>IF($A35="-","-",VLOOKUP($A35,[3]Controle!$A$6:$BO$105,BK$25,FALSE))</f>
        <v>-</v>
      </c>
      <c r="BL35" s="53" t="str">
        <f>IF($A35="-","-",VLOOKUP($A35,[3]Controle!$A$6:$BO$105,BL$25,FALSE))</f>
        <v>-</v>
      </c>
      <c r="BM35" s="53" t="str">
        <f>IF($A35="-","-",VLOOKUP($A35,[3]Controle!$A$6:$BO$105,BM$25,FALSE))</f>
        <v>-</v>
      </c>
      <c r="BN35" s="53" t="str">
        <f>IF($A35="-","-",VLOOKUP($A35,[3]Controle!$A$6:$BO$105,BN$25,FALSE))</f>
        <v>-</v>
      </c>
      <c r="BO35" s="53" t="str">
        <f>IF($A35="-","-",VLOOKUP($A35,[3]Controle!$A$6:$BO$105,BO$25,FALSE))</f>
        <v>-</v>
      </c>
      <c r="CT35" s="41">
        <f>IF(CV35="-",0,MAX($CT$28:CT34)+1)</f>
        <v>0</v>
      </c>
      <c r="CU35" s="53" t="str">
        <f t="shared" ref="CU35" ca="1" si="16">IF(CW35="-","-",IF($G$1&lt;=I35,"VÁLIDO","VENCIDO"))</f>
        <v>VENCIDO</v>
      </c>
      <c r="CV35" s="53" t="str">
        <f t="shared" si="13"/>
        <v>-</v>
      </c>
      <c r="CW35" s="53">
        <f t="shared" ref="CW35" si="17">A35</f>
        <v>77</v>
      </c>
      <c r="CY35" s="41" t="str">
        <f t="shared" si="15"/>
        <v>M</v>
      </c>
    </row>
    <row r="36" spans="1:103" x14ac:dyDescent="0.3">
      <c r="A36" s="56">
        <v>78</v>
      </c>
      <c r="B36" s="53" t="str">
        <f>IF($A36="-","-",VLOOKUP($A36,[3]Controle!$A$6:$BO$105,B$25,FALSE))</f>
        <v>M.TH.FS-006</v>
      </c>
      <c r="C36" s="53" t="str">
        <f>IF($A36="-","-",VLOOKUP($A36,[3]Controle!$A$6:$BO$105,C$25,FALSE))</f>
        <v>Termohigrômetro Digital</v>
      </c>
      <c r="D36" s="53">
        <f>IF($A36="-","-",VLOOKUP($A36,[3]Controle!$A$6:$BO$105,D$25,FALSE))</f>
        <v>20</v>
      </c>
      <c r="E36" s="53" t="str">
        <f>IF($A36="-","-",VLOOKUP($A36,[3]Controle!$A$6:$BO$105,E$25,FALSE))</f>
        <v>Elus</v>
      </c>
      <c r="F36" s="53" t="str">
        <f>IF($A36="-","-",VLOOKUP($A36,[3]Controle!$A$6:$BO$105,F$25,FALSE))</f>
        <v>RBC - CAL 0439</v>
      </c>
      <c r="G36" s="53" t="str">
        <f>IF($A36="-","-",VLOOKUP($A36,[3]Controle!$A$6:$BO$105,G$25,FALSE))</f>
        <v>E0312/24</v>
      </c>
      <c r="H36" s="54">
        <f>IF($A36="-","-",VLOOKUP($A36,[3]Controle!$A$6:$BO$105,H$25,FALSE))</f>
        <v>45520</v>
      </c>
      <c r="I36" s="55">
        <f>IF($A36="-","-",VLOOKUP($A36,[3]Controle!$A$6:$BO$105,I$25,FALSE))</f>
        <v>45899</v>
      </c>
      <c r="J36" s="53" t="str">
        <f>IF($A36="-","-",VLOOKUP($A36,[3]Controle!$A$6:$BO$105,J$25,FALSE))</f>
        <v>%ur</v>
      </c>
      <c r="K36" s="53">
        <f>IF($A36="-","-",VLOOKUP($A36,[3]Controle!$A$6:$BO$105,K$25,FALSE))</f>
        <v>30</v>
      </c>
      <c r="L36" s="53">
        <f>IF($A36="-","-",VLOOKUP($A36,[3]Controle!$A$6:$BO$105,L$25,FALSE))</f>
        <v>90</v>
      </c>
      <c r="M36" s="53">
        <f>IF($A36="-","-",VLOOKUP($A36,[3]Controle!$A$6:$BO$105,M$25,FALSE))</f>
        <v>1</v>
      </c>
      <c r="N36" s="53">
        <f>IF($A36="-","-",VLOOKUP($A36,[3]Controle!$A$6:$BO$105,N$25,FALSE))</f>
        <v>3</v>
      </c>
      <c r="O36" s="53">
        <f>IF($A36="-","-",VLOOKUP($A36,[3]Controle!$A$6:$BO$105,O$25,FALSE))</f>
        <v>2</v>
      </c>
      <c r="P36" s="53">
        <f>IF($A36="-","-",VLOOKUP($A36,[3]Controle!$A$6:$BO$105,P$25,FALSE))</f>
        <v>3</v>
      </c>
      <c r="Q36" s="53">
        <f>IF($A36="-","-",VLOOKUP($A36,[3]Controle!$A$6:$BO$105,Q$25,FALSE))</f>
        <v>0.60884457512586243</v>
      </c>
      <c r="R36" s="53">
        <f>IF($A36="-","-",VLOOKUP($A36,[3]Controle!$A$6:$BO$105,R$25,FALSE))</f>
        <v>2</v>
      </c>
      <c r="S36" s="53">
        <f>IF($A36="-","-",VLOOKUP($A36,[3]Controle!$A$6:$BO$105,S$25,FALSE))</f>
        <v>0</v>
      </c>
      <c r="T36" s="53">
        <f>IF($A36="-","-",VLOOKUP($A36,[3]Controle!$A$6:$BO$105,T$25,FALSE))</f>
        <v>0</v>
      </c>
      <c r="U36" s="53">
        <f>IF($A36="-","-",VLOOKUP($A36,[3]Controle!$A$6:$BO$105,U$25,FALSE))</f>
        <v>0</v>
      </c>
      <c r="V36" s="53">
        <f>IF($A36="-","-",VLOOKUP($A36,[3]Controle!$A$6:$BO$105,V$25,FALSE))</f>
        <v>0</v>
      </c>
      <c r="W36" s="53">
        <f>IF($A36="-","-",VLOOKUP($A36,[3]Controle!$A$6:$BO$105,W$25,FALSE))</f>
        <v>0</v>
      </c>
      <c r="X36" s="53">
        <f>IF($A36="-","-",VLOOKUP($A36,[3]Controle!$A$6:$BO$105,X$25,FALSE))</f>
        <v>0</v>
      </c>
      <c r="Y36" s="53">
        <f>IF($A36="-","-",VLOOKUP($A36,[3]Controle!$A$6:$BO$105,Y$25,FALSE))</f>
        <v>-2.7343363143841285E-3</v>
      </c>
      <c r="Z36" s="53">
        <f>IF($A36="-","-",VLOOKUP($A36,[3]Controle!$A$6:$BO$105,Z$25,FALSE))</f>
        <v>1.3686668984639578</v>
      </c>
      <c r="AA36" s="53">
        <f>IF($A36="-","-",VLOOKUP($A36,[3]Controle!$A$6:$BO$105,AA$25,FALSE))</f>
        <v>-12.024975808245973</v>
      </c>
      <c r="AB36" s="53">
        <f>IF($A36="-","-",VLOOKUP($A36,[3]Controle!$A$6:$BO$105,AB$25,FALSE))</f>
        <v>30</v>
      </c>
      <c r="AC36" s="53">
        <f>IF($A36="-","-",VLOOKUP($A36,[3]Controle!$A$6:$BO$105,AC$25,FALSE))</f>
        <v>2</v>
      </c>
      <c r="AD36" s="53">
        <f>IF($A36="-","-",VLOOKUP($A36,[3]Controle!$A$6:$BO$105,AD$25,FALSE))</f>
        <v>2</v>
      </c>
      <c r="AE36" s="53">
        <f>IF($A36="-","-",VLOOKUP($A36,[3]Controle!$A$6:$BO$105,AE$25,FALSE))</f>
        <v>1000000</v>
      </c>
      <c r="AF36" s="53">
        <f>IF($A36="-","-",VLOOKUP($A36,[3]Controle!$A$6:$BO$105,AF$25,FALSE))</f>
        <v>50</v>
      </c>
      <c r="AG36" s="53">
        <f>IF($A36="-","-",VLOOKUP($A36,[3]Controle!$A$6:$BO$105,AG$25,FALSE))</f>
        <v>2</v>
      </c>
      <c r="AH36" s="53">
        <f>IF($A36="-","-",VLOOKUP($A36,[3]Controle!$A$6:$BO$105,AH$25,FALSE))</f>
        <v>2</v>
      </c>
      <c r="AI36" s="53">
        <f>IF($A36="-","-",VLOOKUP($A36,[3]Controle!$A$6:$BO$105,AI$25,FALSE))</f>
        <v>1000000</v>
      </c>
      <c r="AJ36" s="53">
        <f>IF($A36="-","-",VLOOKUP($A36,[3]Controle!$A$6:$BO$105,AJ$25,FALSE))</f>
        <v>70</v>
      </c>
      <c r="AK36" s="53">
        <f>IF($A36="-","-",VLOOKUP($A36,[3]Controle!$A$6:$BO$105,AK$25,FALSE))</f>
        <v>2</v>
      </c>
      <c r="AL36" s="53">
        <f>IF($A36="-","-",VLOOKUP($A36,[3]Controle!$A$6:$BO$105,AL$25,FALSE))</f>
        <v>2</v>
      </c>
      <c r="AM36" s="53">
        <f>IF($A36="-","-",VLOOKUP($A36,[3]Controle!$A$6:$BO$105,AM$25,FALSE))</f>
        <v>1000000</v>
      </c>
      <c r="AN36" s="53">
        <f>IF($A36="-","-",VLOOKUP($A36,[3]Controle!$A$6:$BO$105,AN$25,FALSE))</f>
        <v>90</v>
      </c>
      <c r="AO36" s="53">
        <f>IF($A36="-","-",VLOOKUP($A36,[3]Controle!$A$6:$BO$105,AO$25,FALSE))</f>
        <v>2</v>
      </c>
      <c r="AP36" s="53">
        <f>IF($A36="-","-",VLOOKUP($A36,[3]Controle!$A$6:$BO$105,AP$25,FALSE))</f>
        <v>2</v>
      </c>
      <c r="AQ36" s="53">
        <f>IF($A36="-","-",VLOOKUP($A36,[3]Controle!$A$6:$BO$105,AQ$25,FALSE))</f>
        <v>1000000</v>
      </c>
      <c r="AR36" s="53" t="str">
        <f>IF($A36="-","-",VLOOKUP($A36,[3]Controle!$A$6:$BO$105,AR$25,FALSE))</f>
        <v>-</v>
      </c>
      <c r="AS36" s="53" t="str">
        <f>IF($A36="-","-",VLOOKUP($A36,[3]Controle!$A$6:$BO$105,AS$25,FALSE))</f>
        <v>-</v>
      </c>
      <c r="AT36" s="53" t="str">
        <f>IF($A36="-","-",VLOOKUP($A36,[3]Controle!$A$6:$BO$105,AT$25,FALSE))</f>
        <v>-</v>
      </c>
      <c r="AU36" s="53" t="str">
        <f>IF($A36="-","-",VLOOKUP($A36,[3]Controle!$A$6:$BO$105,AU$25,FALSE))</f>
        <v>-</v>
      </c>
      <c r="AV36" s="53" t="str">
        <f>IF($A36="-","-",VLOOKUP($A36,[3]Controle!$A$6:$BO$105,AV$25,FALSE))</f>
        <v>-</v>
      </c>
      <c r="AW36" s="53" t="str">
        <f>IF($A36="-","-",VLOOKUP($A36,[3]Controle!$A$6:$BO$105,AW$25,FALSE))</f>
        <v>-</v>
      </c>
      <c r="AX36" s="53" t="str">
        <f>IF($A36="-","-",VLOOKUP($A36,[3]Controle!$A$6:$BO$105,AX$25,FALSE))</f>
        <v>-</v>
      </c>
      <c r="AY36" s="53" t="str">
        <f>IF($A36="-","-",VLOOKUP($A36,[3]Controle!$A$6:$BO$105,AY$25,FALSE))</f>
        <v>-</v>
      </c>
      <c r="AZ36" s="53" t="str">
        <f>IF($A36="-","-",VLOOKUP($A36,[3]Controle!$A$6:$BO$105,AZ$25,FALSE))</f>
        <v>-</v>
      </c>
      <c r="BA36" s="53" t="str">
        <f>IF($A36="-","-",VLOOKUP($A36,[3]Controle!$A$6:$BO$105,BA$25,FALSE))</f>
        <v>-</v>
      </c>
      <c r="BB36" s="53" t="str">
        <f>IF($A36="-","-",VLOOKUP($A36,[3]Controle!$A$6:$BO$105,BB$25,FALSE))</f>
        <v>-</v>
      </c>
      <c r="BC36" s="53" t="str">
        <f>IF($A36="-","-",VLOOKUP($A36,[3]Controle!$A$6:$BO$105,BC$25,FALSE))</f>
        <v>-</v>
      </c>
      <c r="BD36" s="53" t="str">
        <f>IF($A36="-","-",VLOOKUP($A36,[3]Controle!$A$6:$BO$105,BD$25,FALSE))</f>
        <v>-</v>
      </c>
      <c r="BE36" s="53" t="str">
        <f>IF($A36="-","-",VLOOKUP($A36,[3]Controle!$A$6:$BO$105,BE$25,FALSE))</f>
        <v>-</v>
      </c>
      <c r="BF36" s="53" t="str">
        <f>IF($A36="-","-",VLOOKUP($A36,[3]Controle!$A$6:$BO$105,BF$25,FALSE))</f>
        <v>-</v>
      </c>
      <c r="BG36" s="53" t="str">
        <f>IF($A36="-","-",VLOOKUP($A36,[3]Controle!$A$6:$BO$105,BG$25,FALSE))</f>
        <v>-</v>
      </c>
      <c r="BH36" s="53" t="str">
        <f>IF($A36="-","-",VLOOKUP($A36,[3]Controle!$A$6:$BO$105,BH$25,FALSE))</f>
        <v>-</v>
      </c>
      <c r="BI36" s="53" t="str">
        <f>IF($A36="-","-",VLOOKUP($A36,[3]Controle!$A$6:$BO$105,BI$25,FALSE))</f>
        <v>-</v>
      </c>
      <c r="BJ36" s="53" t="str">
        <f>IF($A36="-","-",VLOOKUP($A36,[3]Controle!$A$6:$BO$105,BJ$25,FALSE))</f>
        <v>-</v>
      </c>
      <c r="BK36" s="53" t="str">
        <f>IF($A36="-","-",VLOOKUP($A36,[3]Controle!$A$6:$BO$105,BK$25,FALSE))</f>
        <v>-</v>
      </c>
      <c r="BL36" s="53" t="str">
        <f>IF($A36="-","-",VLOOKUP($A36,[3]Controle!$A$6:$BO$105,BL$25,FALSE))</f>
        <v>-</v>
      </c>
      <c r="BM36" s="53" t="str">
        <f>IF($A36="-","-",VLOOKUP($A36,[3]Controle!$A$6:$BO$105,BM$25,FALSE))</f>
        <v>-</v>
      </c>
      <c r="BN36" s="53" t="str">
        <f>IF($A36="-","-",VLOOKUP($A36,[3]Controle!$A$6:$BO$105,BN$25,FALSE))</f>
        <v>-</v>
      </c>
      <c r="BO36" s="53" t="str">
        <f>IF($A36="-","-",VLOOKUP($A36,[3]Controle!$A$6:$BO$105,BO$25,FALSE))</f>
        <v>-</v>
      </c>
      <c r="CT36" s="41">
        <f>IF(CV36="-",0,MAX($CT$28:CT35)+1)</f>
        <v>0</v>
      </c>
      <c r="CU36" s="53" t="str">
        <f t="shared" ca="1" si="12"/>
        <v>VENCIDO</v>
      </c>
      <c r="CV36" s="53" t="str">
        <f t="shared" si="13"/>
        <v>-</v>
      </c>
      <c r="CW36" s="53">
        <f t="shared" si="14"/>
        <v>78</v>
      </c>
      <c r="CY36" s="41" t="str">
        <f t="shared" si="15"/>
        <v>M</v>
      </c>
    </row>
    <row r="37" spans="1:103" x14ac:dyDescent="0.3">
      <c r="A37" s="56">
        <v>79</v>
      </c>
      <c r="B37" s="53" t="str">
        <f>IF($A37="-","-",VLOOKUP($A37,[3]Controle!$A$6:$BO$105,B$25,FALSE))</f>
        <v>M.TH.FS-007</v>
      </c>
      <c r="C37" s="53" t="str">
        <f>IF($A37="-","-",VLOOKUP($A37,[3]Controle!$A$6:$BO$105,C$25,FALSE))</f>
        <v>Termohigrômetro Digital</v>
      </c>
      <c r="D37" s="53">
        <f>IF($A37="-","-",VLOOKUP($A37,[3]Controle!$A$6:$BO$105,D$25,FALSE))</f>
        <v>20</v>
      </c>
      <c r="E37" s="53" t="str">
        <f>IF($A37="-","-",VLOOKUP($A37,[3]Controle!$A$6:$BO$105,E$25,FALSE))</f>
        <v>Elus</v>
      </c>
      <c r="F37" s="53" t="str">
        <f>IF($A37="-","-",VLOOKUP($A37,[3]Controle!$A$6:$BO$105,F$25,FALSE))</f>
        <v>RBC - CAL 0439</v>
      </c>
      <c r="G37" s="53" t="str">
        <f>IF($A37="-","-",VLOOKUP($A37,[3]Controle!$A$6:$BO$105,G$25,FALSE))</f>
        <v>E0313/24</v>
      </c>
      <c r="H37" s="54">
        <f>IF($A37="-","-",VLOOKUP($A37,[3]Controle!$A$6:$BO$105,H$25,FALSE))</f>
        <v>45520</v>
      </c>
      <c r="I37" s="55">
        <f>IF($A37="-","-",VLOOKUP($A37,[3]Controle!$A$6:$BO$105,I$25,FALSE))</f>
        <v>45899</v>
      </c>
      <c r="J37" s="53" t="str">
        <f>IF($A37="-","-",VLOOKUP($A37,[3]Controle!$A$6:$BO$105,J$25,FALSE))</f>
        <v>%ur</v>
      </c>
      <c r="K37" s="53">
        <f>IF($A37="-","-",VLOOKUP($A37,[3]Controle!$A$6:$BO$105,K$25,FALSE))</f>
        <v>30</v>
      </c>
      <c r="L37" s="53">
        <f>IF($A37="-","-",VLOOKUP($A37,[3]Controle!$A$6:$BO$105,L$25,FALSE))</f>
        <v>90</v>
      </c>
      <c r="M37" s="53">
        <f>IF($A37="-","-",VLOOKUP($A37,[3]Controle!$A$6:$BO$105,M$25,FALSE))</f>
        <v>1</v>
      </c>
      <c r="N37" s="53">
        <f>IF($A37="-","-",VLOOKUP($A37,[3]Controle!$A$6:$BO$105,N$25,FALSE))</f>
        <v>3</v>
      </c>
      <c r="O37" s="53">
        <f>IF($A37="-","-",VLOOKUP($A37,[3]Controle!$A$6:$BO$105,O$25,FALSE))</f>
        <v>2</v>
      </c>
      <c r="P37" s="53">
        <f>IF($A37="-","-",VLOOKUP($A37,[3]Controle!$A$6:$BO$105,P$25,FALSE))</f>
        <v>3</v>
      </c>
      <c r="Q37" s="53">
        <f>IF($A37="-","-",VLOOKUP($A37,[3]Controle!$A$6:$BO$105,Q$25,FALSE))</f>
        <v>0.94499697032162855</v>
      </c>
      <c r="R37" s="53">
        <f>IF($A37="-","-",VLOOKUP($A37,[3]Controle!$A$6:$BO$105,R$25,FALSE))</f>
        <v>2</v>
      </c>
      <c r="S37" s="53">
        <f>IF($A37="-","-",VLOOKUP($A37,[3]Controle!$A$6:$BO$105,S$25,FALSE))</f>
        <v>0</v>
      </c>
      <c r="T37" s="53">
        <f>IF($A37="-","-",VLOOKUP($A37,[3]Controle!$A$6:$BO$105,T$25,FALSE))</f>
        <v>0</v>
      </c>
      <c r="U37" s="53">
        <f>IF($A37="-","-",VLOOKUP($A37,[3]Controle!$A$6:$BO$105,U$25,FALSE))</f>
        <v>0</v>
      </c>
      <c r="V37" s="53">
        <f>IF($A37="-","-",VLOOKUP($A37,[3]Controle!$A$6:$BO$105,V$25,FALSE))</f>
        <v>0</v>
      </c>
      <c r="W37" s="53">
        <f>IF($A37="-","-",VLOOKUP($A37,[3]Controle!$A$6:$BO$105,W$25,FALSE))</f>
        <v>0</v>
      </c>
      <c r="X37" s="53">
        <f>IF($A37="-","-",VLOOKUP($A37,[3]Controle!$A$6:$BO$105,X$25,FALSE))</f>
        <v>0</v>
      </c>
      <c r="Y37" s="53">
        <f>IF($A37="-","-",VLOOKUP($A37,[3]Controle!$A$6:$BO$105,Y$25,FALSE))</f>
        <v>-3.5739557593718902E-3</v>
      </c>
      <c r="Z37" s="53">
        <f>IF($A37="-","-",VLOOKUP($A37,[3]Controle!$A$6:$BO$105,Z$25,FALSE))</f>
        <v>1.484378246866989</v>
      </c>
      <c r="AA37" s="53">
        <f>IF($A37="-","-",VLOOKUP($A37,[3]Controle!$A$6:$BO$105,AA$25,FALSE))</f>
        <v>-14.824351718363646</v>
      </c>
      <c r="AB37" s="53">
        <f>IF($A37="-","-",VLOOKUP($A37,[3]Controle!$A$6:$BO$105,AB$25,FALSE))</f>
        <v>30</v>
      </c>
      <c r="AC37" s="53">
        <f>IF($A37="-","-",VLOOKUP($A37,[3]Controle!$A$6:$BO$105,AC$25,FALSE))</f>
        <v>2</v>
      </c>
      <c r="AD37" s="53">
        <f>IF($A37="-","-",VLOOKUP($A37,[3]Controle!$A$6:$BO$105,AD$25,FALSE))</f>
        <v>2</v>
      </c>
      <c r="AE37" s="53">
        <f>IF($A37="-","-",VLOOKUP($A37,[3]Controle!$A$6:$BO$105,AE$25,FALSE))</f>
        <v>1000000</v>
      </c>
      <c r="AF37" s="53">
        <f>IF($A37="-","-",VLOOKUP($A37,[3]Controle!$A$6:$BO$105,AF$25,FALSE))</f>
        <v>50</v>
      </c>
      <c r="AG37" s="53">
        <f>IF($A37="-","-",VLOOKUP($A37,[3]Controle!$A$6:$BO$105,AG$25,FALSE))</f>
        <v>2</v>
      </c>
      <c r="AH37" s="53">
        <f>IF($A37="-","-",VLOOKUP($A37,[3]Controle!$A$6:$BO$105,AH$25,FALSE))</f>
        <v>2</v>
      </c>
      <c r="AI37" s="53">
        <f>IF($A37="-","-",VLOOKUP($A37,[3]Controle!$A$6:$BO$105,AI$25,FALSE))</f>
        <v>1000000</v>
      </c>
      <c r="AJ37" s="53">
        <f>IF($A37="-","-",VLOOKUP($A37,[3]Controle!$A$6:$BO$105,AJ$25,FALSE))</f>
        <v>70</v>
      </c>
      <c r="AK37" s="53">
        <f>IF($A37="-","-",VLOOKUP($A37,[3]Controle!$A$6:$BO$105,AK$25,FALSE))</f>
        <v>2</v>
      </c>
      <c r="AL37" s="53">
        <f>IF($A37="-","-",VLOOKUP($A37,[3]Controle!$A$6:$BO$105,AL$25,FALSE))</f>
        <v>2</v>
      </c>
      <c r="AM37" s="53">
        <f>IF($A37="-","-",VLOOKUP($A37,[3]Controle!$A$6:$BO$105,AM$25,FALSE))</f>
        <v>1000000</v>
      </c>
      <c r="AN37" s="53">
        <f>IF($A37="-","-",VLOOKUP($A37,[3]Controle!$A$6:$BO$105,AN$25,FALSE))</f>
        <v>90</v>
      </c>
      <c r="AO37" s="53">
        <f>IF($A37="-","-",VLOOKUP($A37,[3]Controle!$A$6:$BO$105,AO$25,FALSE))</f>
        <v>2</v>
      </c>
      <c r="AP37" s="53">
        <f>IF($A37="-","-",VLOOKUP($A37,[3]Controle!$A$6:$BO$105,AP$25,FALSE))</f>
        <v>2</v>
      </c>
      <c r="AQ37" s="53">
        <f>IF($A37="-","-",VLOOKUP($A37,[3]Controle!$A$6:$BO$105,AQ$25,FALSE))</f>
        <v>1000000</v>
      </c>
      <c r="AR37" s="53" t="str">
        <f>IF($A37="-","-",VLOOKUP($A37,[3]Controle!$A$6:$BO$105,AR$25,FALSE))</f>
        <v>-</v>
      </c>
      <c r="AS37" s="53" t="str">
        <f>IF($A37="-","-",VLOOKUP($A37,[3]Controle!$A$6:$BO$105,AS$25,FALSE))</f>
        <v>-</v>
      </c>
      <c r="AT37" s="53" t="str">
        <f>IF($A37="-","-",VLOOKUP($A37,[3]Controle!$A$6:$BO$105,AT$25,FALSE))</f>
        <v>-</v>
      </c>
      <c r="AU37" s="53" t="str">
        <f>IF($A37="-","-",VLOOKUP($A37,[3]Controle!$A$6:$BO$105,AU$25,FALSE))</f>
        <v>-</v>
      </c>
      <c r="AV37" s="53" t="str">
        <f>IF($A37="-","-",VLOOKUP($A37,[3]Controle!$A$6:$BO$105,AV$25,FALSE))</f>
        <v>-</v>
      </c>
      <c r="AW37" s="53" t="str">
        <f>IF($A37="-","-",VLOOKUP($A37,[3]Controle!$A$6:$BO$105,AW$25,FALSE))</f>
        <v>-</v>
      </c>
      <c r="AX37" s="53" t="str">
        <f>IF($A37="-","-",VLOOKUP($A37,[3]Controle!$A$6:$BO$105,AX$25,FALSE))</f>
        <v>-</v>
      </c>
      <c r="AY37" s="53" t="str">
        <f>IF($A37="-","-",VLOOKUP($A37,[3]Controle!$A$6:$BO$105,AY$25,FALSE))</f>
        <v>-</v>
      </c>
      <c r="AZ37" s="53" t="str">
        <f>IF($A37="-","-",VLOOKUP($A37,[3]Controle!$A$6:$BO$105,AZ$25,FALSE))</f>
        <v>-</v>
      </c>
      <c r="BA37" s="53" t="str">
        <f>IF($A37="-","-",VLOOKUP($A37,[3]Controle!$A$6:$BO$105,BA$25,FALSE))</f>
        <v>-</v>
      </c>
      <c r="BB37" s="53" t="str">
        <f>IF($A37="-","-",VLOOKUP($A37,[3]Controle!$A$6:$BO$105,BB$25,FALSE))</f>
        <v>-</v>
      </c>
      <c r="BC37" s="53" t="str">
        <f>IF($A37="-","-",VLOOKUP($A37,[3]Controle!$A$6:$BO$105,BC$25,FALSE))</f>
        <v>-</v>
      </c>
      <c r="BD37" s="53" t="str">
        <f>IF($A37="-","-",VLOOKUP($A37,[3]Controle!$A$6:$BO$105,BD$25,FALSE))</f>
        <v>-</v>
      </c>
      <c r="BE37" s="53" t="str">
        <f>IF($A37="-","-",VLOOKUP($A37,[3]Controle!$A$6:$BO$105,BE$25,FALSE))</f>
        <v>-</v>
      </c>
      <c r="BF37" s="53" t="str">
        <f>IF($A37="-","-",VLOOKUP($A37,[3]Controle!$A$6:$BO$105,BF$25,FALSE))</f>
        <v>-</v>
      </c>
      <c r="BG37" s="53" t="str">
        <f>IF($A37="-","-",VLOOKUP($A37,[3]Controle!$A$6:$BO$105,BG$25,FALSE))</f>
        <v>-</v>
      </c>
      <c r="BH37" s="53" t="str">
        <f>IF($A37="-","-",VLOOKUP($A37,[3]Controle!$A$6:$BO$105,BH$25,FALSE))</f>
        <v>-</v>
      </c>
      <c r="BI37" s="53" t="str">
        <f>IF($A37="-","-",VLOOKUP($A37,[3]Controle!$A$6:$BO$105,BI$25,FALSE))</f>
        <v>-</v>
      </c>
      <c r="BJ37" s="53" t="str">
        <f>IF($A37="-","-",VLOOKUP($A37,[3]Controle!$A$6:$BO$105,BJ$25,FALSE))</f>
        <v>-</v>
      </c>
      <c r="BK37" s="53" t="str">
        <f>IF($A37="-","-",VLOOKUP($A37,[3]Controle!$A$6:$BO$105,BK$25,FALSE))</f>
        <v>-</v>
      </c>
      <c r="BL37" s="53" t="str">
        <f>IF($A37="-","-",VLOOKUP($A37,[3]Controle!$A$6:$BO$105,BL$25,FALSE))</f>
        <v>-</v>
      </c>
      <c r="BM37" s="53" t="str">
        <f>IF($A37="-","-",VLOOKUP($A37,[3]Controle!$A$6:$BO$105,BM$25,FALSE))</f>
        <v>-</v>
      </c>
      <c r="BN37" s="53" t="str">
        <f>IF($A37="-","-",VLOOKUP($A37,[3]Controle!$A$6:$BO$105,BN$25,FALSE))</f>
        <v>-</v>
      </c>
      <c r="BO37" s="53" t="str">
        <f>IF($A37="-","-",VLOOKUP($A37,[3]Controle!$A$6:$BO$105,BO$25,FALSE))</f>
        <v>-</v>
      </c>
      <c r="CT37" s="41">
        <f>IF(CV37="-",0,MAX($CT$28:CT36)+1)</f>
        <v>0</v>
      </c>
      <c r="CU37" s="53" t="str">
        <f t="shared" ca="1" si="12"/>
        <v>VENCIDO</v>
      </c>
      <c r="CV37" s="53" t="str">
        <f t="shared" si="13"/>
        <v>-</v>
      </c>
      <c r="CW37" s="53">
        <f t="shared" si="14"/>
        <v>79</v>
      </c>
      <c r="CY37" s="41" t="str">
        <f t="shared" si="15"/>
        <v>M</v>
      </c>
    </row>
    <row r="38" spans="1:103" x14ac:dyDescent="0.3">
      <c r="A38" s="56" t="s">
        <v>54</v>
      </c>
      <c r="B38" s="53" t="str">
        <f>IF($A38="-","-",VLOOKUP($A38,[3]Controle!$A$6:$BO$105,B$25,FALSE))</f>
        <v>-</v>
      </c>
      <c r="C38" s="53" t="str">
        <f>IF($A38="-","-",VLOOKUP($A38,[3]Controle!$A$6:$BO$105,C$25,FALSE))</f>
        <v>-</v>
      </c>
      <c r="D38" s="53" t="str">
        <f>IF($A38="-","-",VLOOKUP($A38,[3]Controle!$A$6:$BO$105,D$25,FALSE))</f>
        <v>-</v>
      </c>
      <c r="E38" s="53" t="str">
        <f>IF($A38="-","-",VLOOKUP($A38,[3]Controle!$A$6:$BO$105,E$25,FALSE))</f>
        <v>-</v>
      </c>
      <c r="F38" s="53" t="str">
        <f>IF($A38="-","-",VLOOKUP($A38,[3]Controle!$A$6:$BO$105,F$25,FALSE))</f>
        <v>-</v>
      </c>
      <c r="G38" s="53" t="str">
        <f>IF($A38="-","-",VLOOKUP($A38,[3]Controle!$A$6:$BO$105,G$25,FALSE))</f>
        <v>-</v>
      </c>
      <c r="H38" s="54" t="str">
        <f>IF($A38="-","-",VLOOKUP($A38,[3]Controle!$A$6:$BO$105,H$25,FALSE))</f>
        <v>-</v>
      </c>
      <c r="I38" s="55" t="str">
        <f>IF($A38="-","-",VLOOKUP($A38,[3]Controle!$A$6:$BO$105,I$25,FALSE))</f>
        <v>-</v>
      </c>
      <c r="J38" s="53" t="str">
        <f>IF($A38="-","-",VLOOKUP($A38,[3]Controle!$A$6:$BO$105,J$25,FALSE))</f>
        <v>-</v>
      </c>
      <c r="K38" s="53" t="str">
        <f>IF($A38="-","-",VLOOKUP($A38,[3]Controle!$A$6:$BO$105,K$25,FALSE))</f>
        <v>-</v>
      </c>
      <c r="L38" s="53" t="str">
        <f>IF($A38="-","-",VLOOKUP($A38,[3]Controle!$A$6:$BO$105,L$25,FALSE))</f>
        <v>-</v>
      </c>
      <c r="M38" s="53" t="str">
        <f>IF($A38="-","-",VLOOKUP($A38,[3]Controle!$A$6:$BO$105,M$25,FALSE))</f>
        <v>-</v>
      </c>
      <c r="N38" s="53" t="str">
        <f>IF($A38="-","-",VLOOKUP($A38,[3]Controle!$A$6:$BO$105,N$25,FALSE))</f>
        <v>-</v>
      </c>
      <c r="O38" s="53" t="str">
        <f>IF($A38="-","-",VLOOKUP($A38,[3]Controle!$A$6:$BO$105,O$25,FALSE))</f>
        <v>-</v>
      </c>
      <c r="P38" s="53" t="str">
        <f>IF($A38="-","-",VLOOKUP($A38,[3]Controle!$A$6:$BO$105,P$25,FALSE))</f>
        <v>-</v>
      </c>
      <c r="Q38" s="53" t="str">
        <f>IF($A38="-","-",VLOOKUP($A38,[3]Controle!$A$6:$BO$105,Q$25,FALSE))</f>
        <v>-</v>
      </c>
      <c r="R38" s="53" t="str">
        <f>IF($A38="-","-",VLOOKUP($A38,[3]Controle!$A$6:$BO$105,R$25,FALSE))</f>
        <v>-</v>
      </c>
      <c r="S38" s="53" t="str">
        <f>IF($A38="-","-",VLOOKUP($A38,[3]Controle!$A$6:$BO$105,S$25,FALSE))</f>
        <v>-</v>
      </c>
      <c r="T38" s="53" t="str">
        <f>IF($A38="-","-",VLOOKUP($A38,[3]Controle!$A$6:$BO$105,T$25,FALSE))</f>
        <v>-</v>
      </c>
      <c r="U38" s="53" t="str">
        <f>IF($A38="-","-",VLOOKUP($A38,[3]Controle!$A$6:$BO$105,U$25,FALSE))</f>
        <v>-</v>
      </c>
      <c r="V38" s="53" t="str">
        <f>IF($A38="-","-",VLOOKUP($A38,[3]Controle!$A$6:$BO$105,V$25,FALSE))</f>
        <v>-</v>
      </c>
      <c r="W38" s="53" t="str">
        <f>IF($A38="-","-",VLOOKUP($A38,[3]Controle!$A$6:$BO$105,W$25,FALSE))</f>
        <v>-</v>
      </c>
      <c r="X38" s="53" t="str">
        <f>IF($A38="-","-",VLOOKUP($A38,[3]Controle!$A$6:$BO$105,X$25,FALSE))</f>
        <v>-</v>
      </c>
      <c r="Y38" s="53" t="str">
        <f>IF($A38="-","-",VLOOKUP($A38,[3]Controle!$A$6:$BO$105,Y$25,FALSE))</f>
        <v>-</v>
      </c>
      <c r="Z38" s="53" t="str">
        <f>IF($A38="-","-",VLOOKUP($A38,[3]Controle!$A$6:$BO$105,Z$25,FALSE))</f>
        <v>-</v>
      </c>
      <c r="AA38" s="53" t="str">
        <f>IF($A38="-","-",VLOOKUP($A38,[3]Controle!$A$6:$BO$105,AA$25,FALSE))</f>
        <v>-</v>
      </c>
      <c r="AB38" s="53" t="str">
        <f>IF($A38="-","-",VLOOKUP($A38,[3]Controle!$A$6:$BO$105,AB$25,FALSE))</f>
        <v>-</v>
      </c>
      <c r="AC38" s="53" t="str">
        <f>IF($A38="-","-",VLOOKUP($A38,[3]Controle!$A$6:$BO$105,AC$25,FALSE))</f>
        <v>-</v>
      </c>
      <c r="AD38" s="53" t="str">
        <f>IF($A38="-","-",VLOOKUP($A38,[3]Controle!$A$6:$BO$105,AD$25,FALSE))</f>
        <v>-</v>
      </c>
      <c r="AE38" s="53" t="str">
        <f>IF($A38="-","-",VLOOKUP($A38,[3]Controle!$A$6:$BO$105,AE$25,FALSE))</f>
        <v>-</v>
      </c>
      <c r="AF38" s="53" t="str">
        <f>IF($A38="-","-",VLOOKUP($A38,[3]Controle!$A$6:$BO$105,AF$25,FALSE))</f>
        <v>-</v>
      </c>
      <c r="AG38" s="53" t="str">
        <f>IF($A38="-","-",VLOOKUP($A38,[3]Controle!$A$6:$BO$105,AG$25,FALSE))</f>
        <v>-</v>
      </c>
      <c r="AH38" s="53" t="str">
        <f>IF($A38="-","-",VLOOKUP($A38,[3]Controle!$A$6:$BO$105,AH$25,FALSE))</f>
        <v>-</v>
      </c>
      <c r="AI38" s="53" t="str">
        <f>IF($A38="-","-",VLOOKUP($A38,[3]Controle!$A$6:$BO$105,AI$25,FALSE))</f>
        <v>-</v>
      </c>
      <c r="AJ38" s="53" t="str">
        <f>IF($A38="-","-",VLOOKUP($A38,[3]Controle!$A$6:$BO$105,AJ$25,FALSE))</f>
        <v>-</v>
      </c>
      <c r="AK38" s="53" t="str">
        <f>IF($A38="-","-",VLOOKUP($A38,[3]Controle!$A$6:$BO$105,AK$25,FALSE))</f>
        <v>-</v>
      </c>
      <c r="AL38" s="53" t="str">
        <f>IF($A38="-","-",VLOOKUP($A38,[3]Controle!$A$6:$BO$105,AL$25,FALSE))</f>
        <v>-</v>
      </c>
      <c r="AM38" s="53" t="str">
        <f>IF($A38="-","-",VLOOKUP($A38,[3]Controle!$A$6:$BO$105,AM$25,FALSE))</f>
        <v>-</v>
      </c>
      <c r="AN38" s="53" t="str">
        <f>IF($A38="-","-",VLOOKUP($A38,[3]Controle!$A$6:$BO$105,AN$25,FALSE))</f>
        <v>-</v>
      </c>
      <c r="AO38" s="53" t="str">
        <f>IF($A38="-","-",VLOOKUP($A38,[3]Controle!$A$6:$BO$105,AO$25,FALSE))</f>
        <v>-</v>
      </c>
      <c r="AP38" s="53" t="str">
        <f>IF($A38="-","-",VLOOKUP($A38,[3]Controle!$A$6:$BO$105,AP$25,FALSE))</f>
        <v>-</v>
      </c>
      <c r="AQ38" s="53" t="str">
        <f>IF($A38="-","-",VLOOKUP($A38,[3]Controle!$A$6:$BO$105,AQ$25,FALSE))</f>
        <v>-</v>
      </c>
      <c r="AR38" s="53" t="str">
        <f>IF($A38="-","-",VLOOKUP($A38,[3]Controle!$A$6:$BO$105,AR$25,FALSE))</f>
        <v>-</v>
      </c>
      <c r="AS38" s="53" t="str">
        <f>IF($A38="-","-",VLOOKUP($A38,[3]Controle!$A$6:$BO$105,AS$25,FALSE))</f>
        <v>-</v>
      </c>
      <c r="AT38" s="53" t="str">
        <f>IF($A38="-","-",VLOOKUP($A38,[3]Controle!$A$6:$BO$105,AT$25,FALSE))</f>
        <v>-</v>
      </c>
      <c r="AU38" s="53" t="str">
        <f>IF($A38="-","-",VLOOKUP($A38,[3]Controle!$A$6:$BO$105,AU$25,FALSE))</f>
        <v>-</v>
      </c>
      <c r="AV38" s="53" t="str">
        <f>IF($A38="-","-",VLOOKUP($A38,[3]Controle!$A$6:$BO$105,AV$25,FALSE))</f>
        <v>-</v>
      </c>
      <c r="AW38" s="53" t="str">
        <f>IF($A38="-","-",VLOOKUP($A38,[3]Controle!$A$6:$BO$105,AW$25,FALSE))</f>
        <v>-</v>
      </c>
      <c r="AX38" s="53" t="str">
        <f>IF($A38="-","-",VLOOKUP($A38,[3]Controle!$A$6:$BO$105,AX$25,FALSE))</f>
        <v>-</v>
      </c>
      <c r="AY38" s="53" t="str">
        <f>IF($A38="-","-",VLOOKUP($A38,[3]Controle!$A$6:$BO$105,AY$25,FALSE))</f>
        <v>-</v>
      </c>
      <c r="AZ38" s="53" t="str">
        <f>IF($A38="-","-",VLOOKUP($A38,[3]Controle!$A$6:$BO$105,AZ$25,FALSE))</f>
        <v>-</v>
      </c>
      <c r="BA38" s="53" t="str">
        <f>IF($A38="-","-",VLOOKUP($A38,[3]Controle!$A$6:$BO$105,BA$25,FALSE))</f>
        <v>-</v>
      </c>
      <c r="BB38" s="53" t="str">
        <f>IF($A38="-","-",VLOOKUP($A38,[3]Controle!$A$6:$BO$105,BB$25,FALSE))</f>
        <v>-</v>
      </c>
      <c r="BC38" s="53" t="str">
        <f>IF($A38="-","-",VLOOKUP($A38,[3]Controle!$A$6:$BO$105,BC$25,FALSE))</f>
        <v>-</v>
      </c>
      <c r="BD38" s="53" t="str">
        <f>IF($A38="-","-",VLOOKUP($A38,[3]Controle!$A$6:$BO$105,BD$25,FALSE))</f>
        <v>-</v>
      </c>
      <c r="BE38" s="53" t="str">
        <f>IF($A38="-","-",VLOOKUP($A38,[3]Controle!$A$6:$BO$105,BE$25,FALSE))</f>
        <v>-</v>
      </c>
      <c r="BF38" s="53" t="str">
        <f>IF($A38="-","-",VLOOKUP($A38,[3]Controle!$A$6:$BO$105,BF$25,FALSE))</f>
        <v>-</v>
      </c>
      <c r="BG38" s="53" t="str">
        <f>IF($A38="-","-",VLOOKUP($A38,[3]Controle!$A$6:$BO$105,BG$25,FALSE))</f>
        <v>-</v>
      </c>
      <c r="BH38" s="53" t="str">
        <f>IF($A38="-","-",VLOOKUP($A38,[3]Controle!$A$6:$BO$105,BH$25,FALSE))</f>
        <v>-</v>
      </c>
      <c r="BI38" s="53" t="str">
        <f>IF($A38="-","-",VLOOKUP($A38,[3]Controle!$A$6:$BO$105,BI$25,FALSE))</f>
        <v>-</v>
      </c>
      <c r="BJ38" s="53" t="str">
        <f>IF($A38="-","-",VLOOKUP($A38,[3]Controle!$A$6:$BO$105,BJ$25,FALSE))</f>
        <v>-</v>
      </c>
      <c r="BK38" s="53" t="str">
        <f>IF($A38="-","-",VLOOKUP($A38,[3]Controle!$A$6:$BO$105,BK$25,FALSE))</f>
        <v>-</v>
      </c>
      <c r="BL38" s="53" t="str">
        <f>IF($A38="-","-",VLOOKUP($A38,[3]Controle!$A$6:$BO$105,BL$25,FALSE))</f>
        <v>-</v>
      </c>
      <c r="BM38" s="53" t="str">
        <f>IF($A38="-","-",VLOOKUP($A38,[3]Controle!$A$6:$BO$105,BM$25,FALSE))</f>
        <v>-</v>
      </c>
      <c r="BN38" s="53" t="str">
        <f>IF($A38="-","-",VLOOKUP($A38,[3]Controle!$A$6:$BO$105,BN$25,FALSE))</f>
        <v>-</v>
      </c>
      <c r="BO38" s="53" t="str">
        <f>IF($A38="-","-",VLOOKUP($A38,[3]Controle!$A$6:$BO$105,BO$25,FALSE))</f>
        <v>-</v>
      </c>
      <c r="CT38" s="41">
        <f>IF(CV38="-",0,MAX($CT$28:CT37)+1)</f>
        <v>0</v>
      </c>
      <c r="CU38" s="53" t="str">
        <f>IF(CW38="-","-",IF($G$1&lt;=I38,"VÁLIDO","VENCIDO"))</f>
        <v>-</v>
      </c>
      <c r="CV38" s="53" t="str">
        <f t="shared" si="13"/>
        <v>-</v>
      </c>
      <c r="CW38" s="53" t="str">
        <f t="shared" si="14"/>
        <v>-</v>
      </c>
      <c r="CY38" s="41" t="str">
        <f t="shared" si="15"/>
        <v>-</v>
      </c>
    </row>
    <row r="39" spans="1:103" x14ac:dyDescent="0.3">
      <c r="A39" s="56" t="s">
        <v>54</v>
      </c>
      <c r="B39" s="53" t="str">
        <f>IF($A39="-","-",VLOOKUP($A39,[3]Controle!$A$6:$BO$105,B$25,FALSE))</f>
        <v>-</v>
      </c>
      <c r="C39" s="53" t="str">
        <f>IF($A39="-","-",VLOOKUP($A39,[3]Controle!$A$6:$BO$105,C$25,FALSE))</f>
        <v>-</v>
      </c>
      <c r="D39" s="53" t="str">
        <f>IF($A39="-","-",VLOOKUP($A39,[3]Controle!$A$6:$BO$105,D$25,FALSE))</f>
        <v>-</v>
      </c>
      <c r="E39" s="53" t="str">
        <f>IF($A39="-","-",VLOOKUP($A39,[3]Controle!$A$6:$BO$105,E$25,FALSE))</f>
        <v>-</v>
      </c>
      <c r="F39" s="53" t="str">
        <f>IF($A39="-","-",VLOOKUP($A39,[3]Controle!$A$6:$BO$105,F$25,FALSE))</f>
        <v>-</v>
      </c>
      <c r="G39" s="53" t="str">
        <f>IF($A39="-","-",VLOOKUP($A39,[3]Controle!$A$6:$BO$105,G$25,FALSE))</f>
        <v>-</v>
      </c>
      <c r="H39" s="54" t="str">
        <f>IF($A39="-","-",VLOOKUP($A39,[3]Controle!$A$6:$BO$105,H$25,FALSE))</f>
        <v>-</v>
      </c>
      <c r="I39" s="55" t="str">
        <f>IF($A39="-","-",VLOOKUP($A39,[3]Controle!$A$6:$BO$105,I$25,FALSE))</f>
        <v>-</v>
      </c>
      <c r="J39" s="53" t="str">
        <f>IF($A39="-","-",VLOOKUP($A39,[3]Controle!$A$6:$BO$105,J$25,FALSE))</f>
        <v>-</v>
      </c>
      <c r="K39" s="53" t="str">
        <f>IF($A39="-","-",VLOOKUP($A39,[3]Controle!$A$6:$BO$105,K$25,FALSE))</f>
        <v>-</v>
      </c>
      <c r="L39" s="53" t="str">
        <f>IF($A39="-","-",VLOOKUP($A39,[3]Controle!$A$6:$BO$105,L$25,FALSE))</f>
        <v>-</v>
      </c>
      <c r="M39" s="53" t="str">
        <f>IF($A39="-","-",VLOOKUP($A39,[3]Controle!$A$6:$BO$105,M$25,FALSE))</f>
        <v>-</v>
      </c>
      <c r="N39" s="53" t="str">
        <f>IF($A39="-","-",VLOOKUP($A39,[3]Controle!$A$6:$BO$105,N$25,FALSE))</f>
        <v>-</v>
      </c>
      <c r="O39" s="53" t="str">
        <f>IF($A39="-","-",VLOOKUP($A39,[3]Controle!$A$6:$BO$105,O$25,FALSE))</f>
        <v>-</v>
      </c>
      <c r="P39" s="53" t="str">
        <f>IF($A39="-","-",VLOOKUP($A39,[3]Controle!$A$6:$BO$105,P$25,FALSE))</f>
        <v>-</v>
      </c>
      <c r="Q39" s="53" t="str">
        <f>IF($A39="-","-",VLOOKUP($A39,[3]Controle!$A$6:$BO$105,Q$25,FALSE))</f>
        <v>-</v>
      </c>
      <c r="R39" s="53" t="str">
        <f>IF($A39="-","-",VLOOKUP($A39,[3]Controle!$A$6:$BO$105,R$25,FALSE))</f>
        <v>-</v>
      </c>
      <c r="S39" s="53" t="str">
        <f>IF($A39="-","-",VLOOKUP($A39,[3]Controle!$A$6:$BO$105,S$25,FALSE))</f>
        <v>-</v>
      </c>
      <c r="T39" s="53" t="str">
        <f>IF($A39="-","-",VLOOKUP($A39,[3]Controle!$A$6:$BO$105,T$25,FALSE))</f>
        <v>-</v>
      </c>
      <c r="U39" s="53" t="str">
        <f>IF($A39="-","-",VLOOKUP($A39,[3]Controle!$A$6:$BO$105,U$25,FALSE))</f>
        <v>-</v>
      </c>
      <c r="V39" s="53" t="str">
        <f>IF($A39="-","-",VLOOKUP($A39,[3]Controle!$A$6:$BO$105,V$25,FALSE))</f>
        <v>-</v>
      </c>
      <c r="W39" s="53" t="str">
        <f>IF($A39="-","-",VLOOKUP($A39,[3]Controle!$A$6:$BO$105,W$25,FALSE))</f>
        <v>-</v>
      </c>
      <c r="X39" s="53" t="str">
        <f>IF($A39="-","-",VLOOKUP($A39,[3]Controle!$A$6:$BO$105,X$25,FALSE))</f>
        <v>-</v>
      </c>
      <c r="Y39" s="53" t="str">
        <f>IF($A39="-","-",VLOOKUP($A39,[3]Controle!$A$6:$BO$105,Y$25,FALSE))</f>
        <v>-</v>
      </c>
      <c r="Z39" s="53" t="str">
        <f>IF($A39="-","-",VLOOKUP($A39,[3]Controle!$A$6:$BO$105,Z$25,FALSE))</f>
        <v>-</v>
      </c>
      <c r="AA39" s="53" t="str">
        <f>IF($A39="-","-",VLOOKUP($A39,[3]Controle!$A$6:$BO$105,AA$25,FALSE))</f>
        <v>-</v>
      </c>
      <c r="AB39" s="53" t="str">
        <f>IF($A39="-","-",VLOOKUP($A39,[3]Controle!$A$6:$BO$105,AB$25,FALSE))</f>
        <v>-</v>
      </c>
      <c r="AC39" s="53" t="str">
        <f>IF($A39="-","-",VLOOKUP($A39,[3]Controle!$A$6:$BO$105,AC$25,FALSE))</f>
        <v>-</v>
      </c>
      <c r="AD39" s="53" t="str">
        <f>IF($A39="-","-",VLOOKUP($A39,[3]Controle!$A$6:$BO$105,AD$25,FALSE))</f>
        <v>-</v>
      </c>
      <c r="AE39" s="53" t="str">
        <f>IF($A39="-","-",VLOOKUP($A39,[3]Controle!$A$6:$BO$105,AE$25,FALSE))</f>
        <v>-</v>
      </c>
      <c r="AF39" s="53" t="str">
        <f>IF($A39="-","-",VLOOKUP($A39,[3]Controle!$A$6:$BO$105,AF$25,FALSE))</f>
        <v>-</v>
      </c>
      <c r="AG39" s="53" t="str">
        <f>IF($A39="-","-",VLOOKUP($A39,[3]Controle!$A$6:$BO$105,AG$25,FALSE))</f>
        <v>-</v>
      </c>
      <c r="AH39" s="53" t="str">
        <f>IF($A39="-","-",VLOOKUP($A39,[3]Controle!$A$6:$BO$105,AH$25,FALSE))</f>
        <v>-</v>
      </c>
      <c r="AI39" s="53" t="str">
        <f>IF($A39="-","-",VLOOKUP($A39,[3]Controle!$A$6:$BO$105,AI$25,FALSE))</f>
        <v>-</v>
      </c>
      <c r="AJ39" s="53" t="str">
        <f>IF($A39="-","-",VLOOKUP($A39,[3]Controle!$A$6:$BO$105,AJ$25,FALSE))</f>
        <v>-</v>
      </c>
      <c r="AK39" s="53" t="str">
        <f>IF($A39="-","-",VLOOKUP($A39,[3]Controle!$A$6:$BO$105,AK$25,FALSE))</f>
        <v>-</v>
      </c>
      <c r="AL39" s="53" t="str">
        <f>IF($A39="-","-",VLOOKUP($A39,[3]Controle!$A$6:$BO$105,AL$25,FALSE))</f>
        <v>-</v>
      </c>
      <c r="AM39" s="53" t="str">
        <f>IF($A39="-","-",VLOOKUP($A39,[3]Controle!$A$6:$BO$105,AM$25,FALSE))</f>
        <v>-</v>
      </c>
      <c r="AN39" s="53" t="str">
        <f>IF($A39="-","-",VLOOKUP($A39,[3]Controle!$A$6:$BO$105,AN$25,FALSE))</f>
        <v>-</v>
      </c>
      <c r="AO39" s="53" t="str">
        <f>IF($A39="-","-",VLOOKUP($A39,[3]Controle!$A$6:$BO$105,AO$25,FALSE))</f>
        <v>-</v>
      </c>
      <c r="AP39" s="53" t="str">
        <f>IF($A39="-","-",VLOOKUP($A39,[3]Controle!$A$6:$BO$105,AP$25,FALSE))</f>
        <v>-</v>
      </c>
      <c r="AQ39" s="53" t="str">
        <f>IF($A39="-","-",VLOOKUP($A39,[3]Controle!$A$6:$BO$105,AQ$25,FALSE))</f>
        <v>-</v>
      </c>
      <c r="AR39" s="53" t="str">
        <f>IF($A39="-","-",VLOOKUP($A39,[3]Controle!$A$6:$BO$105,AR$25,FALSE))</f>
        <v>-</v>
      </c>
      <c r="AS39" s="53" t="str">
        <f>IF($A39="-","-",VLOOKUP($A39,[3]Controle!$A$6:$BO$105,AS$25,FALSE))</f>
        <v>-</v>
      </c>
      <c r="AT39" s="53" t="str">
        <f>IF($A39="-","-",VLOOKUP($A39,[3]Controle!$A$6:$BO$105,AT$25,FALSE))</f>
        <v>-</v>
      </c>
      <c r="AU39" s="53" t="str">
        <f>IF($A39="-","-",VLOOKUP($A39,[3]Controle!$A$6:$BO$105,AU$25,FALSE))</f>
        <v>-</v>
      </c>
      <c r="AV39" s="53" t="str">
        <f>IF($A39="-","-",VLOOKUP($A39,[3]Controle!$A$6:$BO$105,AV$25,FALSE))</f>
        <v>-</v>
      </c>
      <c r="AW39" s="53" t="str">
        <f>IF($A39="-","-",VLOOKUP($A39,[3]Controle!$A$6:$BO$105,AW$25,FALSE))</f>
        <v>-</v>
      </c>
      <c r="AX39" s="53" t="str">
        <f>IF($A39="-","-",VLOOKUP($A39,[3]Controle!$A$6:$BO$105,AX$25,FALSE))</f>
        <v>-</v>
      </c>
      <c r="AY39" s="53" t="str">
        <f>IF($A39="-","-",VLOOKUP($A39,[3]Controle!$A$6:$BO$105,AY$25,FALSE))</f>
        <v>-</v>
      </c>
      <c r="AZ39" s="53" t="str">
        <f>IF($A39="-","-",VLOOKUP($A39,[3]Controle!$A$6:$BO$105,AZ$25,FALSE))</f>
        <v>-</v>
      </c>
      <c r="BA39" s="53" t="str">
        <f>IF($A39="-","-",VLOOKUP($A39,[3]Controle!$A$6:$BO$105,BA$25,FALSE))</f>
        <v>-</v>
      </c>
      <c r="BB39" s="53" t="str">
        <f>IF($A39="-","-",VLOOKUP($A39,[3]Controle!$A$6:$BO$105,BB$25,FALSE))</f>
        <v>-</v>
      </c>
      <c r="BC39" s="53" t="str">
        <f>IF($A39="-","-",VLOOKUP($A39,[3]Controle!$A$6:$BO$105,BC$25,FALSE))</f>
        <v>-</v>
      </c>
      <c r="BD39" s="53" t="str">
        <f>IF($A39="-","-",VLOOKUP($A39,[3]Controle!$A$6:$BO$105,BD$25,FALSE))</f>
        <v>-</v>
      </c>
      <c r="BE39" s="53" t="str">
        <f>IF($A39="-","-",VLOOKUP($A39,[3]Controle!$A$6:$BO$105,BE$25,FALSE))</f>
        <v>-</v>
      </c>
      <c r="BF39" s="53" t="str">
        <f>IF($A39="-","-",VLOOKUP($A39,[3]Controle!$A$6:$BO$105,BF$25,FALSE))</f>
        <v>-</v>
      </c>
      <c r="BG39" s="53" t="str">
        <f>IF($A39="-","-",VLOOKUP($A39,[3]Controle!$A$6:$BO$105,BG$25,FALSE))</f>
        <v>-</v>
      </c>
      <c r="BH39" s="53" t="str">
        <f>IF($A39="-","-",VLOOKUP($A39,[3]Controle!$A$6:$BO$105,BH$25,FALSE))</f>
        <v>-</v>
      </c>
      <c r="BI39" s="53" t="str">
        <f>IF($A39="-","-",VLOOKUP($A39,[3]Controle!$A$6:$BO$105,BI$25,FALSE))</f>
        <v>-</v>
      </c>
      <c r="BJ39" s="53" t="str">
        <f>IF($A39="-","-",VLOOKUP($A39,[3]Controle!$A$6:$BO$105,BJ$25,FALSE))</f>
        <v>-</v>
      </c>
      <c r="BK39" s="53" t="str">
        <f>IF($A39="-","-",VLOOKUP($A39,[3]Controle!$A$6:$BO$105,BK$25,FALSE))</f>
        <v>-</v>
      </c>
      <c r="BL39" s="53" t="str">
        <f>IF($A39="-","-",VLOOKUP($A39,[3]Controle!$A$6:$BO$105,BL$25,FALSE))</f>
        <v>-</v>
      </c>
      <c r="BM39" s="53" t="str">
        <f>IF($A39="-","-",VLOOKUP($A39,[3]Controle!$A$6:$BO$105,BM$25,FALSE))</f>
        <v>-</v>
      </c>
      <c r="BN39" s="53" t="str">
        <f>IF($A39="-","-",VLOOKUP($A39,[3]Controle!$A$6:$BO$105,BN$25,FALSE))</f>
        <v>-</v>
      </c>
      <c r="BO39" s="53" t="str">
        <f>IF($A39="-","-",VLOOKUP($A39,[3]Controle!$A$6:$BO$105,BO$25,FALSE))</f>
        <v>-</v>
      </c>
      <c r="CT39" s="41">
        <f>IF(CV39="-",0,MAX($CT$28:CT38)+1)</f>
        <v>0</v>
      </c>
      <c r="CU39" s="53" t="str">
        <f t="shared" ref="CU39:CU46" si="18">IF(CW39="-","-",IF($G$1&lt;=I39,"VÁLIDO","VENCIDO"))</f>
        <v>-</v>
      </c>
      <c r="CV39" s="53" t="str">
        <f t="shared" si="13"/>
        <v>-</v>
      </c>
      <c r="CW39" s="53" t="str">
        <f t="shared" ref="CW39:CW47" si="19">A39</f>
        <v>-</v>
      </c>
      <c r="CY39" s="41" t="str">
        <f t="shared" si="15"/>
        <v>-</v>
      </c>
    </row>
    <row r="40" spans="1:103" x14ac:dyDescent="0.3">
      <c r="A40" s="56" t="s">
        <v>54</v>
      </c>
      <c r="B40" s="53" t="str">
        <f>IF($A40="-","-",VLOOKUP($A40,[3]Controle!$A$6:$BO$105,B$25,FALSE))</f>
        <v>-</v>
      </c>
      <c r="C40" s="53" t="str">
        <f>IF($A40="-","-",VLOOKUP($A40,[3]Controle!$A$6:$BO$105,C$25,FALSE))</f>
        <v>-</v>
      </c>
      <c r="D40" s="53" t="str">
        <f>IF($A40="-","-",VLOOKUP($A40,[3]Controle!$A$6:$BO$105,D$25,FALSE))</f>
        <v>-</v>
      </c>
      <c r="E40" s="53" t="str">
        <f>IF($A40="-","-",VLOOKUP($A40,[3]Controle!$A$6:$BO$105,E$25,FALSE))</f>
        <v>-</v>
      </c>
      <c r="F40" s="53" t="str">
        <f>IF($A40="-","-",VLOOKUP($A40,[3]Controle!$A$6:$BO$105,F$25,FALSE))</f>
        <v>-</v>
      </c>
      <c r="G40" s="53" t="str">
        <f>IF($A40="-","-",VLOOKUP($A40,[3]Controle!$A$6:$BO$105,G$25,FALSE))</f>
        <v>-</v>
      </c>
      <c r="H40" s="54" t="str">
        <f>IF($A40="-","-",VLOOKUP($A40,[3]Controle!$A$6:$BO$105,H$25,FALSE))</f>
        <v>-</v>
      </c>
      <c r="I40" s="55" t="str">
        <f>IF($A40="-","-",VLOOKUP($A40,[3]Controle!$A$6:$BO$105,I$25,FALSE))</f>
        <v>-</v>
      </c>
      <c r="J40" s="53" t="str">
        <f>IF($A40="-","-",VLOOKUP($A40,[3]Controle!$A$6:$BO$105,J$25,FALSE))</f>
        <v>-</v>
      </c>
      <c r="K40" s="53" t="str">
        <f>IF($A40="-","-",VLOOKUP($A40,[3]Controle!$A$6:$BO$105,K$25,FALSE))</f>
        <v>-</v>
      </c>
      <c r="L40" s="53" t="str">
        <f>IF($A40="-","-",VLOOKUP($A40,[3]Controle!$A$6:$BO$105,L$25,FALSE))</f>
        <v>-</v>
      </c>
      <c r="M40" s="53" t="str">
        <f>IF($A40="-","-",VLOOKUP($A40,[3]Controle!$A$6:$BO$105,M$25,FALSE))</f>
        <v>-</v>
      </c>
      <c r="N40" s="53" t="str">
        <f>IF($A40="-","-",VLOOKUP($A40,[3]Controle!$A$6:$BO$105,N$25,FALSE))</f>
        <v>-</v>
      </c>
      <c r="O40" s="53" t="str">
        <f>IF($A40="-","-",VLOOKUP($A40,[3]Controle!$A$6:$BO$105,O$25,FALSE))</f>
        <v>-</v>
      </c>
      <c r="P40" s="53" t="str">
        <f>IF($A40="-","-",VLOOKUP($A40,[3]Controle!$A$6:$BO$105,P$25,FALSE))</f>
        <v>-</v>
      </c>
      <c r="Q40" s="53" t="str">
        <f>IF($A40="-","-",VLOOKUP($A40,[3]Controle!$A$6:$BO$105,Q$25,FALSE))</f>
        <v>-</v>
      </c>
      <c r="R40" s="53" t="str">
        <f>IF($A40="-","-",VLOOKUP($A40,[3]Controle!$A$6:$BO$105,R$25,FALSE))</f>
        <v>-</v>
      </c>
      <c r="S40" s="53" t="str">
        <f>IF($A40="-","-",VLOOKUP($A40,[3]Controle!$A$6:$BO$105,S$25,FALSE))</f>
        <v>-</v>
      </c>
      <c r="T40" s="53" t="str">
        <f>IF($A40="-","-",VLOOKUP($A40,[3]Controle!$A$6:$BO$105,T$25,FALSE))</f>
        <v>-</v>
      </c>
      <c r="U40" s="53" t="str">
        <f>IF($A40="-","-",VLOOKUP($A40,[3]Controle!$A$6:$BO$105,U$25,FALSE))</f>
        <v>-</v>
      </c>
      <c r="V40" s="53" t="str">
        <f>IF($A40="-","-",VLOOKUP($A40,[3]Controle!$A$6:$BO$105,V$25,FALSE))</f>
        <v>-</v>
      </c>
      <c r="W40" s="53" t="str">
        <f>IF($A40="-","-",VLOOKUP($A40,[3]Controle!$A$6:$BO$105,W$25,FALSE))</f>
        <v>-</v>
      </c>
      <c r="X40" s="53" t="str">
        <f>IF($A40="-","-",VLOOKUP($A40,[3]Controle!$A$6:$BO$105,X$25,FALSE))</f>
        <v>-</v>
      </c>
      <c r="Y40" s="53" t="str">
        <f>IF($A40="-","-",VLOOKUP($A40,[3]Controle!$A$6:$BO$105,Y$25,FALSE))</f>
        <v>-</v>
      </c>
      <c r="Z40" s="53" t="str">
        <f>IF($A40="-","-",VLOOKUP($A40,[3]Controle!$A$6:$BO$105,Z$25,FALSE))</f>
        <v>-</v>
      </c>
      <c r="AA40" s="53" t="str">
        <f>IF($A40="-","-",VLOOKUP($A40,[3]Controle!$A$6:$BO$105,AA$25,FALSE))</f>
        <v>-</v>
      </c>
      <c r="AB40" s="53" t="str">
        <f>IF($A40="-","-",VLOOKUP($A40,[3]Controle!$A$6:$BO$105,AB$25,FALSE))</f>
        <v>-</v>
      </c>
      <c r="AC40" s="53" t="str">
        <f>IF($A40="-","-",VLOOKUP($A40,[3]Controle!$A$6:$BO$105,AC$25,FALSE))</f>
        <v>-</v>
      </c>
      <c r="AD40" s="53" t="str">
        <f>IF($A40="-","-",VLOOKUP($A40,[3]Controle!$A$6:$BO$105,AD$25,FALSE))</f>
        <v>-</v>
      </c>
      <c r="AE40" s="53" t="str">
        <f>IF($A40="-","-",VLOOKUP($A40,[3]Controle!$A$6:$BO$105,AE$25,FALSE))</f>
        <v>-</v>
      </c>
      <c r="AF40" s="53" t="str">
        <f>IF($A40="-","-",VLOOKUP($A40,[3]Controle!$A$6:$BO$105,AF$25,FALSE))</f>
        <v>-</v>
      </c>
      <c r="AG40" s="53" t="str">
        <f>IF($A40="-","-",VLOOKUP($A40,[3]Controle!$A$6:$BO$105,AG$25,FALSE))</f>
        <v>-</v>
      </c>
      <c r="AH40" s="53" t="str">
        <f>IF($A40="-","-",VLOOKUP($A40,[3]Controle!$A$6:$BO$105,AH$25,FALSE))</f>
        <v>-</v>
      </c>
      <c r="AI40" s="53" t="str">
        <f>IF($A40="-","-",VLOOKUP($A40,[3]Controle!$A$6:$BO$105,AI$25,FALSE))</f>
        <v>-</v>
      </c>
      <c r="AJ40" s="53" t="str">
        <f>IF($A40="-","-",VLOOKUP($A40,[3]Controle!$A$6:$BO$105,AJ$25,FALSE))</f>
        <v>-</v>
      </c>
      <c r="AK40" s="53" t="str">
        <f>IF($A40="-","-",VLOOKUP($A40,[3]Controle!$A$6:$BO$105,AK$25,FALSE))</f>
        <v>-</v>
      </c>
      <c r="AL40" s="53" t="str">
        <f>IF($A40="-","-",VLOOKUP($A40,[3]Controle!$A$6:$BO$105,AL$25,FALSE))</f>
        <v>-</v>
      </c>
      <c r="AM40" s="53" t="str">
        <f>IF($A40="-","-",VLOOKUP($A40,[3]Controle!$A$6:$BO$105,AM$25,FALSE))</f>
        <v>-</v>
      </c>
      <c r="AN40" s="53" t="str">
        <f>IF($A40="-","-",VLOOKUP($A40,[3]Controle!$A$6:$BO$105,AN$25,FALSE))</f>
        <v>-</v>
      </c>
      <c r="AO40" s="53" t="str">
        <f>IF($A40="-","-",VLOOKUP($A40,[3]Controle!$A$6:$BO$105,AO$25,FALSE))</f>
        <v>-</v>
      </c>
      <c r="AP40" s="53" t="str">
        <f>IF($A40="-","-",VLOOKUP($A40,[3]Controle!$A$6:$BO$105,AP$25,FALSE))</f>
        <v>-</v>
      </c>
      <c r="AQ40" s="53" t="str">
        <f>IF($A40="-","-",VLOOKUP($A40,[3]Controle!$A$6:$BO$105,AQ$25,FALSE))</f>
        <v>-</v>
      </c>
      <c r="AR40" s="53" t="str">
        <f>IF($A40="-","-",VLOOKUP($A40,[3]Controle!$A$6:$BO$105,AR$25,FALSE))</f>
        <v>-</v>
      </c>
      <c r="AS40" s="53" t="str">
        <f>IF($A40="-","-",VLOOKUP($A40,[3]Controle!$A$6:$BO$105,AS$25,FALSE))</f>
        <v>-</v>
      </c>
      <c r="AT40" s="53" t="str">
        <f>IF($A40="-","-",VLOOKUP($A40,[3]Controle!$A$6:$BO$105,AT$25,FALSE))</f>
        <v>-</v>
      </c>
      <c r="AU40" s="53" t="str">
        <f>IF($A40="-","-",VLOOKUP($A40,[3]Controle!$A$6:$BO$105,AU$25,FALSE))</f>
        <v>-</v>
      </c>
      <c r="AV40" s="53" t="str">
        <f>IF($A40="-","-",VLOOKUP($A40,[3]Controle!$A$6:$BO$105,AV$25,FALSE))</f>
        <v>-</v>
      </c>
      <c r="AW40" s="53" t="str">
        <f>IF($A40="-","-",VLOOKUP($A40,[3]Controle!$A$6:$BO$105,AW$25,FALSE))</f>
        <v>-</v>
      </c>
      <c r="AX40" s="53" t="str">
        <f>IF($A40="-","-",VLOOKUP($A40,[3]Controle!$A$6:$BO$105,AX$25,FALSE))</f>
        <v>-</v>
      </c>
      <c r="AY40" s="53" t="str">
        <f>IF($A40="-","-",VLOOKUP($A40,[3]Controle!$A$6:$BO$105,AY$25,FALSE))</f>
        <v>-</v>
      </c>
      <c r="AZ40" s="53" t="str">
        <f>IF($A40="-","-",VLOOKUP($A40,[3]Controle!$A$6:$BO$105,AZ$25,FALSE))</f>
        <v>-</v>
      </c>
      <c r="BA40" s="53" t="str">
        <f>IF($A40="-","-",VLOOKUP($A40,[3]Controle!$A$6:$BO$105,BA$25,FALSE))</f>
        <v>-</v>
      </c>
      <c r="BB40" s="53" t="str">
        <f>IF($A40="-","-",VLOOKUP($A40,[3]Controle!$A$6:$BO$105,BB$25,FALSE))</f>
        <v>-</v>
      </c>
      <c r="BC40" s="53" t="str">
        <f>IF($A40="-","-",VLOOKUP($A40,[3]Controle!$A$6:$BO$105,BC$25,FALSE))</f>
        <v>-</v>
      </c>
      <c r="BD40" s="53" t="str">
        <f>IF($A40="-","-",VLOOKUP($A40,[3]Controle!$A$6:$BO$105,BD$25,FALSE))</f>
        <v>-</v>
      </c>
      <c r="BE40" s="53" t="str">
        <f>IF($A40="-","-",VLOOKUP($A40,[3]Controle!$A$6:$BO$105,BE$25,FALSE))</f>
        <v>-</v>
      </c>
      <c r="BF40" s="53" t="str">
        <f>IF($A40="-","-",VLOOKUP($A40,[3]Controle!$A$6:$BO$105,BF$25,FALSE))</f>
        <v>-</v>
      </c>
      <c r="BG40" s="53" t="str">
        <f>IF($A40="-","-",VLOOKUP($A40,[3]Controle!$A$6:$BO$105,BG$25,FALSE))</f>
        <v>-</v>
      </c>
      <c r="BH40" s="53" t="str">
        <f>IF($A40="-","-",VLOOKUP($A40,[3]Controle!$A$6:$BO$105,BH$25,FALSE))</f>
        <v>-</v>
      </c>
      <c r="BI40" s="53" t="str">
        <f>IF($A40="-","-",VLOOKUP($A40,[3]Controle!$A$6:$BO$105,BI$25,FALSE))</f>
        <v>-</v>
      </c>
      <c r="BJ40" s="53" t="str">
        <f>IF($A40="-","-",VLOOKUP($A40,[3]Controle!$A$6:$BO$105,BJ$25,FALSE))</f>
        <v>-</v>
      </c>
      <c r="BK40" s="53" t="str">
        <f>IF($A40="-","-",VLOOKUP($A40,[3]Controle!$A$6:$BO$105,BK$25,FALSE))</f>
        <v>-</v>
      </c>
      <c r="BL40" s="53" t="str">
        <f>IF($A40="-","-",VLOOKUP($A40,[3]Controle!$A$6:$BO$105,BL$25,FALSE))</f>
        <v>-</v>
      </c>
      <c r="BM40" s="53" t="str">
        <f>IF($A40="-","-",VLOOKUP($A40,[3]Controle!$A$6:$BO$105,BM$25,FALSE))</f>
        <v>-</v>
      </c>
      <c r="BN40" s="53" t="str">
        <f>IF($A40="-","-",VLOOKUP($A40,[3]Controle!$A$6:$BO$105,BN$25,FALSE))</f>
        <v>-</v>
      </c>
      <c r="BO40" s="53" t="str">
        <f>IF($A40="-","-",VLOOKUP($A40,[3]Controle!$A$6:$BO$105,BO$25,FALSE))</f>
        <v>-</v>
      </c>
      <c r="CT40" s="41">
        <f>IF(CV40="-",0,MAX($CT$28:CT39)+1)</f>
        <v>0</v>
      </c>
      <c r="CU40" s="53" t="str">
        <f t="shared" si="18"/>
        <v>-</v>
      </c>
      <c r="CV40" s="53" t="str">
        <f t="shared" si="13"/>
        <v>-</v>
      </c>
      <c r="CW40" s="53" t="str">
        <f t="shared" si="19"/>
        <v>-</v>
      </c>
      <c r="CY40" s="41" t="str">
        <f t="shared" si="15"/>
        <v>-</v>
      </c>
    </row>
    <row r="41" spans="1:103" x14ac:dyDescent="0.3">
      <c r="A41" s="56" t="s">
        <v>54</v>
      </c>
      <c r="B41" s="53" t="str">
        <f>IF($A41="-","-",VLOOKUP($A41,[3]Controle!$A$6:$BO$105,B$25,FALSE))</f>
        <v>-</v>
      </c>
      <c r="C41" s="53" t="str">
        <f>IF($A41="-","-",VLOOKUP($A41,[3]Controle!$A$6:$BO$105,C$25,FALSE))</f>
        <v>-</v>
      </c>
      <c r="D41" s="53" t="str">
        <f>IF($A41="-","-",VLOOKUP($A41,[3]Controle!$A$6:$BO$105,D$25,FALSE))</f>
        <v>-</v>
      </c>
      <c r="E41" s="53" t="str">
        <f>IF($A41="-","-",VLOOKUP($A41,[3]Controle!$A$6:$BO$105,E$25,FALSE))</f>
        <v>-</v>
      </c>
      <c r="F41" s="53" t="str">
        <f>IF($A41="-","-",VLOOKUP($A41,[3]Controle!$A$6:$BO$105,F$25,FALSE))</f>
        <v>-</v>
      </c>
      <c r="G41" s="53" t="str">
        <f>IF($A41="-","-",VLOOKUP($A41,[3]Controle!$A$6:$BO$105,G$25,FALSE))</f>
        <v>-</v>
      </c>
      <c r="H41" s="54" t="str">
        <f>IF($A41="-","-",VLOOKUP($A41,[3]Controle!$A$6:$BO$105,H$25,FALSE))</f>
        <v>-</v>
      </c>
      <c r="I41" s="55" t="str">
        <f>IF($A41="-","-",VLOOKUP($A41,[3]Controle!$A$6:$BO$105,I$25,FALSE))</f>
        <v>-</v>
      </c>
      <c r="J41" s="53" t="str">
        <f>IF($A41="-","-",VLOOKUP($A41,[3]Controle!$A$6:$BO$105,J$25,FALSE))</f>
        <v>-</v>
      </c>
      <c r="K41" s="53" t="str">
        <f>IF($A41="-","-",VLOOKUP($A41,[3]Controle!$A$6:$BO$105,K$25,FALSE))</f>
        <v>-</v>
      </c>
      <c r="L41" s="53" t="str">
        <f>IF($A41="-","-",VLOOKUP($A41,[3]Controle!$A$6:$BO$105,L$25,FALSE))</f>
        <v>-</v>
      </c>
      <c r="M41" s="53" t="str">
        <f>IF($A41="-","-",VLOOKUP($A41,[3]Controle!$A$6:$BO$105,M$25,FALSE))</f>
        <v>-</v>
      </c>
      <c r="N41" s="53" t="str">
        <f>IF($A41="-","-",VLOOKUP($A41,[3]Controle!$A$6:$BO$105,N$25,FALSE))</f>
        <v>-</v>
      </c>
      <c r="O41" s="53" t="str">
        <f>IF($A41="-","-",VLOOKUP($A41,[3]Controle!$A$6:$BO$105,O$25,FALSE))</f>
        <v>-</v>
      </c>
      <c r="P41" s="53" t="str">
        <f>IF($A41="-","-",VLOOKUP($A41,[3]Controle!$A$6:$BO$105,P$25,FALSE))</f>
        <v>-</v>
      </c>
      <c r="Q41" s="53" t="str">
        <f>IF($A41="-","-",VLOOKUP($A41,[3]Controle!$A$6:$BO$105,Q$25,FALSE))</f>
        <v>-</v>
      </c>
      <c r="R41" s="53" t="str">
        <f>IF($A41="-","-",VLOOKUP($A41,[3]Controle!$A$6:$BO$105,R$25,FALSE))</f>
        <v>-</v>
      </c>
      <c r="S41" s="53" t="str">
        <f>IF($A41="-","-",VLOOKUP($A41,[3]Controle!$A$6:$BO$105,S$25,FALSE))</f>
        <v>-</v>
      </c>
      <c r="T41" s="53" t="str">
        <f>IF($A41="-","-",VLOOKUP($A41,[3]Controle!$A$6:$BO$105,T$25,FALSE))</f>
        <v>-</v>
      </c>
      <c r="U41" s="53" t="str">
        <f>IF($A41="-","-",VLOOKUP($A41,[3]Controle!$A$6:$BO$105,U$25,FALSE))</f>
        <v>-</v>
      </c>
      <c r="V41" s="53" t="str">
        <f>IF($A41="-","-",VLOOKUP($A41,[3]Controle!$A$6:$BO$105,V$25,FALSE))</f>
        <v>-</v>
      </c>
      <c r="W41" s="53" t="str">
        <f>IF($A41="-","-",VLOOKUP($A41,[3]Controle!$A$6:$BO$105,W$25,FALSE))</f>
        <v>-</v>
      </c>
      <c r="X41" s="53" t="str">
        <f>IF($A41="-","-",VLOOKUP($A41,[3]Controle!$A$6:$BO$105,X$25,FALSE))</f>
        <v>-</v>
      </c>
      <c r="Y41" s="53" t="str">
        <f>IF($A41="-","-",VLOOKUP($A41,[3]Controle!$A$6:$BO$105,Y$25,FALSE))</f>
        <v>-</v>
      </c>
      <c r="Z41" s="53" t="str">
        <f>IF($A41="-","-",VLOOKUP($A41,[3]Controle!$A$6:$BO$105,Z$25,FALSE))</f>
        <v>-</v>
      </c>
      <c r="AA41" s="53" t="str">
        <f>IF($A41="-","-",VLOOKUP($A41,[3]Controle!$A$6:$BO$105,AA$25,FALSE))</f>
        <v>-</v>
      </c>
      <c r="AB41" s="53" t="str">
        <f>IF($A41="-","-",VLOOKUP($A41,[3]Controle!$A$6:$BO$105,AB$25,FALSE))</f>
        <v>-</v>
      </c>
      <c r="AC41" s="53" t="str">
        <f>IF($A41="-","-",VLOOKUP($A41,[3]Controle!$A$6:$BO$105,AC$25,FALSE))</f>
        <v>-</v>
      </c>
      <c r="AD41" s="53" t="str">
        <f>IF($A41="-","-",VLOOKUP($A41,[3]Controle!$A$6:$BO$105,AD$25,FALSE))</f>
        <v>-</v>
      </c>
      <c r="AE41" s="53" t="str">
        <f>IF($A41="-","-",VLOOKUP($A41,[3]Controle!$A$6:$BO$105,AE$25,FALSE))</f>
        <v>-</v>
      </c>
      <c r="AF41" s="53" t="str">
        <f>IF($A41="-","-",VLOOKUP($A41,[3]Controle!$A$6:$BO$105,AF$25,FALSE))</f>
        <v>-</v>
      </c>
      <c r="AG41" s="53" t="str">
        <f>IF($A41="-","-",VLOOKUP($A41,[3]Controle!$A$6:$BO$105,AG$25,FALSE))</f>
        <v>-</v>
      </c>
      <c r="AH41" s="53" t="str">
        <f>IF($A41="-","-",VLOOKUP($A41,[3]Controle!$A$6:$BO$105,AH$25,FALSE))</f>
        <v>-</v>
      </c>
      <c r="AI41" s="53" t="str">
        <f>IF($A41="-","-",VLOOKUP($A41,[3]Controle!$A$6:$BO$105,AI$25,FALSE))</f>
        <v>-</v>
      </c>
      <c r="AJ41" s="53" t="str">
        <f>IF($A41="-","-",VLOOKUP($A41,[3]Controle!$A$6:$BO$105,AJ$25,FALSE))</f>
        <v>-</v>
      </c>
      <c r="AK41" s="53" t="str">
        <f>IF($A41="-","-",VLOOKUP($A41,[3]Controle!$A$6:$BO$105,AK$25,FALSE))</f>
        <v>-</v>
      </c>
      <c r="AL41" s="53" t="str">
        <f>IF($A41="-","-",VLOOKUP($A41,[3]Controle!$A$6:$BO$105,AL$25,FALSE))</f>
        <v>-</v>
      </c>
      <c r="AM41" s="53" t="str">
        <f>IF($A41="-","-",VLOOKUP($A41,[3]Controle!$A$6:$BO$105,AM$25,FALSE))</f>
        <v>-</v>
      </c>
      <c r="AN41" s="53" t="str">
        <f>IF($A41="-","-",VLOOKUP($A41,[3]Controle!$A$6:$BO$105,AN$25,FALSE))</f>
        <v>-</v>
      </c>
      <c r="AO41" s="53" t="str">
        <f>IF($A41="-","-",VLOOKUP($A41,[3]Controle!$A$6:$BO$105,AO$25,FALSE))</f>
        <v>-</v>
      </c>
      <c r="AP41" s="53" t="str">
        <f>IF($A41="-","-",VLOOKUP($A41,[3]Controle!$A$6:$BO$105,AP$25,FALSE))</f>
        <v>-</v>
      </c>
      <c r="AQ41" s="53" t="str">
        <f>IF($A41="-","-",VLOOKUP($A41,[3]Controle!$A$6:$BO$105,AQ$25,FALSE))</f>
        <v>-</v>
      </c>
      <c r="AR41" s="53" t="str">
        <f>IF($A41="-","-",VLOOKUP($A41,[3]Controle!$A$6:$BO$105,AR$25,FALSE))</f>
        <v>-</v>
      </c>
      <c r="AS41" s="53" t="str">
        <f>IF($A41="-","-",VLOOKUP($A41,[3]Controle!$A$6:$BO$105,AS$25,FALSE))</f>
        <v>-</v>
      </c>
      <c r="AT41" s="53" t="str">
        <f>IF($A41="-","-",VLOOKUP($A41,[3]Controle!$A$6:$BO$105,AT$25,FALSE))</f>
        <v>-</v>
      </c>
      <c r="AU41" s="53" t="str">
        <f>IF($A41="-","-",VLOOKUP($A41,[3]Controle!$A$6:$BO$105,AU$25,FALSE))</f>
        <v>-</v>
      </c>
      <c r="AV41" s="53" t="str">
        <f>IF($A41="-","-",VLOOKUP($A41,[3]Controle!$A$6:$BO$105,AV$25,FALSE))</f>
        <v>-</v>
      </c>
      <c r="AW41" s="53" t="str">
        <f>IF($A41="-","-",VLOOKUP($A41,[3]Controle!$A$6:$BO$105,AW$25,FALSE))</f>
        <v>-</v>
      </c>
      <c r="AX41" s="53" t="str">
        <f>IF($A41="-","-",VLOOKUP($A41,[3]Controle!$A$6:$BO$105,AX$25,FALSE))</f>
        <v>-</v>
      </c>
      <c r="AY41" s="53" t="str">
        <f>IF($A41="-","-",VLOOKUP($A41,[3]Controle!$A$6:$BO$105,AY$25,FALSE))</f>
        <v>-</v>
      </c>
      <c r="AZ41" s="53" t="str">
        <f>IF($A41="-","-",VLOOKUP($A41,[3]Controle!$A$6:$BO$105,AZ$25,FALSE))</f>
        <v>-</v>
      </c>
      <c r="BA41" s="53" t="str">
        <f>IF($A41="-","-",VLOOKUP($A41,[3]Controle!$A$6:$BO$105,BA$25,FALSE))</f>
        <v>-</v>
      </c>
      <c r="BB41" s="53" t="str">
        <f>IF($A41="-","-",VLOOKUP($A41,[3]Controle!$A$6:$BO$105,BB$25,FALSE))</f>
        <v>-</v>
      </c>
      <c r="BC41" s="53" t="str">
        <f>IF($A41="-","-",VLOOKUP($A41,[3]Controle!$A$6:$BO$105,BC$25,FALSE))</f>
        <v>-</v>
      </c>
      <c r="BD41" s="53" t="str">
        <f>IF($A41="-","-",VLOOKUP($A41,[3]Controle!$A$6:$BO$105,BD$25,FALSE))</f>
        <v>-</v>
      </c>
      <c r="BE41" s="53" t="str">
        <f>IF($A41="-","-",VLOOKUP($A41,[3]Controle!$A$6:$BO$105,BE$25,FALSE))</f>
        <v>-</v>
      </c>
      <c r="BF41" s="53" t="str">
        <f>IF($A41="-","-",VLOOKUP($A41,[3]Controle!$A$6:$BO$105,BF$25,FALSE))</f>
        <v>-</v>
      </c>
      <c r="BG41" s="53" t="str">
        <f>IF($A41="-","-",VLOOKUP($A41,[3]Controle!$A$6:$BO$105,BG$25,FALSE))</f>
        <v>-</v>
      </c>
      <c r="BH41" s="53" t="str">
        <f>IF($A41="-","-",VLOOKUP($A41,[3]Controle!$A$6:$BO$105,BH$25,FALSE))</f>
        <v>-</v>
      </c>
      <c r="BI41" s="53" t="str">
        <f>IF($A41="-","-",VLOOKUP($A41,[3]Controle!$A$6:$BO$105,BI$25,FALSE))</f>
        <v>-</v>
      </c>
      <c r="BJ41" s="53" t="str">
        <f>IF($A41="-","-",VLOOKUP($A41,[3]Controle!$A$6:$BO$105,BJ$25,FALSE))</f>
        <v>-</v>
      </c>
      <c r="BK41" s="53" t="str">
        <f>IF($A41="-","-",VLOOKUP($A41,[3]Controle!$A$6:$BO$105,BK$25,FALSE))</f>
        <v>-</v>
      </c>
      <c r="BL41" s="53" t="str">
        <f>IF($A41="-","-",VLOOKUP($A41,[3]Controle!$A$6:$BO$105,BL$25,FALSE))</f>
        <v>-</v>
      </c>
      <c r="BM41" s="53" t="str">
        <f>IF($A41="-","-",VLOOKUP($A41,[3]Controle!$A$6:$BO$105,BM$25,FALSE))</f>
        <v>-</v>
      </c>
      <c r="BN41" s="53" t="str">
        <f>IF($A41="-","-",VLOOKUP($A41,[3]Controle!$A$6:$BO$105,BN$25,FALSE))</f>
        <v>-</v>
      </c>
      <c r="BO41" s="53" t="str">
        <f>IF($A41="-","-",VLOOKUP($A41,[3]Controle!$A$6:$BO$105,BO$25,FALSE))</f>
        <v>-</v>
      </c>
      <c r="CT41" s="41">
        <f>IF(CV41="-",0,MAX($CT$28:CT40)+1)</f>
        <v>0</v>
      </c>
      <c r="CU41" s="53" t="str">
        <f t="shared" si="18"/>
        <v>-</v>
      </c>
      <c r="CV41" s="53" t="str">
        <f t="shared" si="13"/>
        <v>-</v>
      </c>
      <c r="CW41" s="53" t="str">
        <f t="shared" si="19"/>
        <v>-</v>
      </c>
      <c r="CY41" s="41" t="str">
        <f t="shared" si="15"/>
        <v>-</v>
      </c>
    </row>
    <row r="42" spans="1:103" x14ac:dyDescent="0.3">
      <c r="A42" s="56" t="s">
        <v>54</v>
      </c>
      <c r="B42" s="53" t="str">
        <f>IF($A42="-","-",VLOOKUP($A42,[3]Controle!$A$6:$BO$105,B$25,FALSE))</f>
        <v>-</v>
      </c>
      <c r="C42" s="53" t="str">
        <f>IF($A42="-","-",VLOOKUP($A42,[3]Controle!$A$6:$BO$105,C$25,FALSE))</f>
        <v>-</v>
      </c>
      <c r="D42" s="53" t="str">
        <f>IF($A42="-","-",VLOOKUP($A42,[3]Controle!$A$6:$BO$105,D$25,FALSE))</f>
        <v>-</v>
      </c>
      <c r="E42" s="53" t="str">
        <f>IF($A42="-","-",VLOOKUP($A42,[3]Controle!$A$6:$BO$105,E$25,FALSE))</f>
        <v>-</v>
      </c>
      <c r="F42" s="53" t="str">
        <f>IF($A42="-","-",VLOOKUP($A42,[3]Controle!$A$6:$BO$105,F$25,FALSE))</f>
        <v>-</v>
      </c>
      <c r="G42" s="53" t="str">
        <f>IF($A42="-","-",VLOOKUP($A42,[3]Controle!$A$6:$BO$105,G$25,FALSE))</f>
        <v>-</v>
      </c>
      <c r="H42" s="54" t="str">
        <f>IF($A42="-","-",VLOOKUP($A42,[3]Controle!$A$6:$BO$105,H$25,FALSE))</f>
        <v>-</v>
      </c>
      <c r="I42" s="55" t="str">
        <f>IF($A42="-","-",VLOOKUP($A42,[3]Controle!$A$6:$BO$105,I$25,FALSE))</f>
        <v>-</v>
      </c>
      <c r="J42" s="53" t="str">
        <f>IF($A42="-","-",VLOOKUP($A42,[3]Controle!$A$6:$BO$105,J$25,FALSE))</f>
        <v>-</v>
      </c>
      <c r="K42" s="53" t="str">
        <f>IF($A42="-","-",VLOOKUP($A42,[3]Controle!$A$6:$BO$105,K$25,FALSE))</f>
        <v>-</v>
      </c>
      <c r="L42" s="53" t="str">
        <f>IF($A42="-","-",VLOOKUP($A42,[3]Controle!$A$6:$BO$105,L$25,FALSE))</f>
        <v>-</v>
      </c>
      <c r="M42" s="53" t="str">
        <f>IF($A42="-","-",VLOOKUP($A42,[3]Controle!$A$6:$BO$105,M$25,FALSE))</f>
        <v>-</v>
      </c>
      <c r="N42" s="53" t="str">
        <f>IF($A42="-","-",VLOOKUP($A42,[3]Controle!$A$6:$BO$105,N$25,FALSE))</f>
        <v>-</v>
      </c>
      <c r="O42" s="53" t="str">
        <f>IF($A42="-","-",VLOOKUP($A42,[3]Controle!$A$6:$BO$105,O$25,FALSE))</f>
        <v>-</v>
      </c>
      <c r="P42" s="53" t="str">
        <f>IF($A42="-","-",VLOOKUP($A42,[3]Controle!$A$6:$BO$105,P$25,FALSE))</f>
        <v>-</v>
      </c>
      <c r="Q42" s="53" t="str">
        <f>IF($A42="-","-",VLOOKUP($A42,[3]Controle!$A$6:$BO$105,Q$25,FALSE))</f>
        <v>-</v>
      </c>
      <c r="R42" s="53" t="str">
        <f>IF($A42="-","-",VLOOKUP($A42,[3]Controle!$A$6:$BO$105,R$25,FALSE))</f>
        <v>-</v>
      </c>
      <c r="S42" s="53" t="str">
        <f>IF($A42="-","-",VLOOKUP($A42,[3]Controle!$A$6:$BO$105,S$25,FALSE))</f>
        <v>-</v>
      </c>
      <c r="T42" s="53" t="str">
        <f>IF($A42="-","-",VLOOKUP($A42,[3]Controle!$A$6:$BO$105,T$25,FALSE))</f>
        <v>-</v>
      </c>
      <c r="U42" s="53" t="str">
        <f>IF($A42="-","-",VLOOKUP($A42,[3]Controle!$A$6:$BO$105,U$25,FALSE))</f>
        <v>-</v>
      </c>
      <c r="V42" s="53" t="str">
        <f>IF($A42="-","-",VLOOKUP($A42,[3]Controle!$A$6:$BO$105,V$25,FALSE))</f>
        <v>-</v>
      </c>
      <c r="W42" s="53" t="str">
        <f>IF($A42="-","-",VLOOKUP($A42,[3]Controle!$A$6:$BO$105,W$25,FALSE))</f>
        <v>-</v>
      </c>
      <c r="X42" s="53" t="str">
        <f>IF($A42="-","-",VLOOKUP($A42,[3]Controle!$A$6:$BO$105,X$25,FALSE))</f>
        <v>-</v>
      </c>
      <c r="Y42" s="53" t="str">
        <f>IF($A42="-","-",VLOOKUP($A42,[3]Controle!$A$6:$BO$105,Y$25,FALSE))</f>
        <v>-</v>
      </c>
      <c r="Z42" s="53" t="str">
        <f>IF($A42="-","-",VLOOKUP($A42,[3]Controle!$A$6:$BO$105,Z$25,FALSE))</f>
        <v>-</v>
      </c>
      <c r="AA42" s="53" t="str">
        <f>IF($A42="-","-",VLOOKUP($A42,[3]Controle!$A$6:$BO$105,AA$25,FALSE))</f>
        <v>-</v>
      </c>
      <c r="AB42" s="53" t="str">
        <f>IF($A42="-","-",VLOOKUP($A42,[3]Controle!$A$6:$BO$105,AB$25,FALSE))</f>
        <v>-</v>
      </c>
      <c r="AC42" s="53" t="str">
        <f>IF($A42="-","-",VLOOKUP($A42,[3]Controle!$A$6:$BO$105,AC$25,FALSE))</f>
        <v>-</v>
      </c>
      <c r="AD42" s="53" t="str">
        <f>IF($A42="-","-",VLOOKUP($A42,[3]Controle!$A$6:$BO$105,AD$25,FALSE))</f>
        <v>-</v>
      </c>
      <c r="AE42" s="53" t="str">
        <f>IF($A42="-","-",VLOOKUP($A42,[3]Controle!$A$6:$BO$105,AE$25,FALSE))</f>
        <v>-</v>
      </c>
      <c r="AF42" s="53" t="str">
        <f>IF($A42="-","-",VLOOKUP($A42,[3]Controle!$A$6:$BO$105,AF$25,FALSE))</f>
        <v>-</v>
      </c>
      <c r="AG42" s="53" t="str">
        <f>IF($A42="-","-",VLOOKUP($A42,[3]Controle!$A$6:$BO$105,AG$25,FALSE))</f>
        <v>-</v>
      </c>
      <c r="AH42" s="53" t="str">
        <f>IF($A42="-","-",VLOOKUP($A42,[3]Controle!$A$6:$BO$105,AH$25,FALSE))</f>
        <v>-</v>
      </c>
      <c r="AI42" s="53" t="str">
        <f>IF($A42="-","-",VLOOKUP($A42,[3]Controle!$A$6:$BO$105,AI$25,FALSE))</f>
        <v>-</v>
      </c>
      <c r="AJ42" s="53" t="str">
        <f>IF($A42="-","-",VLOOKUP($A42,[3]Controle!$A$6:$BO$105,AJ$25,FALSE))</f>
        <v>-</v>
      </c>
      <c r="AK42" s="53" t="str">
        <f>IF($A42="-","-",VLOOKUP($A42,[3]Controle!$A$6:$BO$105,AK$25,FALSE))</f>
        <v>-</v>
      </c>
      <c r="AL42" s="53" t="str">
        <f>IF($A42="-","-",VLOOKUP($A42,[3]Controle!$A$6:$BO$105,AL$25,FALSE))</f>
        <v>-</v>
      </c>
      <c r="AM42" s="53" t="str">
        <f>IF($A42="-","-",VLOOKUP($A42,[3]Controle!$A$6:$BO$105,AM$25,FALSE))</f>
        <v>-</v>
      </c>
      <c r="AN42" s="53" t="str">
        <f>IF($A42="-","-",VLOOKUP($A42,[3]Controle!$A$6:$BO$105,AN$25,FALSE))</f>
        <v>-</v>
      </c>
      <c r="AO42" s="53" t="str">
        <f>IF($A42="-","-",VLOOKUP($A42,[3]Controle!$A$6:$BO$105,AO$25,FALSE))</f>
        <v>-</v>
      </c>
      <c r="AP42" s="53" t="str">
        <f>IF($A42="-","-",VLOOKUP($A42,[3]Controle!$A$6:$BO$105,AP$25,FALSE))</f>
        <v>-</v>
      </c>
      <c r="AQ42" s="53" t="str">
        <f>IF($A42="-","-",VLOOKUP($A42,[3]Controle!$A$6:$BO$105,AQ$25,FALSE))</f>
        <v>-</v>
      </c>
      <c r="AR42" s="53" t="str">
        <f>IF($A42="-","-",VLOOKUP($A42,[3]Controle!$A$6:$BO$105,AR$25,FALSE))</f>
        <v>-</v>
      </c>
      <c r="AS42" s="53" t="str">
        <f>IF($A42="-","-",VLOOKUP($A42,[3]Controle!$A$6:$BO$105,AS$25,FALSE))</f>
        <v>-</v>
      </c>
      <c r="AT42" s="53" t="str">
        <f>IF($A42="-","-",VLOOKUP($A42,[3]Controle!$A$6:$BO$105,AT$25,FALSE))</f>
        <v>-</v>
      </c>
      <c r="AU42" s="53" t="str">
        <f>IF($A42="-","-",VLOOKUP($A42,[3]Controle!$A$6:$BO$105,AU$25,FALSE))</f>
        <v>-</v>
      </c>
      <c r="AV42" s="53" t="str">
        <f>IF($A42="-","-",VLOOKUP($A42,[3]Controle!$A$6:$BO$105,AV$25,FALSE))</f>
        <v>-</v>
      </c>
      <c r="AW42" s="53" t="str">
        <f>IF($A42="-","-",VLOOKUP($A42,[3]Controle!$A$6:$BO$105,AW$25,FALSE))</f>
        <v>-</v>
      </c>
      <c r="AX42" s="53" t="str">
        <f>IF($A42="-","-",VLOOKUP($A42,[3]Controle!$A$6:$BO$105,AX$25,FALSE))</f>
        <v>-</v>
      </c>
      <c r="AY42" s="53" t="str">
        <f>IF($A42="-","-",VLOOKUP($A42,[3]Controle!$A$6:$BO$105,AY$25,FALSE))</f>
        <v>-</v>
      </c>
      <c r="AZ42" s="53" t="str">
        <f>IF($A42="-","-",VLOOKUP($A42,[3]Controle!$A$6:$BO$105,AZ$25,FALSE))</f>
        <v>-</v>
      </c>
      <c r="BA42" s="53" t="str">
        <f>IF($A42="-","-",VLOOKUP($A42,[3]Controle!$A$6:$BO$105,BA$25,FALSE))</f>
        <v>-</v>
      </c>
      <c r="BB42" s="53" t="str">
        <f>IF($A42="-","-",VLOOKUP($A42,[3]Controle!$A$6:$BO$105,BB$25,FALSE))</f>
        <v>-</v>
      </c>
      <c r="BC42" s="53" t="str">
        <f>IF($A42="-","-",VLOOKUP($A42,[3]Controle!$A$6:$BO$105,BC$25,FALSE))</f>
        <v>-</v>
      </c>
      <c r="BD42" s="53" t="str">
        <f>IF($A42="-","-",VLOOKUP($A42,[3]Controle!$A$6:$BO$105,BD$25,FALSE))</f>
        <v>-</v>
      </c>
      <c r="BE42" s="53" t="str">
        <f>IF($A42="-","-",VLOOKUP($A42,[3]Controle!$A$6:$BO$105,BE$25,FALSE))</f>
        <v>-</v>
      </c>
      <c r="BF42" s="53" t="str">
        <f>IF($A42="-","-",VLOOKUP($A42,[3]Controle!$A$6:$BO$105,BF$25,FALSE))</f>
        <v>-</v>
      </c>
      <c r="BG42" s="53" t="str">
        <f>IF($A42="-","-",VLOOKUP($A42,[3]Controle!$A$6:$BO$105,BG$25,FALSE))</f>
        <v>-</v>
      </c>
      <c r="BH42" s="53" t="str">
        <f>IF($A42="-","-",VLOOKUP($A42,[3]Controle!$A$6:$BO$105,BH$25,FALSE))</f>
        <v>-</v>
      </c>
      <c r="BI42" s="53" t="str">
        <f>IF($A42="-","-",VLOOKUP($A42,[3]Controle!$A$6:$BO$105,BI$25,FALSE))</f>
        <v>-</v>
      </c>
      <c r="BJ42" s="53" t="str">
        <f>IF($A42="-","-",VLOOKUP($A42,[3]Controle!$A$6:$BO$105,BJ$25,FALSE))</f>
        <v>-</v>
      </c>
      <c r="BK42" s="53" t="str">
        <f>IF($A42="-","-",VLOOKUP($A42,[3]Controle!$A$6:$BO$105,BK$25,FALSE))</f>
        <v>-</v>
      </c>
      <c r="BL42" s="53" t="str">
        <f>IF($A42="-","-",VLOOKUP($A42,[3]Controle!$A$6:$BO$105,BL$25,FALSE))</f>
        <v>-</v>
      </c>
      <c r="BM42" s="53" t="str">
        <f>IF($A42="-","-",VLOOKUP($A42,[3]Controle!$A$6:$BO$105,BM$25,FALSE))</f>
        <v>-</v>
      </c>
      <c r="BN42" s="53" t="str">
        <f>IF($A42="-","-",VLOOKUP($A42,[3]Controle!$A$6:$BO$105,BN$25,FALSE))</f>
        <v>-</v>
      </c>
      <c r="BO42" s="53" t="str">
        <f>IF($A42="-","-",VLOOKUP($A42,[3]Controle!$A$6:$BO$105,BO$25,FALSE))</f>
        <v>-</v>
      </c>
      <c r="CT42" s="41">
        <f>IF(CV42="-",0,MAX($CT$28:CT41)+1)</f>
        <v>0</v>
      </c>
      <c r="CU42" s="53" t="str">
        <f t="shared" si="18"/>
        <v>-</v>
      </c>
      <c r="CV42" s="53" t="str">
        <f t="shared" si="13"/>
        <v>-</v>
      </c>
      <c r="CW42" s="53" t="str">
        <f t="shared" si="19"/>
        <v>-</v>
      </c>
      <c r="CY42" s="41" t="str">
        <f t="shared" si="15"/>
        <v>-</v>
      </c>
    </row>
    <row r="43" spans="1:103" x14ac:dyDescent="0.3">
      <c r="A43" s="56" t="s">
        <v>54</v>
      </c>
      <c r="B43" s="53" t="str">
        <f>IF($A43="-","-",VLOOKUP($A43,[3]Controle!$A$6:$BO$105,B$25,FALSE))</f>
        <v>-</v>
      </c>
      <c r="C43" s="53" t="str">
        <f>IF($A43="-","-",VLOOKUP($A43,[3]Controle!$A$6:$BO$105,C$25,FALSE))</f>
        <v>-</v>
      </c>
      <c r="D43" s="53" t="str">
        <f>IF($A43="-","-",VLOOKUP($A43,[3]Controle!$A$6:$BO$105,D$25,FALSE))</f>
        <v>-</v>
      </c>
      <c r="E43" s="53" t="str">
        <f>IF($A43="-","-",VLOOKUP($A43,[3]Controle!$A$6:$BO$105,E$25,FALSE))</f>
        <v>-</v>
      </c>
      <c r="F43" s="53" t="str">
        <f>IF($A43="-","-",VLOOKUP($A43,[3]Controle!$A$6:$BO$105,F$25,FALSE))</f>
        <v>-</v>
      </c>
      <c r="G43" s="53" t="str">
        <f>IF($A43="-","-",VLOOKUP($A43,[3]Controle!$A$6:$BO$105,G$25,FALSE))</f>
        <v>-</v>
      </c>
      <c r="H43" s="54" t="str">
        <f>IF($A43="-","-",VLOOKUP($A43,[3]Controle!$A$6:$BO$105,H$25,FALSE))</f>
        <v>-</v>
      </c>
      <c r="I43" s="55" t="str">
        <f>IF($A43="-","-",VLOOKUP($A43,[3]Controle!$A$6:$BO$105,I$25,FALSE))</f>
        <v>-</v>
      </c>
      <c r="J43" s="53" t="str">
        <f>IF($A43="-","-",VLOOKUP($A43,[3]Controle!$A$6:$BO$105,J$25,FALSE))</f>
        <v>-</v>
      </c>
      <c r="K43" s="53" t="str">
        <f>IF($A43="-","-",VLOOKUP($A43,[3]Controle!$A$6:$BO$105,K$25,FALSE))</f>
        <v>-</v>
      </c>
      <c r="L43" s="53" t="str">
        <f>IF($A43="-","-",VLOOKUP($A43,[3]Controle!$A$6:$BO$105,L$25,FALSE))</f>
        <v>-</v>
      </c>
      <c r="M43" s="53" t="str">
        <f>IF($A43="-","-",VLOOKUP($A43,[3]Controle!$A$6:$BO$105,M$25,FALSE))</f>
        <v>-</v>
      </c>
      <c r="N43" s="53" t="str">
        <f>IF($A43="-","-",VLOOKUP($A43,[3]Controle!$A$6:$BO$105,N$25,FALSE))</f>
        <v>-</v>
      </c>
      <c r="O43" s="53" t="str">
        <f>IF($A43="-","-",VLOOKUP($A43,[3]Controle!$A$6:$BO$105,O$25,FALSE))</f>
        <v>-</v>
      </c>
      <c r="P43" s="53" t="str">
        <f>IF($A43="-","-",VLOOKUP($A43,[3]Controle!$A$6:$BO$105,P$25,FALSE))</f>
        <v>-</v>
      </c>
      <c r="Q43" s="53" t="str">
        <f>IF($A43="-","-",VLOOKUP($A43,[3]Controle!$A$6:$BO$105,Q$25,FALSE))</f>
        <v>-</v>
      </c>
      <c r="R43" s="53" t="str">
        <f>IF($A43="-","-",VLOOKUP($A43,[3]Controle!$A$6:$BO$105,R$25,FALSE))</f>
        <v>-</v>
      </c>
      <c r="S43" s="53" t="str">
        <f>IF($A43="-","-",VLOOKUP($A43,[3]Controle!$A$6:$BO$105,S$25,FALSE))</f>
        <v>-</v>
      </c>
      <c r="T43" s="53" t="str">
        <f>IF($A43="-","-",VLOOKUP($A43,[3]Controle!$A$6:$BO$105,T$25,FALSE))</f>
        <v>-</v>
      </c>
      <c r="U43" s="53" t="str">
        <f>IF($A43="-","-",VLOOKUP($A43,[3]Controle!$A$6:$BO$105,U$25,FALSE))</f>
        <v>-</v>
      </c>
      <c r="V43" s="53" t="str">
        <f>IF($A43="-","-",VLOOKUP($A43,[3]Controle!$A$6:$BO$105,V$25,FALSE))</f>
        <v>-</v>
      </c>
      <c r="W43" s="53" t="str">
        <f>IF($A43="-","-",VLOOKUP($A43,[3]Controle!$A$6:$BO$105,W$25,FALSE))</f>
        <v>-</v>
      </c>
      <c r="X43" s="53" t="str">
        <f>IF($A43="-","-",VLOOKUP($A43,[3]Controle!$A$6:$BO$105,X$25,FALSE))</f>
        <v>-</v>
      </c>
      <c r="Y43" s="53" t="str">
        <f>IF($A43="-","-",VLOOKUP($A43,[3]Controle!$A$6:$BO$105,Y$25,FALSE))</f>
        <v>-</v>
      </c>
      <c r="Z43" s="53" t="str">
        <f>IF($A43="-","-",VLOOKUP($A43,[3]Controle!$A$6:$BO$105,Z$25,FALSE))</f>
        <v>-</v>
      </c>
      <c r="AA43" s="53" t="str">
        <f>IF($A43="-","-",VLOOKUP($A43,[3]Controle!$A$6:$BO$105,AA$25,FALSE))</f>
        <v>-</v>
      </c>
      <c r="AB43" s="53" t="str">
        <f>IF($A43="-","-",VLOOKUP($A43,[3]Controle!$A$6:$BO$105,AB$25,FALSE))</f>
        <v>-</v>
      </c>
      <c r="AC43" s="53" t="str">
        <f>IF($A43="-","-",VLOOKUP($A43,[3]Controle!$A$6:$BO$105,AC$25,FALSE))</f>
        <v>-</v>
      </c>
      <c r="AD43" s="53" t="str">
        <f>IF($A43="-","-",VLOOKUP($A43,[3]Controle!$A$6:$BO$105,AD$25,FALSE))</f>
        <v>-</v>
      </c>
      <c r="AE43" s="53" t="str">
        <f>IF($A43="-","-",VLOOKUP($A43,[3]Controle!$A$6:$BO$105,AE$25,FALSE))</f>
        <v>-</v>
      </c>
      <c r="AF43" s="53" t="str">
        <f>IF($A43="-","-",VLOOKUP($A43,[3]Controle!$A$6:$BO$105,AF$25,FALSE))</f>
        <v>-</v>
      </c>
      <c r="AG43" s="53" t="str">
        <f>IF($A43="-","-",VLOOKUP($A43,[3]Controle!$A$6:$BO$105,AG$25,FALSE))</f>
        <v>-</v>
      </c>
      <c r="AH43" s="53" t="str">
        <f>IF($A43="-","-",VLOOKUP($A43,[3]Controle!$A$6:$BO$105,AH$25,FALSE))</f>
        <v>-</v>
      </c>
      <c r="AI43" s="53" t="str">
        <f>IF($A43="-","-",VLOOKUP($A43,[3]Controle!$A$6:$BO$105,AI$25,FALSE))</f>
        <v>-</v>
      </c>
      <c r="AJ43" s="53" t="str">
        <f>IF($A43="-","-",VLOOKUP($A43,[3]Controle!$A$6:$BO$105,AJ$25,FALSE))</f>
        <v>-</v>
      </c>
      <c r="AK43" s="53" t="str">
        <f>IF($A43="-","-",VLOOKUP($A43,[3]Controle!$A$6:$BO$105,AK$25,FALSE))</f>
        <v>-</v>
      </c>
      <c r="AL43" s="53" t="str">
        <f>IF($A43="-","-",VLOOKUP($A43,[3]Controle!$A$6:$BO$105,AL$25,FALSE))</f>
        <v>-</v>
      </c>
      <c r="AM43" s="53" t="str">
        <f>IF($A43="-","-",VLOOKUP($A43,[3]Controle!$A$6:$BO$105,AM$25,FALSE))</f>
        <v>-</v>
      </c>
      <c r="AN43" s="53" t="str">
        <f>IF($A43="-","-",VLOOKUP($A43,[3]Controle!$A$6:$BO$105,AN$25,FALSE))</f>
        <v>-</v>
      </c>
      <c r="AO43" s="53" t="str">
        <f>IF($A43="-","-",VLOOKUP($A43,[3]Controle!$A$6:$BO$105,AO$25,FALSE))</f>
        <v>-</v>
      </c>
      <c r="AP43" s="53" t="str">
        <f>IF($A43="-","-",VLOOKUP($A43,[3]Controle!$A$6:$BO$105,AP$25,FALSE))</f>
        <v>-</v>
      </c>
      <c r="AQ43" s="53" t="str">
        <f>IF($A43="-","-",VLOOKUP($A43,[3]Controle!$A$6:$BO$105,AQ$25,FALSE))</f>
        <v>-</v>
      </c>
      <c r="AR43" s="53" t="str">
        <f>IF($A43="-","-",VLOOKUP($A43,[3]Controle!$A$6:$BO$105,AR$25,FALSE))</f>
        <v>-</v>
      </c>
      <c r="AS43" s="53" t="str">
        <f>IF($A43="-","-",VLOOKUP($A43,[3]Controle!$A$6:$BO$105,AS$25,FALSE))</f>
        <v>-</v>
      </c>
      <c r="AT43" s="53" t="str">
        <f>IF($A43="-","-",VLOOKUP($A43,[3]Controle!$A$6:$BO$105,AT$25,FALSE))</f>
        <v>-</v>
      </c>
      <c r="AU43" s="53" t="str">
        <f>IF($A43="-","-",VLOOKUP($A43,[3]Controle!$A$6:$BO$105,AU$25,FALSE))</f>
        <v>-</v>
      </c>
      <c r="AV43" s="53" t="str">
        <f>IF($A43="-","-",VLOOKUP($A43,[3]Controle!$A$6:$BO$105,AV$25,FALSE))</f>
        <v>-</v>
      </c>
      <c r="AW43" s="53" t="str">
        <f>IF($A43="-","-",VLOOKUP($A43,[3]Controle!$A$6:$BO$105,AW$25,FALSE))</f>
        <v>-</v>
      </c>
      <c r="AX43" s="53" t="str">
        <f>IF($A43="-","-",VLOOKUP($A43,[3]Controle!$A$6:$BO$105,AX$25,FALSE))</f>
        <v>-</v>
      </c>
      <c r="AY43" s="53" t="str">
        <f>IF($A43="-","-",VLOOKUP($A43,[3]Controle!$A$6:$BO$105,AY$25,FALSE))</f>
        <v>-</v>
      </c>
      <c r="AZ43" s="53" t="str">
        <f>IF($A43="-","-",VLOOKUP($A43,[3]Controle!$A$6:$BO$105,AZ$25,FALSE))</f>
        <v>-</v>
      </c>
      <c r="BA43" s="53" t="str">
        <f>IF($A43="-","-",VLOOKUP($A43,[3]Controle!$A$6:$BO$105,BA$25,FALSE))</f>
        <v>-</v>
      </c>
      <c r="BB43" s="53" t="str">
        <f>IF($A43="-","-",VLOOKUP($A43,[3]Controle!$A$6:$BO$105,BB$25,FALSE))</f>
        <v>-</v>
      </c>
      <c r="BC43" s="53" t="str">
        <f>IF($A43="-","-",VLOOKUP($A43,[3]Controle!$A$6:$BO$105,BC$25,FALSE))</f>
        <v>-</v>
      </c>
      <c r="BD43" s="53" t="str">
        <f>IF($A43="-","-",VLOOKUP($A43,[3]Controle!$A$6:$BO$105,BD$25,FALSE))</f>
        <v>-</v>
      </c>
      <c r="BE43" s="53" t="str">
        <f>IF($A43="-","-",VLOOKUP($A43,[3]Controle!$A$6:$BO$105,BE$25,FALSE))</f>
        <v>-</v>
      </c>
      <c r="BF43" s="53" t="str">
        <f>IF($A43="-","-",VLOOKUP($A43,[3]Controle!$A$6:$BO$105,BF$25,FALSE))</f>
        <v>-</v>
      </c>
      <c r="BG43" s="53" t="str">
        <f>IF($A43="-","-",VLOOKUP($A43,[3]Controle!$A$6:$BO$105,BG$25,FALSE))</f>
        <v>-</v>
      </c>
      <c r="BH43" s="53" t="str">
        <f>IF($A43="-","-",VLOOKUP($A43,[3]Controle!$A$6:$BO$105,BH$25,FALSE))</f>
        <v>-</v>
      </c>
      <c r="BI43" s="53" t="str">
        <f>IF($A43="-","-",VLOOKUP($A43,[3]Controle!$A$6:$BO$105,BI$25,FALSE))</f>
        <v>-</v>
      </c>
      <c r="BJ43" s="53" t="str">
        <f>IF($A43="-","-",VLOOKUP($A43,[3]Controle!$A$6:$BO$105,BJ$25,FALSE))</f>
        <v>-</v>
      </c>
      <c r="BK43" s="53" t="str">
        <f>IF($A43="-","-",VLOOKUP($A43,[3]Controle!$A$6:$BO$105,BK$25,FALSE))</f>
        <v>-</v>
      </c>
      <c r="BL43" s="53" t="str">
        <f>IF($A43="-","-",VLOOKUP($A43,[3]Controle!$A$6:$BO$105,BL$25,FALSE))</f>
        <v>-</v>
      </c>
      <c r="BM43" s="53" t="str">
        <f>IF($A43="-","-",VLOOKUP($A43,[3]Controle!$A$6:$BO$105,BM$25,FALSE))</f>
        <v>-</v>
      </c>
      <c r="BN43" s="53" t="str">
        <f>IF($A43="-","-",VLOOKUP($A43,[3]Controle!$A$6:$BO$105,BN$25,FALSE))</f>
        <v>-</v>
      </c>
      <c r="BO43" s="53" t="str">
        <f>IF($A43="-","-",VLOOKUP($A43,[3]Controle!$A$6:$BO$105,BO$25,FALSE))</f>
        <v>-</v>
      </c>
      <c r="CT43" s="41">
        <f>IF(CV43="-",0,MAX($CT$28:CT42)+1)</f>
        <v>0</v>
      </c>
      <c r="CU43" s="53" t="str">
        <f t="shared" si="18"/>
        <v>-</v>
      </c>
      <c r="CV43" s="53" t="str">
        <f t="shared" si="13"/>
        <v>-</v>
      </c>
      <c r="CW43" s="53" t="str">
        <f t="shared" si="19"/>
        <v>-</v>
      </c>
      <c r="CY43" s="41" t="str">
        <f t="shared" si="15"/>
        <v>-</v>
      </c>
    </row>
    <row r="44" spans="1:103" x14ac:dyDescent="0.3">
      <c r="A44" s="56" t="s">
        <v>54</v>
      </c>
      <c r="B44" s="53" t="str">
        <f>IF($A44="-","-",VLOOKUP($A44,[3]Controle!$A$6:$BO$105,B$25,FALSE))</f>
        <v>-</v>
      </c>
      <c r="C44" s="53" t="str">
        <f>IF($A44="-","-",VLOOKUP($A44,[3]Controle!$A$6:$BO$105,C$25,FALSE))</f>
        <v>-</v>
      </c>
      <c r="D44" s="53" t="str">
        <f>IF($A44="-","-",VLOOKUP($A44,[3]Controle!$A$6:$BO$105,D$25,FALSE))</f>
        <v>-</v>
      </c>
      <c r="E44" s="53" t="str">
        <f>IF($A44="-","-",VLOOKUP($A44,[3]Controle!$A$6:$BO$105,E$25,FALSE))</f>
        <v>-</v>
      </c>
      <c r="F44" s="53" t="str">
        <f>IF($A44="-","-",VLOOKUP($A44,[3]Controle!$A$6:$BO$105,F$25,FALSE))</f>
        <v>-</v>
      </c>
      <c r="G44" s="53" t="str">
        <f>IF($A44="-","-",VLOOKUP($A44,[3]Controle!$A$6:$BO$105,G$25,FALSE))</f>
        <v>-</v>
      </c>
      <c r="H44" s="54" t="str">
        <f>IF($A44="-","-",VLOOKUP($A44,[3]Controle!$A$6:$BO$105,H$25,FALSE))</f>
        <v>-</v>
      </c>
      <c r="I44" s="55" t="str">
        <f>IF($A44="-","-",VLOOKUP($A44,[3]Controle!$A$6:$BO$105,I$25,FALSE))</f>
        <v>-</v>
      </c>
      <c r="J44" s="53" t="str">
        <f>IF($A44="-","-",VLOOKUP($A44,[3]Controle!$A$6:$BO$105,J$25,FALSE))</f>
        <v>-</v>
      </c>
      <c r="K44" s="53" t="str">
        <f>IF($A44="-","-",VLOOKUP($A44,[3]Controle!$A$6:$BO$105,K$25,FALSE))</f>
        <v>-</v>
      </c>
      <c r="L44" s="53" t="str">
        <f>IF($A44="-","-",VLOOKUP($A44,[3]Controle!$A$6:$BO$105,L$25,FALSE))</f>
        <v>-</v>
      </c>
      <c r="M44" s="53" t="str">
        <f>IF($A44="-","-",VLOOKUP($A44,[3]Controle!$A$6:$BO$105,M$25,FALSE))</f>
        <v>-</v>
      </c>
      <c r="N44" s="53" t="str">
        <f>IF($A44="-","-",VLOOKUP($A44,[3]Controle!$A$6:$BO$105,N$25,FALSE))</f>
        <v>-</v>
      </c>
      <c r="O44" s="53" t="str">
        <f>IF($A44="-","-",VLOOKUP($A44,[3]Controle!$A$6:$BO$105,O$25,FALSE))</f>
        <v>-</v>
      </c>
      <c r="P44" s="53" t="str">
        <f>IF($A44="-","-",VLOOKUP($A44,[3]Controle!$A$6:$BO$105,P$25,FALSE))</f>
        <v>-</v>
      </c>
      <c r="Q44" s="53" t="str">
        <f>IF($A44="-","-",VLOOKUP($A44,[3]Controle!$A$6:$BO$105,Q$25,FALSE))</f>
        <v>-</v>
      </c>
      <c r="R44" s="53" t="str">
        <f>IF($A44="-","-",VLOOKUP($A44,[3]Controle!$A$6:$BO$105,R$25,FALSE))</f>
        <v>-</v>
      </c>
      <c r="S44" s="53" t="str">
        <f>IF($A44="-","-",VLOOKUP($A44,[3]Controle!$A$6:$BO$105,S$25,FALSE))</f>
        <v>-</v>
      </c>
      <c r="T44" s="53" t="str">
        <f>IF($A44="-","-",VLOOKUP($A44,[3]Controle!$A$6:$BO$105,T$25,FALSE))</f>
        <v>-</v>
      </c>
      <c r="U44" s="53" t="str">
        <f>IF($A44="-","-",VLOOKUP($A44,[3]Controle!$A$6:$BO$105,U$25,FALSE))</f>
        <v>-</v>
      </c>
      <c r="V44" s="53" t="str">
        <f>IF($A44="-","-",VLOOKUP($A44,[3]Controle!$A$6:$BO$105,V$25,FALSE))</f>
        <v>-</v>
      </c>
      <c r="W44" s="53" t="str">
        <f>IF($A44="-","-",VLOOKUP($A44,[3]Controle!$A$6:$BO$105,W$25,FALSE))</f>
        <v>-</v>
      </c>
      <c r="X44" s="53" t="str">
        <f>IF($A44="-","-",VLOOKUP($A44,[3]Controle!$A$6:$BO$105,X$25,FALSE))</f>
        <v>-</v>
      </c>
      <c r="Y44" s="53" t="str">
        <f>IF($A44="-","-",VLOOKUP($A44,[3]Controle!$A$6:$BO$105,Y$25,FALSE))</f>
        <v>-</v>
      </c>
      <c r="Z44" s="53" t="str">
        <f>IF($A44="-","-",VLOOKUP($A44,[3]Controle!$A$6:$BO$105,Z$25,FALSE))</f>
        <v>-</v>
      </c>
      <c r="AA44" s="53" t="str">
        <f>IF($A44="-","-",VLOOKUP($A44,[3]Controle!$A$6:$BO$105,AA$25,FALSE))</f>
        <v>-</v>
      </c>
      <c r="AB44" s="53" t="str">
        <f>IF($A44="-","-",VLOOKUP($A44,[3]Controle!$A$6:$BO$105,AB$25,FALSE))</f>
        <v>-</v>
      </c>
      <c r="AC44" s="53" t="str">
        <f>IF($A44="-","-",VLOOKUP($A44,[3]Controle!$A$6:$BO$105,AC$25,FALSE))</f>
        <v>-</v>
      </c>
      <c r="AD44" s="53" t="str">
        <f>IF($A44="-","-",VLOOKUP($A44,[3]Controle!$A$6:$BO$105,AD$25,FALSE))</f>
        <v>-</v>
      </c>
      <c r="AE44" s="53" t="str">
        <f>IF($A44="-","-",VLOOKUP($A44,[3]Controle!$A$6:$BO$105,AE$25,FALSE))</f>
        <v>-</v>
      </c>
      <c r="AF44" s="53" t="str">
        <f>IF($A44="-","-",VLOOKUP($A44,[3]Controle!$A$6:$BO$105,AF$25,FALSE))</f>
        <v>-</v>
      </c>
      <c r="AG44" s="53" t="str">
        <f>IF($A44="-","-",VLOOKUP($A44,[3]Controle!$A$6:$BO$105,AG$25,FALSE))</f>
        <v>-</v>
      </c>
      <c r="AH44" s="53" t="str">
        <f>IF($A44="-","-",VLOOKUP($A44,[3]Controle!$A$6:$BO$105,AH$25,FALSE))</f>
        <v>-</v>
      </c>
      <c r="AI44" s="53" t="str">
        <f>IF($A44="-","-",VLOOKUP($A44,[3]Controle!$A$6:$BO$105,AI$25,FALSE))</f>
        <v>-</v>
      </c>
      <c r="AJ44" s="53" t="str">
        <f>IF($A44="-","-",VLOOKUP($A44,[3]Controle!$A$6:$BO$105,AJ$25,FALSE))</f>
        <v>-</v>
      </c>
      <c r="AK44" s="53" t="str">
        <f>IF($A44="-","-",VLOOKUP($A44,[3]Controle!$A$6:$BO$105,AK$25,FALSE))</f>
        <v>-</v>
      </c>
      <c r="AL44" s="53" t="str">
        <f>IF($A44="-","-",VLOOKUP($A44,[3]Controle!$A$6:$BO$105,AL$25,FALSE))</f>
        <v>-</v>
      </c>
      <c r="AM44" s="53" t="str">
        <f>IF($A44="-","-",VLOOKUP($A44,[3]Controle!$A$6:$BO$105,AM$25,FALSE))</f>
        <v>-</v>
      </c>
      <c r="AN44" s="53" t="str">
        <f>IF($A44="-","-",VLOOKUP($A44,[3]Controle!$A$6:$BO$105,AN$25,FALSE))</f>
        <v>-</v>
      </c>
      <c r="AO44" s="53" t="str">
        <f>IF($A44="-","-",VLOOKUP($A44,[3]Controle!$A$6:$BO$105,AO$25,FALSE))</f>
        <v>-</v>
      </c>
      <c r="AP44" s="53" t="str">
        <f>IF($A44="-","-",VLOOKUP($A44,[3]Controle!$A$6:$BO$105,AP$25,FALSE))</f>
        <v>-</v>
      </c>
      <c r="AQ44" s="53" t="str">
        <f>IF($A44="-","-",VLOOKUP($A44,[3]Controle!$A$6:$BO$105,AQ$25,FALSE))</f>
        <v>-</v>
      </c>
      <c r="AR44" s="53" t="str">
        <f>IF($A44="-","-",VLOOKUP($A44,[3]Controle!$A$6:$BO$105,AR$25,FALSE))</f>
        <v>-</v>
      </c>
      <c r="AS44" s="53" t="str">
        <f>IF($A44="-","-",VLOOKUP($A44,[3]Controle!$A$6:$BO$105,AS$25,FALSE))</f>
        <v>-</v>
      </c>
      <c r="AT44" s="53" t="str">
        <f>IF($A44="-","-",VLOOKUP($A44,[3]Controle!$A$6:$BO$105,AT$25,FALSE))</f>
        <v>-</v>
      </c>
      <c r="AU44" s="53" t="str">
        <f>IF($A44="-","-",VLOOKUP($A44,[3]Controle!$A$6:$BO$105,AU$25,FALSE))</f>
        <v>-</v>
      </c>
      <c r="AV44" s="53" t="str">
        <f>IF($A44="-","-",VLOOKUP($A44,[3]Controle!$A$6:$BO$105,AV$25,FALSE))</f>
        <v>-</v>
      </c>
      <c r="AW44" s="53" t="str">
        <f>IF($A44="-","-",VLOOKUP($A44,[3]Controle!$A$6:$BO$105,AW$25,FALSE))</f>
        <v>-</v>
      </c>
      <c r="AX44" s="53" t="str">
        <f>IF($A44="-","-",VLOOKUP($A44,[3]Controle!$A$6:$BO$105,AX$25,FALSE))</f>
        <v>-</v>
      </c>
      <c r="AY44" s="53" t="str">
        <f>IF($A44="-","-",VLOOKUP($A44,[3]Controle!$A$6:$BO$105,AY$25,FALSE))</f>
        <v>-</v>
      </c>
      <c r="AZ44" s="53" t="str">
        <f>IF($A44="-","-",VLOOKUP($A44,[3]Controle!$A$6:$BO$105,AZ$25,FALSE))</f>
        <v>-</v>
      </c>
      <c r="BA44" s="53" t="str">
        <f>IF($A44="-","-",VLOOKUP($A44,[3]Controle!$A$6:$BO$105,BA$25,FALSE))</f>
        <v>-</v>
      </c>
      <c r="BB44" s="53" t="str">
        <f>IF($A44="-","-",VLOOKUP($A44,[3]Controle!$A$6:$BO$105,BB$25,FALSE))</f>
        <v>-</v>
      </c>
      <c r="BC44" s="53" t="str">
        <f>IF($A44="-","-",VLOOKUP($A44,[3]Controle!$A$6:$BO$105,BC$25,FALSE))</f>
        <v>-</v>
      </c>
      <c r="BD44" s="53" t="str">
        <f>IF($A44="-","-",VLOOKUP($A44,[3]Controle!$A$6:$BO$105,BD$25,FALSE))</f>
        <v>-</v>
      </c>
      <c r="BE44" s="53" t="str">
        <f>IF($A44="-","-",VLOOKUP($A44,[3]Controle!$A$6:$BO$105,BE$25,FALSE))</f>
        <v>-</v>
      </c>
      <c r="BF44" s="53" t="str">
        <f>IF($A44="-","-",VLOOKUP($A44,[3]Controle!$A$6:$BO$105,BF$25,FALSE))</f>
        <v>-</v>
      </c>
      <c r="BG44" s="53" t="str">
        <f>IF($A44="-","-",VLOOKUP($A44,[3]Controle!$A$6:$BO$105,BG$25,FALSE))</f>
        <v>-</v>
      </c>
      <c r="BH44" s="53" t="str">
        <f>IF($A44="-","-",VLOOKUP($A44,[3]Controle!$A$6:$BO$105,BH$25,FALSE))</f>
        <v>-</v>
      </c>
      <c r="BI44" s="53" t="str">
        <f>IF($A44="-","-",VLOOKUP($A44,[3]Controle!$A$6:$BO$105,BI$25,FALSE))</f>
        <v>-</v>
      </c>
      <c r="BJ44" s="53" t="str">
        <f>IF($A44="-","-",VLOOKUP($A44,[3]Controle!$A$6:$BO$105,BJ$25,FALSE))</f>
        <v>-</v>
      </c>
      <c r="BK44" s="53" t="str">
        <f>IF($A44="-","-",VLOOKUP($A44,[3]Controle!$A$6:$BO$105,BK$25,FALSE))</f>
        <v>-</v>
      </c>
      <c r="BL44" s="53" t="str">
        <f>IF($A44="-","-",VLOOKUP($A44,[3]Controle!$A$6:$BO$105,BL$25,FALSE))</f>
        <v>-</v>
      </c>
      <c r="BM44" s="53" t="str">
        <f>IF($A44="-","-",VLOOKUP($A44,[3]Controle!$A$6:$BO$105,BM$25,FALSE))</f>
        <v>-</v>
      </c>
      <c r="BN44" s="53" t="str">
        <f>IF($A44="-","-",VLOOKUP($A44,[3]Controle!$A$6:$BO$105,BN$25,FALSE))</f>
        <v>-</v>
      </c>
      <c r="BO44" s="53" t="str">
        <f>IF($A44="-","-",VLOOKUP($A44,[3]Controle!$A$6:$BO$105,BO$25,FALSE))</f>
        <v>-</v>
      </c>
      <c r="CT44" s="41">
        <f>IF(CV44="-",0,MAX($CT$28:CT43)+1)</f>
        <v>0</v>
      </c>
      <c r="CU44" s="53" t="str">
        <f t="shared" si="18"/>
        <v>-</v>
      </c>
      <c r="CV44" s="53" t="str">
        <f t="shared" si="13"/>
        <v>-</v>
      </c>
      <c r="CW44" s="53" t="str">
        <f t="shared" si="19"/>
        <v>-</v>
      </c>
      <c r="CY44" s="41" t="str">
        <f t="shared" si="15"/>
        <v>-</v>
      </c>
    </row>
    <row r="45" spans="1:103" x14ac:dyDescent="0.3">
      <c r="A45" s="56" t="s">
        <v>54</v>
      </c>
      <c r="B45" s="53" t="str">
        <f>IF($A45="-","-",VLOOKUP($A45,[3]Controle!$A$6:$BO$105,B$25,FALSE))</f>
        <v>-</v>
      </c>
      <c r="C45" s="53" t="str">
        <f>IF($A45="-","-",VLOOKUP($A45,[3]Controle!$A$6:$BO$105,C$25,FALSE))</f>
        <v>-</v>
      </c>
      <c r="D45" s="53" t="str">
        <f>IF($A45="-","-",VLOOKUP($A45,[3]Controle!$A$6:$BO$105,D$25,FALSE))</f>
        <v>-</v>
      </c>
      <c r="E45" s="53" t="str">
        <f>IF($A45="-","-",VLOOKUP($A45,[3]Controle!$A$6:$BO$105,E$25,FALSE))</f>
        <v>-</v>
      </c>
      <c r="F45" s="53" t="str">
        <f>IF($A45="-","-",VLOOKUP($A45,[3]Controle!$A$6:$BO$105,F$25,FALSE))</f>
        <v>-</v>
      </c>
      <c r="G45" s="53" t="str">
        <f>IF($A45="-","-",VLOOKUP($A45,[3]Controle!$A$6:$BO$105,G$25,FALSE))</f>
        <v>-</v>
      </c>
      <c r="H45" s="54" t="str">
        <f>IF($A45="-","-",VLOOKUP($A45,[3]Controle!$A$6:$BO$105,H$25,FALSE))</f>
        <v>-</v>
      </c>
      <c r="I45" s="55" t="str">
        <f>IF($A45="-","-",VLOOKUP($A45,[3]Controle!$A$6:$BO$105,I$25,FALSE))</f>
        <v>-</v>
      </c>
      <c r="J45" s="53" t="str">
        <f>IF($A45="-","-",VLOOKUP($A45,[3]Controle!$A$6:$BO$105,J$25,FALSE))</f>
        <v>-</v>
      </c>
      <c r="K45" s="53" t="str">
        <f>IF($A45="-","-",VLOOKUP($A45,[3]Controle!$A$6:$BO$105,K$25,FALSE))</f>
        <v>-</v>
      </c>
      <c r="L45" s="53" t="str">
        <f>IF($A45="-","-",VLOOKUP($A45,[3]Controle!$A$6:$BO$105,L$25,FALSE))</f>
        <v>-</v>
      </c>
      <c r="M45" s="53" t="str">
        <f>IF($A45="-","-",VLOOKUP($A45,[3]Controle!$A$6:$BO$105,M$25,FALSE))</f>
        <v>-</v>
      </c>
      <c r="N45" s="53" t="str">
        <f>IF($A45="-","-",VLOOKUP($A45,[3]Controle!$A$6:$BO$105,N$25,FALSE))</f>
        <v>-</v>
      </c>
      <c r="O45" s="53" t="str">
        <f>IF($A45="-","-",VLOOKUP($A45,[3]Controle!$A$6:$BO$105,O$25,FALSE))</f>
        <v>-</v>
      </c>
      <c r="P45" s="53" t="str">
        <f>IF($A45="-","-",VLOOKUP($A45,[3]Controle!$A$6:$BO$105,P$25,FALSE))</f>
        <v>-</v>
      </c>
      <c r="Q45" s="53" t="str">
        <f>IF($A45="-","-",VLOOKUP($A45,[3]Controle!$A$6:$BO$105,Q$25,FALSE))</f>
        <v>-</v>
      </c>
      <c r="R45" s="53" t="str">
        <f>IF($A45="-","-",VLOOKUP($A45,[3]Controle!$A$6:$BO$105,R$25,FALSE))</f>
        <v>-</v>
      </c>
      <c r="S45" s="53" t="str">
        <f>IF($A45="-","-",VLOOKUP($A45,[3]Controle!$A$6:$BO$105,S$25,FALSE))</f>
        <v>-</v>
      </c>
      <c r="T45" s="53" t="str">
        <f>IF($A45="-","-",VLOOKUP($A45,[3]Controle!$A$6:$BO$105,T$25,FALSE))</f>
        <v>-</v>
      </c>
      <c r="U45" s="53" t="str">
        <f>IF($A45="-","-",VLOOKUP($A45,[3]Controle!$A$6:$BO$105,U$25,FALSE))</f>
        <v>-</v>
      </c>
      <c r="V45" s="53" t="str">
        <f>IF($A45="-","-",VLOOKUP($A45,[3]Controle!$A$6:$BO$105,V$25,FALSE))</f>
        <v>-</v>
      </c>
      <c r="W45" s="53" t="str">
        <f>IF($A45="-","-",VLOOKUP($A45,[3]Controle!$A$6:$BO$105,W$25,FALSE))</f>
        <v>-</v>
      </c>
      <c r="X45" s="53" t="str">
        <f>IF($A45="-","-",VLOOKUP($A45,[3]Controle!$A$6:$BO$105,X$25,FALSE))</f>
        <v>-</v>
      </c>
      <c r="Y45" s="53" t="str">
        <f>IF($A45="-","-",VLOOKUP($A45,[3]Controle!$A$6:$BO$105,Y$25,FALSE))</f>
        <v>-</v>
      </c>
      <c r="Z45" s="53" t="str">
        <f>IF($A45="-","-",VLOOKUP($A45,[3]Controle!$A$6:$BO$105,Z$25,FALSE))</f>
        <v>-</v>
      </c>
      <c r="AA45" s="53" t="str">
        <f>IF($A45="-","-",VLOOKUP($A45,[3]Controle!$A$6:$BO$105,AA$25,FALSE))</f>
        <v>-</v>
      </c>
      <c r="AB45" s="53" t="str">
        <f>IF($A45="-","-",VLOOKUP($A45,[3]Controle!$A$6:$BO$105,AB$25,FALSE))</f>
        <v>-</v>
      </c>
      <c r="AC45" s="53" t="str">
        <f>IF($A45="-","-",VLOOKUP($A45,[3]Controle!$A$6:$BO$105,AC$25,FALSE))</f>
        <v>-</v>
      </c>
      <c r="AD45" s="53" t="str">
        <f>IF($A45="-","-",VLOOKUP($A45,[3]Controle!$A$6:$BO$105,AD$25,FALSE))</f>
        <v>-</v>
      </c>
      <c r="AE45" s="53" t="str">
        <f>IF($A45="-","-",VLOOKUP($A45,[3]Controle!$A$6:$BO$105,AE$25,FALSE))</f>
        <v>-</v>
      </c>
      <c r="AF45" s="53" t="str">
        <f>IF($A45="-","-",VLOOKUP($A45,[3]Controle!$A$6:$BO$105,AF$25,FALSE))</f>
        <v>-</v>
      </c>
      <c r="AG45" s="53" t="str">
        <f>IF($A45="-","-",VLOOKUP($A45,[3]Controle!$A$6:$BO$105,AG$25,FALSE))</f>
        <v>-</v>
      </c>
      <c r="AH45" s="53" t="str">
        <f>IF($A45="-","-",VLOOKUP($A45,[3]Controle!$A$6:$BO$105,AH$25,FALSE))</f>
        <v>-</v>
      </c>
      <c r="AI45" s="53" t="str">
        <f>IF($A45="-","-",VLOOKUP($A45,[3]Controle!$A$6:$BO$105,AI$25,FALSE))</f>
        <v>-</v>
      </c>
      <c r="AJ45" s="53" t="str">
        <f>IF($A45="-","-",VLOOKUP($A45,[3]Controle!$A$6:$BO$105,AJ$25,FALSE))</f>
        <v>-</v>
      </c>
      <c r="AK45" s="53" t="str">
        <f>IF($A45="-","-",VLOOKUP($A45,[3]Controle!$A$6:$BO$105,AK$25,FALSE))</f>
        <v>-</v>
      </c>
      <c r="AL45" s="53" t="str">
        <f>IF($A45="-","-",VLOOKUP($A45,[3]Controle!$A$6:$BO$105,AL$25,FALSE))</f>
        <v>-</v>
      </c>
      <c r="AM45" s="53" t="str">
        <f>IF($A45="-","-",VLOOKUP($A45,[3]Controle!$A$6:$BO$105,AM$25,FALSE))</f>
        <v>-</v>
      </c>
      <c r="AN45" s="53" t="str">
        <f>IF($A45="-","-",VLOOKUP($A45,[3]Controle!$A$6:$BO$105,AN$25,FALSE))</f>
        <v>-</v>
      </c>
      <c r="AO45" s="53" t="str">
        <f>IF($A45="-","-",VLOOKUP($A45,[3]Controle!$A$6:$BO$105,AO$25,FALSE))</f>
        <v>-</v>
      </c>
      <c r="AP45" s="53" t="str">
        <f>IF($A45="-","-",VLOOKUP($A45,[3]Controle!$A$6:$BO$105,AP$25,FALSE))</f>
        <v>-</v>
      </c>
      <c r="AQ45" s="53" t="str">
        <f>IF($A45="-","-",VLOOKUP($A45,[3]Controle!$A$6:$BO$105,AQ$25,FALSE))</f>
        <v>-</v>
      </c>
      <c r="AR45" s="53" t="str">
        <f>IF($A45="-","-",VLOOKUP($A45,[3]Controle!$A$6:$BO$105,AR$25,FALSE))</f>
        <v>-</v>
      </c>
      <c r="AS45" s="53" t="str">
        <f>IF($A45="-","-",VLOOKUP($A45,[3]Controle!$A$6:$BO$105,AS$25,FALSE))</f>
        <v>-</v>
      </c>
      <c r="AT45" s="53" t="str">
        <f>IF($A45="-","-",VLOOKUP($A45,[3]Controle!$A$6:$BO$105,AT$25,FALSE))</f>
        <v>-</v>
      </c>
      <c r="AU45" s="53" t="str">
        <f>IF($A45="-","-",VLOOKUP($A45,[3]Controle!$A$6:$BO$105,AU$25,FALSE))</f>
        <v>-</v>
      </c>
      <c r="AV45" s="53" t="str">
        <f>IF($A45="-","-",VLOOKUP($A45,[3]Controle!$A$6:$BO$105,AV$25,FALSE))</f>
        <v>-</v>
      </c>
      <c r="AW45" s="53" t="str">
        <f>IF($A45="-","-",VLOOKUP($A45,[3]Controle!$A$6:$BO$105,AW$25,FALSE))</f>
        <v>-</v>
      </c>
      <c r="AX45" s="53" t="str">
        <f>IF($A45="-","-",VLOOKUP($A45,[3]Controle!$A$6:$BO$105,AX$25,FALSE))</f>
        <v>-</v>
      </c>
      <c r="AY45" s="53" t="str">
        <f>IF($A45="-","-",VLOOKUP($A45,[3]Controle!$A$6:$BO$105,AY$25,FALSE))</f>
        <v>-</v>
      </c>
      <c r="AZ45" s="53" t="str">
        <f>IF($A45="-","-",VLOOKUP($A45,[3]Controle!$A$6:$BO$105,AZ$25,FALSE))</f>
        <v>-</v>
      </c>
      <c r="BA45" s="53" t="str">
        <f>IF($A45="-","-",VLOOKUP($A45,[3]Controle!$A$6:$BO$105,BA$25,FALSE))</f>
        <v>-</v>
      </c>
      <c r="BB45" s="53" t="str">
        <f>IF($A45="-","-",VLOOKUP($A45,[3]Controle!$A$6:$BO$105,BB$25,FALSE))</f>
        <v>-</v>
      </c>
      <c r="BC45" s="53" t="str">
        <f>IF($A45="-","-",VLOOKUP($A45,[3]Controle!$A$6:$BO$105,BC$25,FALSE))</f>
        <v>-</v>
      </c>
      <c r="BD45" s="53" t="str">
        <f>IF($A45="-","-",VLOOKUP($A45,[3]Controle!$A$6:$BO$105,BD$25,FALSE))</f>
        <v>-</v>
      </c>
      <c r="BE45" s="53" t="str">
        <f>IF($A45="-","-",VLOOKUP($A45,[3]Controle!$A$6:$BO$105,BE$25,FALSE))</f>
        <v>-</v>
      </c>
      <c r="BF45" s="53" t="str">
        <f>IF($A45="-","-",VLOOKUP($A45,[3]Controle!$A$6:$BO$105,BF$25,FALSE))</f>
        <v>-</v>
      </c>
      <c r="BG45" s="53" t="str">
        <f>IF($A45="-","-",VLOOKUP($A45,[3]Controle!$A$6:$BO$105,BG$25,FALSE))</f>
        <v>-</v>
      </c>
      <c r="BH45" s="53" t="str">
        <f>IF($A45="-","-",VLOOKUP($A45,[3]Controle!$A$6:$BO$105,BH$25,FALSE))</f>
        <v>-</v>
      </c>
      <c r="BI45" s="53" t="str">
        <f>IF($A45="-","-",VLOOKUP($A45,[3]Controle!$A$6:$BO$105,BI$25,FALSE))</f>
        <v>-</v>
      </c>
      <c r="BJ45" s="53" t="str">
        <f>IF($A45="-","-",VLOOKUP($A45,[3]Controle!$A$6:$BO$105,BJ$25,FALSE))</f>
        <v>-</v>
      </c>
      <c r="BK45" s="53" t="str">
        <f>IF($A45="-","-",VLOOKUP($A45,[3]Controle!$A$6:$BO$105,BK$25,FALSE))</f>
        <v>-</v>
      </c>
      <c r="BL45" s="53" t="str">
        <f>IF($A45="-","-",VLOOKUP($A45,[3]Controle!$A$6:$BO$105,BL$25,FALSE))</f>
        <v>-</v>
      </c>
      <c r="BM45" s="53" t="str">
        <f>IF($A45="-","-",VLOOKUP($A45,[3]Controle!$A$6:$BO$105,BM$25,FALSE))</f>
        <v>-</v>
      </c>
      <c r="BN45" s="53" t="str">
        <f>IF($A45="-","-",VLOOKUP($A45,[3]Controle!$A$6:$BO$105,BN$25,FALSE))</f>
        <v>-</v>
      </c>
      <c r="BO45" s="53" t="str">
        <f>IF($A45="-","-",VLOOKUP($A45,[3]Controle!$A$6:$BO$105,BO$25,FALSE))</f>
        <v>-</v>
      </c>
      <c r="CT45" s="41">
        <f>IF(CV45="-",0,MAX($CT$28:CT44)+1)</f>
        <v>0</v>
      </c>
      <c r="CU45" s="53" t="str">
        <f t="shared" si="18"/>
        <v>-</v>
      </c>
      <c r="CV45" s="53" t="str">
        <f t="shared" si="13"/>
        <v>-</v>
      </c>
      <c r="CW45" s="53" t="str">
        <f t="shared" si="19"/>
        <v>-</v>
      </c>
      <c r="CY45" s="41" t="str">
        <f t="shared" si="15"/>
        <v>-</v>
      </c>
    </row>
    <row r="46" spans="1:103" x14ac:dyDescent="0.3">
      <c r="A46" s="56" t="s">
        <v>54</v>
      </c>
      <c r="B46" s="53" t="str">
        <f>IF($A46="-","-",VLOOKUP($A46,[3]Controle!$A$6:$BO$105,B$25,FALSE))</f>
        <v>-</v>
      </c>
      <c r="C46" s="53" t="str">
        <f>IF($A46="-","-",VLOOKUP($A46,[3]Controle!$A$6:$BO$105,C$25,FALSE))</f>
        <v>-</v>
      </c>
      <c r="D46" s="53" t="str">
        <f>IF($A46="-","-",VLOOKUP($A46,[3]Controle!$A$6:$BO$105,D$25,FALSE))</f>
        <v>-</v>
      </c>
      <c r="E46" s="53" t="str">
        <f>IF($A46="-","-",VLOOKUP($A46,[3]Controle!$A$6:$BO$105,E$25,FALSE))</f>
        <v>-</v>
      </c>
      <c r="F46" s="53" t="str">
        <f>IF($A46="-","-",VLOOKUP($A46,[3]Controle!$A$6:$BO$105,F$25,FALSE))</f>
        <v>-</v>
      </c>
      <c r="G46" s="53" t="str">
        <f>IF($A46="-","-",VLOOKUP($A46,[3]Controle!$A$6:$BO$105,G$25,FALSE))</f>
        <v>-</v>
      </c>
      <c r="H46" s="54" t="str">
        <f>IF($A46="-","-",VLOOKUP($A46,[3]Controle!$A$6:$BO$105,H$25,FALSE))</f>
        <v>-</v>
      </c>
      <c r="I46" s="55" t="str">
        <f>IF($A46="-","-",VLOOKUP($A46,[3]Controle!$A$6:$BO$105,I$25,FALSE))</f>
        <v>-</v>
      </c>
      <c r="J46" s="53" t="str">
        <f>IF($A46="-","-",VLOOKUP($A46,[3]Controle!$A$6:$BO$105,J$25,FALSE))</f>
        <v>-</v>
      </c>
      <c r="K46" s="53" t="str">
        <f>IF($A46="-","-",VLOOKUP($A46,[3]Controle!$A$6:$BO$105,K$25,FALSE))</f>
        <v>-</v>
      </c>
      <c r="L46" s="53" t="str">
        <f>IF($A46="-","-",VLOOKUP($A46,[3]Controle!$A$6:$BO$105,L$25,FALSE))</f>
        <v>-</v>
      </c>
      <c r="M46" s="53" t="str">
        <f>IF($A46="-","-",VLOOKUP($A46,[3]Controle!$A$6:$BO$105,M$25,FALSE))</f>
        <v>-</v>
      </c>
      <c r="N46" s="53" t="str">
        <f>IF($A46="-","-",VLOOKUP($A46,[3]Controle!$A$6:$BO$105,N$25,FALSE))</f>
        <v>-</v>
      </c>
      <c r="O46" s="53" t="str">
        <f>IF($A46="-","-",VLOOKUP($A46,[3]Controle!$A$6:$BO$105,O$25,FALSE))</f>
        <v>-</v>
      </c>
      <c r="P46" s="53" t="str">
        <f>IF($A46="-","-",VLOOKUP($A46,[3]Controle!$A$6:$BO$105,P$25,FALSE))</f>
        <v>-</v>
      </c>
      <c r="Q46" s="53" t="str">
        <f>IF($A46="-","-",VLOOKUP($A46,[3]Controle!$A$6:$BO$105,Q$25,FALSE))</f>
        <v>-</v>
      </c>
      <c r="R46" s="53" t="str">
        <f>IF($A46="-","-",VLOOKUP($A46,[3]Controle!$A$6:$BO$105,R$25,FALSE))</f>
        <v>-</v>
      </c>
      <c r="S46" s="53" t="str">
        <f>IF($A46="-","-",VLOOKUP($A46,[3]Controle!$A$6:$BO$105,S$25,FALSE))</f>
        <v>-</v>
      </c>
      <c r="T46" s="53" t="str">
        <f>IF($A46="-","-",VLOOKUP($A46,[3]Controle!$A$6:$BO$105,T$25,FALSE))</f>
        <v>-</v>
      </c>
      <c r="U46" s="53" t="str">
        <f>IF($A46="-","-",VLOOKUP($A46,[3]Controle!$A$6:$BO$105,U$25,FALSE))</f>
        <v>-</v>
      </c>
      <c r="V46" s="53" t="str">
        <f>IF($A46="-","-",VLOOKUP($A46,[3]Controle!$A$6:$BO$105,V$25,FALSE))</f>
        <v>-</v>
      </c>
      <c r="W46" s="53" t="str">
        <f>IF($A46="-","-",VLOOKUP($A46,[3]Controle!$A$6:$BO$105,W$25,FALSE))</f>
        <v>-</v>
      </c>
      <c r="X46" s="53" t="str">
        <f>IF($A46="-","-",VLOOKUP($A46,[3]Controle!$A$6:$BO$105,X$25,FALSE))</f>
        <v>-</v>
      </c>
      <c r="Y46" s="53" t="str">
        <f>IF($A46="-","-",VLOOKUP($A46,[3]Controle!$A$6:$BO$105,Y$25,FALSE))</f>
        <v>-</v>
      </c>
      <c r="Z46" s="53" t="str">
        <f>IF($A46="-","-",VLOOKUP($A46,[3]Controle!$A$6:$BO$105,Z$25,FALSE))</f>
        <v>-</v>
      </c>
      <c r="AA46" s="53" t="str">
        <f>IF($A46="-","-",VLOOKUP($A46,[3]Controle!$A$6:$BO$105,AA$25,FALSE))</f>
        <v>-</v>
      </c>
      <c r="AB46" s="53" t="str">
        <f>IF($A46="-","-",VLOOKUP($A46,[3]Controle!$A$6:$BO$105,AB$25,FALSE))</f>
        <v>-</v>
      </c>
      <c r="AC46" s="53" t="str">
        <f>IF($A46="-","-",VLOOKUP($A46,[3]Controle!$A$6:$BO$105,AC$25,FALSE))</f>
        <v>-</v>
      </c>
      <c r="AD46" s="53" t="str">
        <f>IF($A46="-","-",VLOOKUP($A46,[3]Controle!$A$6:$BO$105,AD$25,FALSE))</f>
        <v>-</v>
      </c>
      <c r="AE46" s="53" t="str">
        <f>IF($A46="-","-",VLOOKUP($A46,[3]Controle!$A$6:$BO$105,AE$25,FALSE))</f>
        <v>-</v>
      </c>
      <c r="AF46" s="53" t="str">
        <f>IF($A46="-","-",VLOOKUP($A46,[3]Controle!$A$6:$BO$105,AF$25,FALSE))</f>
        <v>-</v>
      </c>
      <c r="AG46" s="53" t="str">
        <f>IF($A46="-","-",VLOOKUP($A46,[3]Controle!$A$6:$BO$105,AG$25,FALSE))</f>
        <v>-</v>
      </c>
      <c r="AH46" s="53" t="str">
        <f>IF($A46="-","-",VLOOKUP($A46,[3]Controle!$A$6:$BO$105,AH$25,FALSE))</f>
        <v>-</v>
      </c>
      <c r="AI46" s="53" t="str">
        <f>IF($A46="-","-",VLOOKUP($A46,[3]Controle!$A$6:$BO$105,AI$25,FALSE))</f>
        <v>-</v>
      </c>
      <c r="AJ46" s="53" t="str">
        <f>IF($A46="-","-",VLOOKUP($A46,[3]Controle!$A$6:$BO$105,AJ$25,FALSE))</f>
        <v>-</v>
      </c>
      <c r="AK46" s="53" t="str">
        <f>IF($A46="-","-",VLOOKUP($A46,[3]Controle!$A$6:$BO$105,AK$25,FALSE))</f>
        <v>-</v>
      </c>
      <c r="AL46" s="53" t="str">
        <f>IF($A46="-","-",VLOOKUP($A46,[3]Controle!$A$6:$BO$105,AL$25,FALSE))</f>
        <v>-</v>
      </c>
      <c r="AM46" s="53" t="str">
        <f>IF($A46="-","-",VLOOKUP($A46,[3]Controle!$A$6:$BO$105,AM$25,FALSE))</f>
        <v>-</v>
      </c>
      <c r="AN46" s="53" t="str">
        <f>IF($A46="-","-",VLOOKUP($A46,[3]Controle!$A$6:$BO$105,AN$25,FALSE))</f>
        <v>-</v>
      </c>
      <c r="AO46" s="53" t="str">
        <f>IF($A46="-","-",VLOOKUP($A46,[3]Controle!$A$6:$BO$105,AO$25,FALSE))</f>
        <v>-</v>
      </c>
      <c r="AP46" s="53" t="str">
        <f>IF($A46="-","-",VLOOKUP($A46,[3]Controle!$A$6:$BO$105,AP$25,FALSE))</f>
        <v>-</v>
      </c>
      <c r="AQ46" s="53" t="str">
        <f>IF($A46="-","-",VLOOKUP($A46,[3]Controle!$A$6:$BO$105,AQ$25,FALSE))</f>
        <v>-</v>
      </c>
      <c r="AR46" s="53" t="str">
        <f>IF($A46="-","-",VLOOKUP($A46,[3]Controle!$A$6:$BO$105,AR$25,FALSE))</f>
        <v>-</v>
      </c>
      <c r="AS46" s="53" t="str">
        <f>IF($A46="-","-",VLOOKUP($A46,[3]Controle!$A$6:$BO$105,AS$25,FALSE))</f>
        <v>-</v>
      </c>
      <c r="AT46" s="53" t="str">
        <f>IF($A46="-","-",VLOOKUP($A46,[3]Controle!$A$6:$BO$105,AT$25,FALSE))</f>
        <v>-</v>
      </c>
      <c r="AU46" s="53" t="str">
        <f>IF($A46="-","-",VLOOKUP($A46,[3]Controle!$A$6:$BO$105,AU$25,FALSE))</f>
        <v>-</v>
      </c>
      <c r="AV46" s="53" t="str">
        <f>IF($A46="-","-",VLOOKUP($A46,[3]Controle!$A$6:$BO$105,AV$25,FALSE))</f>
        <v>-</v>
      </c>
      <c r="AW46" s="53" t="str">
        <f>IF($A46="-","-",VLOOKUP($A46,[3]Controle!$A$6:$BO$105,AW$25,FALSE))</f>
        <v>-</v>
      </c>
      <c r="AX46" s="53" t="str">
        <f>IF($A46="-","-",VLOOKUP($A46,[3]Controle!$A$6:$BO$105,AX$25,FALSE))</f>
        <v>-</v>
      </c>
      <c r="AY46" s="53" t="str">
        <f>IF($A46="-","-",VLOOKUP($A46,[3]Controle!$A$6:$BO$105,AY$25,FALSE))</f>
        <v>-</v>
      </c>
      <c r="AZ46" s="53" t="str">
        <f>IF($A46="-","-",VLOOKUP($A46,[3]Controle!$A$6:$BO$105,AZ$25,FALSE))</f>
        <v>-</v>
      </c>
      <c r="BA46" s="53" t="str">
        <f>IF($A46="-","-",VLOOKUP($A46,[3]Controle!$A$6:$BO$105,BA$25,FALSE))</f>
        <v>-</v>
      </c>
      <c r="BB46" s="53" t="str">
        <f>IF($A46="-","-",VLOOKUP($A46,[3]Controle!$A$6:$BO$105,BB$25,FALSE))</f>
        <v>-</v>
      </c>
      <c r="BC46" s="53" t="str">
        <f>IF($A46="-","-",VLOOKUP($A46,[3]Controle!$A$6:$BO$105,BC$25,FALSE))</f>
        <v>-</v>
      </c>
      <c r="BD46" s="53" t="str">
        <f>IF($A46="-","-",VLOOKUP($A46,[3]Controle!$A$6:$BO$105,BD$25,FALSE))</f>
        <v>-</v>
      </c>
      <c r="BE46" s="53" t="str">
        <f>IF($A46="-","-",VLOOKUP($A46,[3]Controle!$A$6:$BO$105,BE$25,FALSE))</f>
        <v>-</v>
      </c>
      <c r="BF46" s="53" t="str">
        <f>IF($A46="-","-",VLOOKUP($A46,[3]Controle!$A$6:$BO$105,BF$25,FALSE))</f>
        <v>-</v>
      </c>
      <c r="BG46" s="53" t="str">
        <f>IF($A46="-","-",VLOOKUP($A46,[3]Controle!$A$6:$BO$105,BG$25,FALSE))</f>
        <v>-</v>
      </c>
      <c r="BH46" s="53" t="str">
        <f>IF($A46="-","-",VLOOKUP($A46,[3]Controle!$A$6:$BO$105,BH$25,FALSE))</f>
        <v>-</v>
      </c>
      <c r="BI46" s="53" t="str">
        <f>IF($A46="-","-",VLOOKUP($A46,[3]Controle!$A$6:$BO$105,BI$25,FALSE))</f>
        <v>-</v>
      </c>
      <c r="BJ46" s="53" t="str">
        <f>IF($A46="-","-",VLOOKUP($A46,[3]Controle!$A$6:$BO$105,BJ$25,FALSE))</f>
        <v>-</v>
      </c>
      <c r="BK46" s="53" t="str">
        <f>IF($A46="-","-",VLOOKUP($A46,[3]Controle!$A$6:$BO$105,BK$25,FALSE))</f>
        <v>-</v>
      </c>
      <c r="BL46" s="53" t="str">
        <f>IF($A46="-","-",VLOOKUP($A46,[3]Controle!$A$6:$BO$105,BL$25,FALSE))</f>
        <v>-</v>
      </c>
      <c r="BM46" s="53" t="str">
        <f>IF($A46="-","-",VLOOKUP($A46,[3]Controle!$A$6:$BO$105,BM$25,FALSE))</f>
        <v>-</v>
      </c>
      <c r="BN46" s="53" t="str">
        <f>IF($A46="-","-",VLOOKUP($A46,[3]Controle!$A$6:$BO$105,BN$25,FALSE))</f>
        <v>-</v>
      </c>
      <c r="BO46" s="53" t="str">
        <f>IF($A46="-","-",VLOOKUP($A46,[3]Controle!$A$6:$BO$105,BO$25,FALSE))</f>
        <v>-</v>
      </c>
      <c r="CT46" s="41">
        <f>IF(CV46="-",0,MAX($CT$28:CT45)+1)</f>
        <v>0</v>
      </c>
      <c r="CU46" s="53" t="str">
        <f t="shared" si="18"/>
        <v>-</v>
      </c>
      <c r="CV46" s="53" t="str">
        <f t="shared" si="13"/>
        <v>-</v>
      </c>
      <c r="CW46" s="53" t="str">
        <f t="shared" si="19"/>
        <v>-</v>
      </c>
      <c r="CY46" s="41" t="str">
        <f t="shared" si="15"/>
        <v>-</v>
      </c>
    </row>
    <row r="47" spans="1:103" x14ac:dyDescent="0.3">
      <c r="A47" s="56" t="s">
        <v>54</v>
      </c>
      <c r="B47" s="53" t="str">
        <f>IF($A47="-","-",VLOOKUP($A47,[3]Controle!$A$6:$BO$105,B$25,FALSE))</f>
        <v>-</v>
      </c>
      <c r="C47" s="53" t="str">
        <f>IF($A47="-","-",VLOOKUP($A47,[3]Controle!$A$6:$BO$105,C$25,FALSE))</f>
        <v>-</v>
      </c>
      <c r="D47" s="53" t="str">
        <f>IF($A47="-","-",VLOOKUP($A47,[3]Controle!$A$6:$BO$105,D$25,FALSE))</f>
        <v>-</v>
      </c>
      <c r="E47" s="53" t="str">
        <f>IF($A47="-","-",VLOOKUP($A47,[3]Controle!$A$6:$BO$105,E$25,FALSE))</f>
        <v>-</v>
      </c>
      <c r="F47" s="53" t="str">
        <f>IF($A47="-","-",VLOOKUP($A47,[3]Controle!$A$6:$BO$105,F$25,FALSE))</f>
        <v>-</v>
      </c>
      <c r="G47" s="53" t="str">
        <f>IF($A47="-","-",VLOOKUP($A47,[3]Controle!$A$6:$BO$105,G$25,FALSE))</f>
        <v>-</v>
      </c>
      <c r="H47" s="54" t="str">
        <f>IF($A47="-","-",VLOOKUP($A47,[3]Controle!$A$6:$BO$105,H$25,FALSE))</f>
        <v>-</v>
      </c>
      <c r="I47" s="55" t="str">
        <f>IF($A47="-","-",VLOOKUP($A47,[3]Controle!$A$6:$BO$105,I$25,FALSE))</f>
        <v>-</v>
      </c>
      <c r="J47" s="53" t="str">
        <f>IF($A47="-","-",VLOOKUP($A47,[3]Controle!$A$6:$BO$105,J$25,FALSE))</f>
        <v>-</v>
      </c>
      <c r="K47" s="53" t="str">
        <f>IF($A47="-","-",VLOOKUP($A47,[3]Controle!$A$6:$BO$105,K$25,FALSE))</f>
        <v>-</v>
      </c>
      <c r="L47" s="53" t="str">
        <f>IF($A47="-","-",VLOOKUP($A47,[3]Controle!$A$6:$BO$105,L$25,FALSE))</f>
        <v>-</v>
      </c>
      <c r="M47" s="53" t="str">
        <f>IF($A47="-","-",VLOOKUP($A47,[3]Controle!$A$6:$BO$105,M$25,FALSE))</f>
        <v>-</v>
      </c>
      <c r="N47" s="53" t="str">
        <f>IF($A47="-","-",VLOOKUP($A47,[3]Controle!$A$6:$BO$105,N$25,FALSE))</f>
        <v>-</v>
      </c>
      <c r="O47" s="53" t="str">
        <f>IF($A47="-","-",VLOOKUP($A47,[3]Controle!$A$6:$BO$105,O$25,FALSE))</f>
        <v>-</v>
      </c>
      <c r="P47" s="53" t="str">
        <f>IF($A47="-","-",VLOOKUP($A47,[3]Controle!$A$6:$BO$105,P$25,FALSE))</f>
        <v>-</v>
      </c>
      <c r="Q47" s="53" t="str">
        <f>IF($A47="-","-",VLOOKUP($A47,[3]Controle!$A$6:$BO$105,Q$25,FALSE))</f>
        <v>-</v>
      </c>
      <c r="R47" s="53" t="str">
        <f>IF($A47="-","-",VLOOKUP($A47,[3]Controle!$A$6:$BO$105,R$25,FALSE))</f>
        <v>-</v>
      </c>
      <c r="S47" s="53" t="str">
        <f>IF($A47="-","-",VLOOKUP($A47,[3]Controle!$A$6:$BO$105,S$25,FALSE))</f>
        <v>-</v>
      </c>
      <c r="T47" s="53" t="str">
        <f>IF($A47="-","-",VLOOKUP($A47,[3]Controle!$A$6:$BO$105,T$25,FALSE))</f>
        <v>-</v>
      </c>
      <c r="U47" s="53" t="str">
        <f>IF($A47="-","-",VLOOKUP($A47,[3]Controle!$A$6:$BO$105,U$25,FALSE))</f>
        <v>-</v>
      </c>
      <c r="V47" s="53" t="str">
        <f>IF($A47="-","-",VLOOKUP($A47,[3]Controle!$A$6:$BO$105,V$25,FALSE))</f>
        <v>-</v>
      </c>
      <c r="W47" s="53" t="str">
        <f>IF($A47="-","-",VLOOKUP($A47,[3]Controle!$A$6:$BO$105,W$25,FALSE))</f>
        <v>-</v>
      </c>
      <c r="X47" s="53" t="str">
        <f>IF($A47="-","-",VLOOKUP($A47,[3]Controle!$A$6:$BO$105,X$25,FALSE))</f>
        <v>-</v>
      </c>
      <c r="Y47" s="53" t="str">
        <f>IF($A47="-","-",VLOOKUP($A47,[3]Controle!$A$6:$BO$105,Y$25,FALSE))</f>
        <v>-</v>
      </c>
      <c r="Z47" s="53" t="str">
        <f>IF($A47="-","-",VLOOKUP($A47,[3]Controle!$A$6:$BO$105,Z$25,FALSE))</f>
        <v>-</v>
      </c>
      <c r="AA47" s="53" t="str">
        <f>IF($A47="-","-",VLOOKUP($A47,[3]Controle!$A$6:$BO$105,AA$25,FALSE))</f>
        <v>-</v>
      </c>
      <c r="AB47" s="53" t="str">
        <f>IF($A47="-","-",VLOOKUP($A47,[3]Controle!$A$6:$BO$105,AB$25,FALSE))</f>
        <v>-</v>
      </c>
      <c r="AC47" s="53" t="str">
        <f>IF($A47="-","-",VLOOKUP($A47,[3]Controle!$A$6:$BO$105,AC$25,FALSE))</f>
        <v>-</v>
      </c>
      <c r="AD47" s="53" t="str">
        <f>IF($A47="-","-",VLOOKUP($A47,[3]Controle!$A$6:$BO$105,AD$25,FALSE))</f>
        <v>-</v>
      </c>
      <c r="AE47" s="53" t="str">
        <f>IF($A47="-","-",VLOOKUP($A47,[3]Controle!$A$6:$BO$105,AE$25,FALSE))</f>
        <v>-</v>
      </c>
      <c r="AF47" s="53" t="str">
        <f>IF($A47="-","-",VLOOKUP($A47,[3]Controle!$A$6:$BO$105,AF$25,FALSE))</f>
        <v>-</v>
      </c>
      <c r="AG47" s="53" t="str">
        <f>IF($A47="-","-",VLOOKUP($A47,[3]Controle!$A$6:$BO$105,AG$25,FALSE))</f>
        <v>-</v>
      </c>
      <c r="AH47" s="53" t="str">
        <f>IF($A47="-","-",VLOOKUP($A47,[3]Controle!$A$6:$BO$105,AH$25,FALSE))</f>
        <v>-</v>
      </c>
      <c r="AI47" s="53" t="str">
        <f>IF($A47="-","-",VLOOKUP($A47,[3]Controle!$A$6:$BO$105,AI$25,FALSE))</f>
        <v>-</v>
      </c>
      <c r="AJ47" s="53" t="str">
        <f>IF($A47="-","-",VLOOKUP($A47,[3]Controle!$A$6:$BO$105,AJ$25,FALSE))</f>
        <v>-</v>
      </c>
      <c r="AK47" s="53" t="str">
        <f>IF($A47="-","-",VLOOKUP($A47,[3]Controle!$A$6:$BO$105,AK$25,FALSE))</f>
        <v>-</v>
      </c>
      <c r="AL47" s="53" t="str">
        <f>IF($A47="-","-",VLOOKUP($A47,[3]Controle!$A$6:$BO$105,AL$25,FALSE))</f>
        <v>-</v>
      </c>
      <c r="AM47" s="53" t="str">
        <f>IF($A47="-","-",VLOOKUP($A47,[3]Controle!$A$6:$BO$105,AM$25,FALSE))</f>
        <v>-</v>
      </c>
      <c r="AN47" s="53" t="str">
        <f>IF($A47="-","-",VLOOKUP($A47,[3]Controle!$A$6:$BO$105,AN$25,FALSE))</f>
        <v>-</v>
      </c>
      <c r="AO47" s="53" t="str">
        <f>IF($A47="-","-",VLOOKUP($A47,[3]Controle!$A$6:$BO$105,AO$25,FALSE))</f>
        <v>-</v>
      </c>
      <c r="AP47" s="53" t="str">
        <f>IF($A47="-","-",VLOOKUP($A47,[3]Controle!$A$6:$BO$105,AP$25,FALSE))</f>
        <v>-</v>
      </c>
      <c r="AQ47" s="53" t="str">
        <f>IF($A47="-","-",VLOOKUP($A47,[3]Controle!$A$6:$BO$105,AQ$25,FALSE))</f>
        <v>-</v>
      </c>
      <c r="AR47" s="53" t="str">
        <f>IF($A47="-","-",VLOOKUP($A47,[3]Controle!$A$6:$BO$105,AR$25,FALSE))</f>
        <v>-</v>
      </c>
      <c r="AS47" s="53" t="str">
        <f>IF($A47="-","-",VLOOKUP($A47,[3]Controle!$A$6:$BO$105,AS$25,FALSE))</f>
        <v>-</v>
      </c>
      <c r="AT47" s="53" t="str">
        <f>IF($A47="-","-",VLOOKUP($A47,[3]Controle!$A$6:$BO$105,AT$25,FALSE))</f>
        <v>-</v>
      </c>
      <c r="AU47" s="53" t="str">
        <f>IF($A47="-","-",VLOOKUP($A47,[3]Controle!$A$6:$BO$105,AU$25,FALSE))</f>
        <v>-</v>
      </c>
      <c r="AV47" s="53" t="str">
        <f>IF($A47="-","-",VLOOKUP($A47,[3]Controle!$A$6:$BO$105,AV$25,FALSE))</f>
        <v>-</v>
      </c>
      <c r="AW47" s="53" t="str">
        <f>IF($A47="-","-",VLOOKUP($A47,[3]Controle!$A$6:$BO$105,AW$25,FALSE))</f>
        <v>-</v>
      </c>
      <c r="AX47" s="53" t="str">
        <f>IF($A47="-","-",VLOOKUP($A47,[3]Controle!$A$6:$BO$105,AX$25,FALSE))</f>
        <v>-</v>
      </c>
      <c r="AY47" s="53" t="str">
        <f>IF($A47="-","-",VLOOKUP($A47,[3]Controle!$A$6:$BO$105,AY$25,FALSE))</f>
        <v>-</v>
      </c>
      <c r="AZ47" s="53" t="str">
        <f>IF($A47="-","-",VLOOKUP($A47,[3]Controle!$A$6:$BO$105,AZ$25,FALSE))</f>
        <v>-</v>
      </c>
      <c r="BA47" s="53" t="str">
        <f>IF($A47="-","-",VLOOKUP($A47,[3]Controle!$A$6:$BO$105,BA$25,FALSE))</f>
        <v>-</v>
      </c>
      <c r="BB47" s="53" t="str">
        <f>IF($A47="-","-",VLOOKUP($A47,[3]Controle!$A$6:$BO$105,BB$25,FALSE))</f>
        <v>-</v>
      </c>
      <c r="BC47" s="53" t="str">
        <f>IF($A47="-","-",VLOOKUP($A47,[3]Controle!$A$6:$BO$105,BC$25,FALSE))</f>
        <v>-</v>
      </c>
      <c r="BD47" s="53" t="str">
        <f>IF($A47="-","-",VLOOKUP($A47,[3]Controle!$A$6:$BO$105,BD$25,FALSE))</f>
        <v>-</v>
      </c>
      <c r="BE47" s="53" t="str">
        <f>IF($A47="-","-",VLOOKUP($A47,[3]Controle!$A$6:$BO$105,BE$25,FALSE))</f>
        <v>-</v>
      </c>
      <c r="BF47" s="53" t="str">
        <f>IF($A47="-","-",VLOOKUP($A47,[3]Controle!$A$6:$BO$105,BF$25,FALSE))</f>
        <v>-</v>
      </c>
      <c r="BG47" s="53" t="str">
        <f>IF($A47="-","-",VLOOKUP($A47,[3]Controle!$A$6:$BO$105,BG$25,FALSE))</f>
        <v>-</v>
      </c>
      <c r="BH47" s="53" t="str">
        <f>IF($A47="-","-",VLOOKUP($A47,[3]Controle!$A$6:$BO$105,BH$25,FALSE))</f>
        <v>-</v>
      </c>
      <c r="BI47" s="53" t="str">
        <f>IF($A47="-","-",VLOOKUP($A47,[3]Controle!$A$6:$BO$105,BI$25,FALSE))</f>
        <v>-</v>
      </c>
      <c r="BJ47" s="53" t="str">
        <f>IF($A47="-","-",VLOOKUP($A47,[3]Controle!$A$6:$BO$105,BJ$25,FALSE))</f>
        <v>-</v>
      </c>
      <c r="BK47" s="53" t="str">
        <f>IF($A47="-","-",VLOOKUP($A47,[3]Controle!$A$6:$BO$105,BK$25,FALSE))</f>
        <v>-</v>
      </c>
      <c r="BL47" s="53" t="str">
        <f>IF($A47="-","-",VLOOKUP($A47,[3]Controle!$A$6:$BO$105,BL$25,FALSE))</f>
        <v>-</v>
      </c>
      <c r="BM47" s="53" t="str">
        <f>IF($A47="-","-",VLOOKUP($A47,[3]Controle!$A$6:$BO$105,BM$25,FALSE))</f>
        <v>-</v>
      </c>
      <c r="BN47" s="53" t="str">
        <f>IF($A47="-","-",VLOOKUP($A47,[3]Controle!$A$6:$BO$105,BN$25,FALSE))</f>
        <v>-</v>
      </c>
      <c r="BO47" s="53" t="str">
        <f>IF($A47="-","-",VLOOKUP($A47,[3]Controle!$A$6:$BO$105,BO$25,FALSE))</f>
        <v>-</v>
      </c>
      <c r="CT47" s="41">
        <f>IF(CV47="-",0,MAX($CT$28:CT46)+1)</f>
        <v>0</v>
      </c>
      <c r="CU47" s="53" t="str">
        <f>IF(CW47="-","-",IF($G$1&lt;=I47,"VÁLIDO","VENCIDO"))</f>
        <v>-</v>
      </c>
      <c r="CV47" s="53" t="str">
        <f t="shared" si="13"/>
        <v>-</v>
      </c>
      <c r="CW47" s="53" t="str">
        <f t="shared" si="19"/>
        <v>-</v>
      </c>
      <c r="CY47" s="41" t="str">
        <f t="shared" si="15"/>
        <v>-</v>
      </c>
    </row>
    <row r="48" spans="1:103" s="44" customFormat="1" x14ac:dyDescent="0.3">
      <c r="A48" s="43">
        <v>1</v>
      </c>
      <c r="B48" s="44">
        <f t="shared" ref="B48:BM48" si="20">A48+1</f>
        <v>2</v>
      </c>
      <c r="C48" s="44">
        <f t="shared" si="20"/>
        <v>3</v>
      </c>
      <c r="D48" s="44">
        <f t="shared" si="20"/>
        <v>4</v>
      </c>
      <c r="E48" s="44">
        <f t="shared" si="20"/>
        <v>5</v>
      </c>
      <c r="F48" s="44">
        <f t="shared" si="20"/>
        <v>6</v>
      </c>
      <c r="G48" s="44">
        <f t="shared" si="20"/>
        <v>7</v>
      </c>
      <c r="H48" s="44">
        <f t="shared" si="20"/>
        <v>8</v>
      </c>
      <c r="I48" s="44">
        <f t="shared" si="20"/>
        <v>9</v>
      </c>
      <c r="J48" s="44">
        <f t="shared" si="20"/>
        <v>10</v>
      </c>
      <c r="K48" s="44">
        <f t="shared" si="20"/>
        <v>11</v>
      </c>
      <c r="L48" s="44">
        <f t="shared" si="20"/>
        <v>12</v>
      </c>
      <c r="M48" s="44">
        <f t="shared" si="20"/>
        <v>13</v>
      </c>
      <c r="N48" s="44">
        <f t="shared" si="20"/>
        <v>14</v>
      </c>
      <c r="O48" s="44">
        <f t="shared" si="20"/>
        <v>15</v>
      </c>
      <c r="P48" s="44">
        <f t="shared" si="20"/>
        <v>16</v>
      </c>
      <c r="Q48" s="44">
        <f t="shared" si="20"/>
        <v>17</v>
      </c>
      <c r="R48" s="44">
        <f t="shared" si="20"/>
        <v>18</v>
      </c>
      <c r="S48" s="44">
        <f t="shared" si="20"/>
        <v>19</v>
      </c>
      <c r="T48" s="44">
        <f t="shared" si="20"/>
        <v>20</v>
      </c>
      <c r="U48" s="44">
        <f t="shared" si="20"/>
        <v>21</v>
      </c>
      <c r="V48" s="44">
        <f t="shared" si="20"/>
        <v>22</v>
      </c>
      <c r="W48" s="44">
        <f t="shared" si="20"/>
        <v>23</v>
      </c>
      <c r="X48" s="44">
        <f t="shared" si="20"/>
        <v>24</v>
      </c>
      <c r="Y48" s="44">
        <f t="shared" si="20"/>
        <v>25</v>
      </c>
      <c r="Z48" s="44">
        <f t="shared" si="20"/>
        <v>26</v>
      </c>
      <c r="AA48" s="44">
        <f t="shared" si="20"/>
        <v>27</v>
      </c>
      <c r="AB48" s="44">
        <f t="shared" si="20"/>
        <v>28</v>
      </c>
      <c r="AC48" s="44">
        <f t="shared" si="20"/>
        <v>29</v>
      </c>
      <c r="AD48" s="44">
        <f t="shared" si="20"/>
        <v>30</v>
      </c>
      <c r="AE48" s="44">
        <f t="shared" si="20"/>
        <v>31</v>
      </c>
      <c r="AF48" s="44">
        <f t="shared" si="20"/>
        <v>32</v>
      </c>
      <c r="AG48" s="44">
        <f t="shared" si="20"/>
        <v>33</v>
      </c>
      <c r="AH48" s="44">
        <f t="shared" si="20"/>
        <v>34</v>
      </c>
      <c r="AI48" s="44">
        <f t="shared" si="20"/>
        <v>35</v>
      </c>
      <c r="AJ48" s="44">
        <f t="shared" si="20"/>
        <v>36</v>
      </c>
      <c r="AK48" s="44">
        <f t="shared" si="20"/>
        <v>37</v>
      </c>
      <c r="AL48" s="44">
        <f t="shared" si="20"/>
        <v>38</v>
      </c>
      <c r="AM48" s="44">
        <f t="shared" si="20"/>
        <v>39</v>
      </c>
      <c r="AN48" s="44">
        <f t="shared" si="20"/>
        <v>40</v>
      </c>
      <c r="AO48" s="44">
        <f t="shared" si="20"/>
        <v>41</v>
      </c>
      <c r="AP48" s="44">
        <f t="shared" si="20"/>
        <v>42</v>
      </c>
      <c r="AQ48" s="44">
        <f t="shared" si="20"/>
        <v>43</v>
      </c>
      <c r="AR48" s="44">
        <f t="shared" si="20"/>
        <v>44</v>
      </c>
      <c r="AS48" s="44">
        <f t="shared" si="20"/>
        <v>45</v>
      </c>
      <c r="AT48" s="44">
        <f t="shared" si="20"/>
        <v>46</v>
      </c>
      <c r="AU48" s="44">
        <f t="shared" si="20"/>
        <v>47</v>
      </c>
      <c r="AV48" s="44">
        <f t="shared" si="20"/>
        <v>48</v>
      </c>
      <c r="AW48" s="44">
        <f t="shared" si="20"/>
        <v>49</v>
      </c>
      <c r="AX48" s="44">
        <f t="shared" si="20"/>
        <v>50</v>
      </c>
      <c r="AY48" s="44">
        <f t="shared" si="20"/>
        <v>51</v>
      </c>
      <c r="AZ48" s="44">
        <f t="shared" si="20"/>
        <v>52</v>
      </c>
      <c r="BA48" s="44">
        <f t="shared" si="20"/>
        <v>53</v>
      </c>
      <c r="BB48" s="44">
        <f t="shared" si="20"/>
        <v>54</v>
      </c>
      <c r="BC48" s="44">
        <f t="shared" si="20"/>
        <v>55</v>
      </c>
      <c r="BD48" s="44">
        <f t="shared" si="20"/>
        <v>56</v>
      </c>
      <c r="BE48" s="44">
        <f t="shared" si="20"/>
        <v>57</v>
      </c>
      <c r="BF48" s="44">
        <f t="shared" si="20"/>
        <v>58</v>
      </c>
      <c r="BG48" s="44">
        <f t="shared" si="20"/>
        <v>59</v>
      </c>
      <c r="BH48" s="44">
        <f t="shared" si="20"/>
        <v>60</v>
      </c>
      <c r="BI48" s="44">
        <f t="shared" si="20"/>
        <v>61</v>
      </c>
      <c r="BJ48" s="44">
        <f t="shared" si="20"/>
        <v>62</v>
      </c>
      <c r="BK48" s="44">
        <f t="shared" si="20"/>
        <v>63</v>
      </c>
      <c r="BL48" s="44">
        <f t="shared" si="20"/>
        <v>64</v>
      </c>
      <c r="BM48" s="44">
        <f t="shared" si="20"/>
        <v>65</v>
      </c>
      <c r="BN48" s="44">
        <f t="shared" ref="BN48:CV48" si="21">BM48+1</f>
        <v>66</v>
      </c>
      <c r="BO48" s="44">
        <f t="shared" si="21"/>
        <v>67</v>
      </c>
      <c r="BP48" s="44">
        <f t="shared" si="21"/>
        <v>68</v>
      </c>
      <c r="BQ48" s="44">
        <f t="shared" si="21"/>
        <v>69</v>
      </c>
      <c r="BR48" s="44">
        <f t="shared" si="21"/>
        <v>70</v>
      </c>
      <c r="BS48" s="44">
        <f t="shared" si="21"/>
        <v>71</v>
      </c>
      <c r="BT48" s="44">
        <f t="shared" si="21"/>
        <v>72</v>
      </c>
      <c r="BU48" s="44">
        <f t="shared" si="21"/>
        <v>73</v>
      </c>
      <c r="BV48" s="44">
        <f t="shared" si="21"/>
        <v>74</v>
      </c>
      <c r="BW48" s="44">
        <f t="shared" si="21"/>
        <v>75</v>
      </c>
      <c r="BX48" s="44">
        <f t="shared" si="21"/>
        <v>76</v>
      </c>
      <c r="BY48" s="44">
        <f t="shared" si="21"/>
        <v>77</v>
      </c>
      <c r="BZ48" s="44">
        <f t="shared" si="21"/>
        <v>78</v>
      </c>
      <c r="CA48" s="44">
        <f t="shared" si="21"/>
        <v>79</v>
      </c>
      <c r="CB48" s="44">
        <f t="shared" si="21"/>
        <v>80</v>
      </c>
      <c r="CC48" s="44">
        <f t="shared" si="21"/>
        <v>81</v>
      </c>
      <c r="CD48" s="44">
        <f t="shared" si="21"/>
        <v>82</v>
      </c>
      <c r="CE48" s="44">
        <f t="shared" si="21"/>
        <v>83</v>
      </c>
      <c r="CF48" s="44">
        <f t="shared" si="21"/>
        <v>84</v>
      </c>
      <c r="CG48" s="44">
        <f t="shared" si="21"/>
        <v>85</v>
      </c>
      <c r="CH48" s="44">
        <f t="shared" si="21"/>
        <v>86</v>
      </c>
      <c r="CI48" s="44">
        <f t="shared" si="21"/>
        <v>87</v>
      </c>
      <c r="CJ48" s="44">
        <f t="shared" si="21"/>
        <v>88</v>
      </c>
      <c r="CK48" s="44">
        <f t="shared" si="21"/>
        <v>89</v>
      </c>
      <c r="CL48" s="44">
        <f t="shared" si="21"/>
        <v>90</v>
      </c>
      <c r="CM48" s="44">
        <f t="shared" si="21"/>
        <v>91</v>
      </c>
      <c r="CN48" s="44">
        <f t="shared" si="21"/>
        <v>92</v>
      </c>
      <c r="CO48" s="44">
        <f t="shared" si="21"/>
        <v>93</v>
      </c>
      <c r="CP48" s="44">
        <f t="shared" si="21"/>
        <v>94</v>
      </c>
      <c r="CQ48" s="44">
        <f t="shared" si="21"/>
        <v>95</v>
      </c>
      <c r="CR48" s="44">
        <f t="shared" si="21"/>
        <v>96</v>
      </c>
      <c r="CS48" s="44">
        <f t="shared" si="21"/>
        <v>97</v>
      </c>
      <c r="CT48" s="44">
        <f t="shared" si="21"/>
        <v>98</v>
      </c>
      <c r="CU48" s="44">
        <f t="shared" si="21"/>
        <v>99</v>
      </c>
      <c r="CV48" s="44">
        <f t="shared" si="21"/>
        <v>100</v>
      </c>
    </row>
    <row r="49" spans="1:103" s="28" customFormat="1" ht="21" x14ac:dyDescent="0.3">
      <c r="A49" s="45"/>
      <c r="B49" s="40" t="s">
        <v>222</v>
      </c>
      <c r="P49" s="515" t="s">
        <v>141</v>
      </c>
      <c r="Q49" s="516"/>
      <c r="R49" s="516"/>
      <c r="S49" s="516"/>
      <c r="T49" s="516"/>
      <c r="U49" s="517"/>
      <c r="V49" s="518" t="s">
        <v>142</v>
      </c>
      <c r="W49" s="519"/>
      <c r="X49" s="519"/>
      <c r="Y49" s="520"/>
      <c r="Z49" s="511" t="s">
        <v>143</v>
      </c>
      <c r="AA49" s="512"/>
      <c r="AB49" s="512"/>
      <c r="AC49" s="513"/>
      <c r="AD49" s="518" t="s">
        <v>144</v>
      </c>
      <c r="AE49" s="519"/>
      <c r="AF49" s="519"/>
      <c r="AG49" s="520"/>
      <c r="AH49" s="511" t="s">
        <v>145</v>
      </c>
      <c r="AI49" s="512"/>
      <c r="AJ49" s="512"/>
      <c r="AK49" s="513"/>
      <c r="AL49" s="518" t="s">
        <v>146</v>
      </c>
      <c r="AM49" s="519"/>
      <c r="AN49" s="519"/>
      <c r="AO49" s="520"/>
      <c r="AP49" s="511" t="s">
        <v>147</v>
      </c>
      <c r="AQ49" s="512"/>
      <c r="AR49" s="512"/>
      <c r="AS49" s="513"/>
      <c r="AT49" s="518" t="s">
        <v>148</v>
      </c>
      <c r="AU49" s="519"/>
      <c r="AV49" s="519"/>
      <c r="AW49" s="520"/>
      <c r="AX49" s="511" t="s">
        <v>149</v>
      </c>
      <c r="AY49" s="512"/>
      <c r="AZ49" s="512"/>
      <c r="BA49" s="513"/>
      <c r="BB49" s="518" t="s">
        <v>150</v>
      </c>
      <c r="BC49" s="519"/>
      <c r="BD49" s="519"/>
      <c r="BE49" s="520"/>
      <c r="BF49" s="511" t="s">
        <v>151</v>
      </c>
      <c r="BG49" s="512"/>
      <c r="BH49" s="512"/>
      <c r="BI49" s="513"/>
      <c r="BJ49" s="518" t="s">
        <v>223</v>
      </c>
      <c r="BK49" s="519"/>
      <c r="BL49" s="519"/>
      <c r="BM49" s="520"/>
      <c r="BN49" s="511" t="s">
        <v>224</v>
      </c>
      <c r="BO49" s="512"/>
      <c r="BP49" s="512"/>
      <c r="BQ49" s="513"/>
      <c r="BR49" s="518" t="s">
        <v>225</v>
      </c>
      <c r="BS49" s="519"/>
      <c r="BT49" s="519"/>
      <c r="BU49" s="520"/>
      <c r="BV49" s="511" t="s">
        <v>226</v>
      </c>
      <c r="BW49" s="512"/>
      <c r="BX49" s="512"/>
      <c r="BY49" s="513"/>
      <c r="BZ49" s="518" t="s">
        <v>227</v>
      </c>
      <c r="CA49" s="519"/>
      <c r="CB49" s="519"/>
      <c r="CC49" s="520"/>
    </row>
    <row r="50" spans="1:103" s="28" customFormat="1" x14ac:dyDescent="0.3">
      <c r="A50" s="45"/>
      <c r="B50" s="47" t="s">
        <v>152</v>
      </c>
      <c r="C50" s="47" t="s">
        <v>153</v>
      </c>
      <c r="D50" s="47" t="s">
        <v>154</v>
      </c>
      <c r="E50" s="47" t="s">
        <v>155</v>
      </c>
      <c r="F50" s="47" t="s">
        <v>156</v>
      </c>
      <c r="G50" s="47" t="s">
        <v>157</v>
      </c>
      <c r="H50" s="47" t="s">
        <v>158</v>
      </c>
      <c r="I50" s="47" t="s">
        <v>159</v>
      </c>
      <c r="J50" s="47" t="s">
        <v>162</v>
      </c>
      <c r="K50" s="47" t="s">
        <v>163</v>
      </c>
      <c r="L50" s="47" t="s">
        <v>134</v>
      </c>
      <c r="M50" s="47" t="s">
        <v>228</v>
      </c>
      <c r="N50" s="47" t="s">
        <v>229</v>
      </c>
      <c r="O50" s="47" t="s">
        <v>230</v>
      </c>
      <c r="P50" s="48" t="s">
        <v>166</v>
      </c>
      <c r="Q50" s="48" t="s">
        <v>167</v>
      </c>
      <c r="R50" s="48" t="s">
        <v>173</v>
      </c>
      <c r="S50" s="48" t="s">
        <v>174</v>
      </c>
      <c r="T50" s="48" t="s">
        <v>175</v>
      </c>
      <c r="U50" s="48" t="s">
        <v>176</v>
      </c>
      <c r="V50" s="49" t="s">
        <v>177</v>
      </c>
      <c r="W50" s="49" t="s">
        <v>178</v>
      </c>
      <c r="X50" s="49" t="s">
        <v>179</v>
      </c>
      <c r="Y50" s="49" t="s">
        <v>180</v>
      </c>
      <c r="Z50" s="50" t="s">
        <v>181</v>
      </c>
      <c r="AA50" s="50" t="s">
        <v>182</v>
      </c>
      <c r="AB50" s="50" t="s">
        <v>183</v>
      </c>
      <c r="AC50" s="50" t="s">
        <v>184</v>
      </c>
      <c r="AD50" s="49" t="s">
        <v>185</v>
      </c>
      <c r="AE50" s="49" t="s">
        <v>186</v>
      </c>
      <c r="AF50" s="49" t="s">
        <v>187</v>
      </c>
      <c r="AG50" s="49" t="s">
        <v>188</v>
      </c>
      <c r="AH50" s="50" t="s">
        <v>189</v>
      </c>
      <c r="AI50" s="50" t="s">
        <v>190</v>
      </c>
      <c r="AJ50" s="50" t="s">
        <v>191</v>
      </c>
      <c r="AK50" s="50" t="s">
        <v>192</v>
      </c>
      <c r="AL50" s="49" t="s">
        <v>193</v>
      </c>
      <c r="AM50" s="49" t="s">
        <v>194</v>
      </c>
      <c r="AN50" s="49" t="s">
        <v>195</v>
      </c>
      <c r="AO50" s="49" t="s">
        <v>196</v>
      </c>
      <c r="AP50" s="50" t="s">
        <v>197</v>
      </c>
      <c r="AQ50" s="50" t="s">
        <v>198</v>
      </c>
      <c r="AR50" s="50" t="s">
        <v>199</v>
      </c>
      <c r="AS50" s="50" t="s">
        <v>200</v>
      </c>
      <c r="AT50" s="49" t="s">
        <v>201</v>
      </c>
      <c r="AU50" s="49" t="s">
        <v>202</v>
      </c>
      <c r="AV50" s="49" t="s">
        <v>203</v>
      </c>
      <c r="AW50" s="49" t="s">
        <v>204</v>
      </c>
      <c r="AX50" s="50" t="s">
        <v>205</v>
      </c>
      <c r="AY50" s="50" t="s">
        <v>206</v>
      </c>
      <c r="AZ50" s="50" t="s">
        <v>207</v>
      </c>
      <c r="BA50" s="50" t="s">
        <v>208</v>
      </c>
      <c r="BB50" s="49" t="s">
        <v>209</v>
      </c>
      <c r="BC50" s="49" t="s">
        <v>210</v>
      </c>
      <c r="BD50" s="49" t="s">
        <v>211</v>
      </c>
      <c r="BE50" s="49" t="s">
        <v>212</v>
      </c>
      <c r="BF50" s="50" t="s">
        <v>213</v>
      </c>
      <c r="BG50" s="50" t="s">
        <v>214</v>
      </c>
      <c r="BH50" s="50" t="s">
        <v>215</v>
      </c>
      <c r="BI50" s="50" t="s">
        <v>216</v>
      </c>
      <c r="BJ50" s="49" t="s">
        <v>231</v>
      </c>
      <c r="BK50" s="49" t="s">
        <v>232</v>
      </c>
      <c r="BL50" s="49" t="s">
        <v>233</v>
      </c>
      <c r="BM50" s="49" t="s">
        <v>234</v>
      </c>
      <c r="BN50" s="50" t="s">
        <v>235</v>
      </c>
      <c r="BO50" s="50" t="s">
        <v>236</v>
      </c>
      <c r="BP50" s="50" t="s">
        <v>237</v>
      </c>
      <c r="BQ50" s="50" t="s">
        <v>238</v>
      </c>
      <c r="BR50" s="49" t="s">
        <v>239</v>
      </c>
      <c r="BS50" s="49" t="s">
        <v>240</v>
      </c>
      <c r="BT50" s="49" t="s">
        <v>241</v>
      </c>
      <c r="BU50" s="49" t="s">
        <v>242</v>
      </c>
      <c r="BV50" s="50" t="s">
        <v>243</v>
      </c>
      <c r="BW50" s="50" t="s">
        <v>244</v>
      </c>
      <c r="BX50" s="50" t="s">
        <v>245</v>
      </c>
      <c r="BY50" s="50" t="s">
        <v>246</v>
      </c>
      <c r="BZ50" s="49" t="s">
        <v>247</v>
      </c>
      <c r="CA50" s="49" t="s">
        <v>248</v>
      </c>
      <c r="CB50" s="49" t="s">
        <v>249</v>
      </c>
      <c r="CC50" s="49" t="s">
        <v>250</v>
      </c>
      <c r="CT50" s="28">
        <f ca="1">MAX(CT51:CT70)</f>
        <v>1</v>
      </c>
      <c r="CU50" s="51" t="s">
        <v>217</v>
      </c>
      <c r="CV50" s="51" t="s">
        <v>251</v>
      </c>
    </row>
    <row r="51" spans="1:103" x14ac:dyDescent="0.3">
      <c r="A51" s="52">
        <v>9</v>
      </c>
      <c r="B51" s="53" t="str">
        <f>IF($A51="-","-",VLOOKUP($A51,[4]Controle!$A$6:$CC$25,B$48,FALSE))</f>
        <v>E.TH.LQ-001</v>
      </c>
      <c r="C51" s="53" t="str">
        <f>IF($A51="-","-",VLOOKUP($A51,[4]Controle!$A$6:$CC$25,C$48,FALSE))</f>
        <v>Barômetro Digital</v>
      </c>
      <c r="D51" s="53" t="str">
        <f>IF($A51="-","-",VLOOKUP($A51,[4]Controle!$A$6:$CC$25,D$48,FALSE))</f>
        <v>Elus</v>
      </c>
      <c r="E51" s="53" t="str">
        <f>IF($A51="-","-",VLOOKUP($A51,[4]Controle!$A$6:$CC$25,E$48,FALSE))</f>
        <v>RBC - CAL 0439</v>
      </c>
      <c r="F51" s="53" t="str">
        <f>IF($A51="-","-",VLOOKUP($A51,[4]Controle!$A$6:$CC$25,F$48,FALSE))</f>
        <v>E0397B/25</v>
      </c>
      <c r="G51" s="54">
        <f>IF($A51="-","-",VLOOKUP($A51,[4]Controle!$A$6:$CC$25,G$48,FALSE))</f>
        <v>45822</v>
      </c>
      <c r="H51" s="55">
        <f>IF($A51="-","-",VLOOKUP($A51,[4]Controle!$A$6:$CC$25,H$48,FALSE))</f>
        <v>46203</v>
      </c>
      <c r="I51" s="53" t="str">
        <f>IF($A51="-","-",VLOOKUP($A51,[4]Controle!$A$6:$CC$25,I$48,FALSE))</f>
        <v>hPa</v>
      </c>
      <c r="J51" s="53">
        <f>IF($A51="-","-",VLOOKUP($A51,[4]Controle!$A$6:$CC$25,J$48,FALSE))</f>
        <v>910.1</v>
      </c>
      <c r="K51" s="53">
        <f>IF($A51="-","-",VLOOKUP($A51,[4]Controle!$A$6:$CC$25,K$48,FALSE))</f>
        <v>950.2</v>
      </c>
      <c r="L51" s="53">
        <f>IF($A51="-","-",VLOOKUP($A51,[4]Controle!$A$6:$CC$25,L$48,FALSE))</f>
        <v>0.1</v>
      </c>
      <c r="M51" s="53">
        <f>IF($A51="-","-",VLOOKUP($A51,[4]Controle!$A$6:$CC$25,M$48,FALSE))</f>
        <v>0.20000000000004547</v>
      </c>
      <c r="N51" s="53">
        <f>IF($A51="-","-",VLOOKUP($A51,[4]Controle!$A$6:$CC$25,N$48,FALSE))</f>
        <v>0.2</v>
      </c>
      <c r="O51" s="53">
        <f>IF($A51="-","-",VLOOKUP($A51,[4]Controle!$A$6:$CC$25,O$48,FALSE))</f>
        <v>0.5</v>
      </c>
      <c r="P51" s="53">
        <f>IF($A51="-","-",VLOOKUP($A51,[4]Controle!$A$6:$CC$25,P$48,FALSE))</f>
        <v>0</v>
      </c>
      <c r="Q51" s="53">
        <f>IF($A51="-","-",VLOOKUP($A51,[4]Controle!$A$6:$CC$25,Q$48,FALSE))</f>
        <v>1</v>
      </c>
      <c r="R51" s="53">
        <f>IF($A51="-","-",VLOOKUP($A51,[4]Controle!$A$6:$CC$25,R$48,FALSE))</f>
        <v>0</v>
      </c>
      <c r="S51" s="53">
        <f>IF($A51="-","-",VLOOKUP($A51,[4]Controle!$A$6:$CC$25,S$48,FALSE))</f>
        <v>0</v>
      </c>
      <c r="T51" s="53">
        <f>IF($A51="-","-",VLOOKUP($A51,[4]Controle!$A$6:$CC$25,T$48,FALSE))</f>
        <v>1.0025000000000008</v>
      </c>
      <c r="U51" s="53">
        <f>IF($A51="-","-",VLOOKUP($A51,[4]Controle!$A$6:$CC$25,U$48,FALSE))</f>
        <v>-2.1916666666674018</v>
      </c>
      <c r="V51" s="53">
        <f>IF($A51="-","-",VLOOKUP($A51,[4]Controle!$A$6:$CC$25,V$48,FALSE))</f>
        <v>910.1</v>
      </c>
      <c r="W51" s="53">
        <f>IF($A51="-","-",VLOOKUP($A51,[4]Controle!$A$6:$CC$25,W$48,FALSE))</f>
        <v>0.2</v>
      </c>
      <c r="X51" s="53">
        <f>IF($A51="-","-",VLOOKUP($A51,[4]Controle!$A$6:$CC$25,X$48,FALSE))</f>
        <v>2</v>
      </c>
      <c r="Y51" s="53">
        <f>IF($A51="-","-",VLOOKUP($A51,[4]Controle!$A$6:$CC$25,Y$48,FALSE))</f>
        <v>1000000</v>
      </c>
      <c r="Z51" s="53">
        <f>IF($A51="-","-",VLOOKUP($A51,[4]Controle!$A$6:$CC$25,Z$48,FALSE))</f>
        <v>930.1</v>
      </c>
      <c r="AA51" s="53">
        <f>IF($A51="-","-",VLOOKUP($A51,[4]Controle!$A$6:$CC$25,AA$48,FALSE))</f>
        <v>0.2</v>
      </c>
      <c r="AB51" s="53">
        <f>IF($A51="-","-",VLOOKUP($A51,[4]Controle!$A$6:$CC$25,AB$48,FALSE))</f>
        <v>2</v>
      </c>
      <c r="AC51" s="53">
        <f>IF($A51="-","-",VLOOKUP($A51,[4]Controle!$A$6:$CC$25,AC$48,FALSE))</f>
        <v>1000000</v>
      </c>
      <c r="AD51" s="53">
        <f>IF($A51="-","-",VLOOKUP($A51,[4]Controle!$A$6:$CC$25,AD$48,FALSE))</f>
        <v>950.2</v>
      </c>
      <c r="AE51" s="53">
        <f>IF($A51="-","-",VLOOKUP($A51,[4]Controle!$A$6:$CC$25,AE$48,FALSE))</f>
        <v>0.2</v>
      </c>
      <c r="AF51" s="53">
        <f>IF($A51="-","-",VLOOKUP($A51,[4]Controle!$A$6:$CC$25,AF$48,FALSE))</f>
        <v>2</v>
      </c>
      <c r="AG51" s="53">
        <f>IF($A51="-","-",VLOOKUP($A51,[4]Controle!$A$6:$CC$25,AG$48,FALSE))</f>
        <v>1000000</v>
      </c>
      <c r="AH51" s="53" t="str">
        <f>IF($A51="-","-",VLOOKUP($A51,[4]Controle!$A$6:$CC$25,AH$48,FALSE))</f>
        <v>-</v>
      </c>
      <c r="AI51" s="53" t="str">
        <f>IF($A51="-","-",VLOOKUP($A51,[4]Controle!$A$6:$CC$25,AI$48,FALSE))</f>
        <v>-</v>
      </c>
      <c r="AJ51" s="53" t="str">
        <f>IF($A51="-","-",VLOOKUP($A51,[4]Controle!$A$6:$CC$25,AJ$48,FALSE))</f>
        <v>-</v>
      </c>
      <c r="AK51" s="53" t="str">
        <f>IF($A51="-","-",VLOOKUP($A51,[4]Controle!$A$6:$CC$25,AK$48,FALSE))</f>
        <v>-</v>
      </c>
      <c r="AL51" s="53" t="str">
        <f>IF($A51="-","-",VLOOKUP($A51,[4]Controle!$A$6:$CC$25,AL$48,FALSE))</f>
        <v>-</v>
      </c>
      <c r="AM51" s="53" t="str">
        <f>IF($A51="-","-",VLOOKUP($A51,[4]Controle!$A$6:$CC$25,AM$48,FALSE))</f>
        <v>-</v>
      </c>
      <c r="AN51" s="53" t="str">
        <f>IF($A51="-","-",VLOOKUP($A51,[4]Controle!$A$6:$CC$25,AN$48,FALSE))</f>
        <v>-</v>
      </c>
      <c r="AO51" s="53" t="str">
        <f>IF($A51="-","-",VLOOKUP($A51,[4]Controle!$A$6:$CC$25,AO$48,FALSE))</f>
        <v>-</v>
      </c>
      <c r="AP51" s="53" t="str">
        <f>IF($A51="-","-",VLOOKUP($A51,[4]Controle!$A$6:$CC$25,AP$48,FALSE))</f>
        <v>-</v>
      </c>
      <c r="AQ51" s="53" t="str">
        <f>IF($A51="-","-",VLOOKUP($A51,[4]Controle!$A$6:$CC$25,AQ$48,FALSE))</f>
        <v>-</v>
      </c>
      <c r="AR51" s="53" t="str">
        <f>IF($A51="-","-",VLOOKUP($A51,[4]Controle!$A$6:$CC$25,AR$48,FALSE))</f>
        <v>-</v>
      </c>
      <c r="AS51" s="53" t="str">
        <f>IF($A51="-","-",VLOOKUP($A51,[4]Controle!$A$6:$CC$25,AS$48,FALSE))</f>
        <v>-</v>
      </c>
      <c r="AT51" s="53" t="str">
        <f>IF($A51="-","-",VLOOKUP($A51,[4]Controle!$A$6:$CC$25,AT$48,FALSE))</f>
        <v>-</v>
      </c>
      <c r="AU51" s="53" t="str">
        <f>IF($A51="-","-",VLOOKUP($A51,[4]Controle!$A$6:$CC$25,AU$48,FALSE))</f>
        <v>-</v>
      </c>
      <c r="AV51" s="53" t="str">
        <f>IF($A51="-","-",VLOOKUP($A51,[4]Controle!$A$6:$CC$25,AV$48,FALSE))</f>
        <v>-</v>
      </c>
      <c r="AW51" s="53" t="str">
        <f>IF($A51="-","-",VLOOKUP($A51,[4]Controle!$A$6:$CC$25,AW$48,FALSE))</f>
        <v>-</v>
      </c>
      <c r="AX51" s="53" t="str">
        <f>IF($A51="-","-",VLOOKUP($A51,[4]Controle!$A$6:$CC$25,AX$48,FALSE))</f>
        <v>-</v>
      </c>
      <c r="AY51" s="53" t="str">
        <f>IF($A51="-","-",VLOOKUP($A51,[4]Controle!$A$6:$CC$25,AY$48,FALSE))</f>
        <v>-</v>
      </c>
      <c r="AZ51" s="53" t="str">
        <f>IF($A51="-","-",VLOOKUP($A51,[4]Controle!$A$6:$CC$25,AZ$48,FALSE))</f>
        <v>-</v>
      </c>
      <c r="BA51" s="53" t="str">
        <f>IF($A51="-","-",VLOOKUP($A51,[4]Controle!$A$6:$CC$25,BA$48,FALSE))</f>
        <v>-</v>
      </c>
      <c r="BB51" s="53" t="str">
        <f>IF($A51="-","-",VLOOKUP($A51,[4]Controle!$A$6:$CC$25,BB$48,FALSE))</f>
        <v>-</v>
      </c>
      <c r="BC51" s="53" t="str">
        <f>IF($A51="-","-",VLOOKUP($A51,[4]Controle!$A$6:$CC$25,BC$48,FALSE))</f>
        <v>-</v>
      </c>
      <c r="BD51" s="53" t="str">
        <f>IF($A51="-","-",VLOOKUP($A51,[4]Controle!$A$6:$CC$25,BD$48,FALSE))</f>
        <v>-</v>
      </c>
      <c r="BE51" s="53" t="str">
        <f>IF($A51="-","-",VLOOKUP($A51,[4]Controle!$A$6:$CC$25,BE$48,FALSE))</f>
        <v>-</v>
      </c>
      <c r="BF51" s="53" t="str">
        <f>IF($A51="-","-",VLOOKUP($A51,[4]Controle!$A$6:$CC$25,BF$48,FALSE))</f>
        <v>-</v>
      </c>
      <c r="BG51" s="53" t="str">
        <f>IF($A51="-","-",VLOOKUP($A51,[4]Controle!$A$6:$CC$25,BG$48,FALSE))</f>
        <v>-</v>
      </c>
      <c r="BH51" s="53" t="str">
        <f>IF($A51="-","-",VLOOKUP($A51,[4]Controle!$A$6:$CC$25,BH$48,FALSE))</f>
        <v>-</v>
      </c>
      <c r="BI51" s="53" t="str">
        <f>IF($A51="-","-",VLOOKUP($A51,[4]Controle!$A$6:$CC$25,BI$48,FALSE))</f>
        <v>-</v>
      </c>
      <c r="BJ51" s="53" t="str">
        <f>IF($A51="-","-",VLOOKUP($A51,[4]Controle!$A$6:$CC$25,BJ$48,FALSE))</f>
        <v>-</v>
      </c>
      <c r="BK51" s="53" t="str">
        <f>IF($A51="-","-",VLOOKUP($A51,[4]Controle!$A$6:$CC$25,BK$48,FALSE))</f>
        <v>-</v>
      </c>
      <c r="BL51" s="53" t="str">
        <f>IF($A51="-","-",VLOOKUP($A51,[4]Controle!$A$6:$CC$25,BL$48,FALSE))</f>
        <v>-</v>
      </c>
      <c r="BM51" s="53" t="str">
        <f>IF($A51="-","-",VLOOKUP($A51,[4]Controle!$A$6:$CC$25,BM$48,FALSE))</f>
        <v>-</v>
      </c>
      <c r="BN51" s="53" t="str">
        <f>IF($A51="-","-",VLOOKUP($A51,[4]Controle!$A$6:$CC$25,BN$48,FALSE))</f>
        <v>-</v>
      </c>
      <c r="BO51" s="53" t="str">
        <f>IF($A51="-","-",VLOOKUP($A51,[4]Controle!$A$6:$CC$25,BO$48,FALSE))</f>
        <v>-</v>
      </c>
      <c r="BP51" s="53" t="str">
        <f>IF($A51="-","-",VLOOKUP($A51,[4]Controle!$A$6:$CC$25,BP$48,FALSE))</f>
        <v>-</v>
      </c>
      <c r="BQ51" s="53" t="str">
        <f>IF($A51="-","-",VLOOKUP($A51,[4]Controle!$A$6:$CC$25,BQ$48,FALSE))</f>
        <v>-</v>
      </c>
      <c r="BR51" s="53" t="str">
        <f>IF($A51="-","-",VLOOKUP($A51,[4]Controle!$A$6:$CC$25,BR$48,FALSE))</f>
        <v>-</v>
      </c>
      <c r="BS51" s="53" t="str">
        <f>IF($A51="-","-",VLOOKUP($A51,[4]Controle!$A$6:$CC$25,BS$48,FALSE))</f>
        <v>-</v>
      </c>
      <c r="BT51" s="53" t="str">
        <f>IF($A51="-","-",VLOOKUP($A51,[4]Controle!$A$6:$CC$25,BT$48,FALSE))</f>
        <v>-</v>
      </c>
      <c r="BU51" s="53" t="str">
        <f>IF($A51="-","-",VLOOKUP($A51,[4]Controle!$A$6:$CC$25,BU$48,FALSE))</f>
        <v>-</v>
      </c>
      <c r="BV51" s="53" t="str">
        <f>IF($A51="-","-",VLOOKUP($A51,[4]Controle!$A$6:$CC$25,BV$48,FALSE))</f>
        <v>-</v>
      </c>
      <c r="BW51" s="53" t="str">
        <f>IF($A51="-","-",VLOOKUP($A51,[4]Controle!$A$6:$CC$25,BW$48,FALSE))</f>
        <v>-</v>
      </c>
      <c r="BX51" s="53" t="str">
        <f>IF($A51="-","-",VLOOKUP($A51,[4]Controle!$A$6:$CC$25,BX$48,FALSE))</f>
        <v>-</v>
      </c>
      <c r="BY51" s="53" t="str">
        <f>IF($A51="-","-",VLOOKUP($A51,[4]Controle!$A$6:$CC$25,BY$48,FALSE))</f>
        <v>-</v>
      </c>
      <c r="BZ51" s="53" t="str">
        <f>IF($A51="-","-",VLOOKUP($A51,[4]Controle!$A$6:$CC$25,BZ$48,FALSE))</f>
        <v>-</v>
      </c>
      <c r="CA51" s="53" t="str">
        <f>IF($A51="-","-",VLOOKUP($A51,[4]Controle!$A$6:$CC$25,CA$48,FALSE))</f>
        <v>-</v>
      </c>
      <c r="CB51" s="53" t="str">
        <f>IF($A51="-","-",VLOOKUP($A51,[4]Controle!$A$6:$CC$25,CB$48,FALSE))</f>
        <v>-</v>
      </c>
      <c r="CC51" s="53" t="str">
        <f>IF($A51="-","-",VLOOKUP($A51,[4]Controle!$A$6:$CC$25,CC$48,FALSE))</f>
        <v>-</v>
      </c>
      <c r="CT51" s="41">
        <f ca="1">IF(CV51="-",0,1)</f>
        <v>1</v>
      </c>
      <c r="CU51" s="53" t="str">
        <f ca="1">IF(CW51="-","-",IF($G$1&lt;=H51,"VÁLIDO","VENCIDO"))</f>
        <v>VÁLIDO</v>
      </c>
      <c r="CV51" s="53" t="str">
        <f ca="1">IF(CW51="-","-",IF(CY51=$CY$1,IF(CU51="VENCIDO","-",B51),"-"))</f>
        <v>E.TH.LQ-001</v>
      </c>
      <c r="CW51" s="53">
        <f>A51</f>
        <v>9</v>
      </c>
      <c r="CY51" s="41" t="str">
        <f>LEFT(B51,1)</f>
        <v>E</v>
      </c>
    </row>
    <row r="52" spans="1:103" x14ac:dyDescent="0.3">
      <c r="A52" s="56">
        <v>17</v>
      </c>
      <c r="B52" s="53" t="str">
        <f>IF($A52="-","-",VLOOKUP($A52,[4]Controle!$A$6:$CC$25,B$48,FALSE))</f>
        <v>M.MS.LM-016</v>
      </c>
      <c r="C52" s="53" t="str">
        <f>IF($A52="-","-",VLOOKUP($A52,[4]Controle!$A$6:$CC$25,C$48,FALSE))</f>
        <v>Barômetro Digital</v>
      </c>
      <c r="D52" s="53" t="str">
        <f>IF($A52="-","-",VLOOKUP($A52,[4]Controle!$A$6:$CC$25,D$48,FALSE))</f>
        <v>Elus</v>
      </c>
      <c r="E52" s="53" t="str">
        <f>IF($A52="-","-",VLOOKUP($A52,[4]Controle!$A$6:$CC$25,E$48,FALSE))</f>
        <v>RBC - CAL 0439</v>
      </c>
      <c r="F52" s="53" t="str">
        <f>IF($A52="-","-",VLOOKUP($A52,[4]Controle!$A$6:$CC$25,F$48,FALSE))</f>
        <v>E0226/25</v>
      </c>
      <c r="G52" s="54">
        <f>IF($A52="-","-",VLOOKUP($A52,[4]Controle!$A$6:$CC$25,G$48,FALSE))</f>
        <v>45777</v>
      </c>
      <c r="H52" s="55">
        <f>IF($A52="-","-",VLOOKUP($A52,[4]Controle!$A$6:$CC$25,H$48,FALSE))</f>
        <v>46507</v>
      </c>
      <c r="I52" s="53" t="str">
        <f>IF($A52="-","-",VLOOKUP($A52,[4]Controle!$A$6:$CC$25,I$48,FALSE))</f>
        <v>hPa</v>
      </c>
      <c r="J52" s="53">
        <f>IF($A52="-","-",VLOOKUP($A52,[4]Controle!$A$6:$CC$25,J$48,FALSE))</f>
        <v>500.8</v>
      </c>
      <c r="K52" s="53">
        <f>IF($A52="-","-",VLOOKUP($A52,[4]Controle!$A$6:$CC$25,K$48,FALSE))</f>
        <v>1099.8</v>
      </c>
      <c r="L52" s="53">
        <f>IF($A52="-","-",VLOOKUP($A52,[4]Controle!$A$6:$CC$25,L$48,FALSE))</f>
        <v>0.1</v>
      </c>
      <c r="M52" s="53">
        <f>IF($A52="-","-",VLOOKUP($A52,[4]Controle!$A$6:$CC$25,M$48,FALSE))</f>
        <v>0.20000000000004547</v>
      </c>
      <c r="N52" s="53">
        <f>IF($A52="-","-",VLOOKUP($A52,[4]Controle!$A$6:$CC$25,N$48,FALSE))</f>
        <v>0.2</v>
      </c>
      <c r="O52" s="53">
        <f>IF($A52="-","-",VLOOKUP($A52,[4]Controle!$A$6:$CC$25,O$48,FALSE))</f>
        <v>0.20000000000004547</v>
      </c>
      <c r="P52" s="53">
        <f>IF($A52="-","-",VLOOKUP($A52,[4]Controle!$A$6:$CC$25,P$48,FALSE))</f>
        <v>3.4642957129513263E-2</v>
      </c>
      <c r="Q52" s="53">
        <f>IF($A52="-","-",VLOOKUP($A52,[4]Controle!$A$6:$CC$25,Q$48,FALSE))</f>
        <v>3</v>
      </c>
      <c r="R52" s="53">
        <f>IF($A52="-","-",VLOOKUP($A52,[4]Controle!$A$6:$CC$25,R$48,FALSE))</f>
        <v>6.29310529764046E-9</v>
      </c>
      <c r="S52" s="53">
        <f>IF($A52="-","-",VLOOKUP($A52,[4]Controle!$A$6:$CC$25,S$48,FALSE))</f>
        <v>-1.6567825201869858E-5</v>
      </c>
      <c r="T52" s="53">
        <f>IF($A52="-","-",VLOOKUP($A52,[4]Controle!$A$6:$CC$25,T$48,FALSE))</f>
        <v>1.0138683994396074</v>
      </c>
      <c r="U52" s="53">
        <f>IF($A52="-","-",VLOOKUP($A52,[4]Controle!$A$6:$CC$25,U$48,FALSE))</f>
        <v>-3.7892158383123666</v>
      </c>
      <c r="V52" s="53">
        <f>IF($A52="-","-",VLOOKUP($A52,[4]Controle!$A$6:$CC$25,V$48,FALSE))</f>
        <v>500.8</v>
      </c>
      <c r="W52" s="53">
        <f>IF($A52="-","-",VLOOKUP($A52,[4]Controle!$A$6:$CC$25,W$48,FALSE))</f>
        <v>0.2</v>
      </c>
      <c r="X52" s="53">
        <f>IF($A52="-","-",VLOOKUP($A52,[4]Controle!$A$6:$CC$25,X$48,FALSE))</f>
        <v>2</v>
      </c>
      <c r="Y52" s="53">
        <f>IF($A52="-","-",VLOOKUP($A52,[4]Controle!$A$6:$CC$25,Y$48,FALSE))</f>
        <v>1000000</v>
      </c>
      <c r="Z52" s="53">
        <f>IF($A52="-","-",VLOOKUP($A52,[4]Controle!$A$6:$CC$25,Z$48,FALSE))</f>
        <v>599.9</v>
      </c>
      <c r="AA52" s="53">
        <f>IF($A52="-","-",VLOOKUP($A52,[4]Controle!$A$6:$CC$25,AA$48,FALSE))</f>
        <v>0.2</v>
      </c>
      <c r="AB52" s="53">
        <f>IF($A52="-","-",VLOOKUP($A52,[4]Controle!$A$6:$CC$25,AB$48,FALSE))</f>
        <v>2</v>
      </c>
      <c r="AC52" s="53">
        <f>IF($A52="-","-",VLOOKUP($A52,[4]Controle!$A$6:$CC$25,AC$48,FALSE))</f>
        <v>1000000</v>
      </c>
      <c r="AD52" s="53">
        <f>IF($A52="-","-",VLOOKUP($A52,[4]Controle!$A$6:$CC$25,AD$48,FALSE))</f>
        <v>699.99</v>
      </c>
      <c r="AE52" s="53">
        <f>IF($A52="-","-",VLOOKUP($A52,[4]Controle!$A$6:$CC$25,AE$48,FALSE))</f>
        <v>0.2</v>
      </c>
      <c r="AF52" s="53">
        <f>IF($A52="-","-",VLOOKUP($A52,[4]Controle!$A$6:$CC$25,AF$48,FALSE))</f>
        <v>2</v>
      </c>
      <c r="AG52" s="53">
        <f>IF($A52="-","-",VLOOKUP($A52,[4]Controle!$A$6:$CC$25,AG$48,FALSE))</f>
        <v>1000000</v>
      </c>
      <c r="AH52" s="53">
        <f>IF($A52="-","-",VLOOKUP($A52,[4]Controle!$A$6:$CC$25,AH$48,FALSE))</f>
        <v>799.9</v>
      </c>
      <c r="AI52" s="53">
        <f>IF($A52="-","-",VLOOKUP($A52,[4]Controle!$A$6:$CC$25,AI$48,FALSE))</f>
        <v>0.2</v>
      </c>
      <c r="AJ52" s="53">
        <f>IF($A52="-","-",VLOOKUP($A52,[4]Controle!$A$6:$CC$25,AJ$48,FALSE))</f>
        <v>2</v>
      </c>
      <c r="AK52" s="53">
        <f>IF($A52="-","-",VLOOKUP($A52,[4]Controle!$A$6:$CC$25,AK$48,FALSE))</f>
        <v>1000000</v>
      </c>
      <c r="AL52" s="53">
        <f>IF($A52="-","-",VLOOKUP($A52,[4]Controle!$A$6:$CC$25,AL$48,FALSE))</f>
        <v>899.9</v>
      </c>
      <c r="AM52" s="53">
        <f>IF($A52="-","-",VLOOKUP($A52,[4]Controle!$A$6:$CC$25,AM$48,FALSE))</f>
        <v>0.2</v>
      </c>
      <c r="AN52" s="53">
        <f>IF($A52="-","-",VLOOKUP($A52,[4]Controle!$A$6:$CC$25,AN$48,FALSE))</f>
        <v>2</v>
      </c>
      <c r="AO52" s="53">
        <f>IF($A52="-","-",VLOOKUP($A52,[4]Controle!$A$6:$CC$25,AO$48,FALSE))</f>
        <v>1000000</v>
      </c>
      <c r="AP52" s="53">
        <f>IF($A52="-","-",VLOOKUP($A52,[4]Controle!$A$6:$CC$25,AP$48,FALSE))</f>
        <v>949.8</v>
      </c>
      <c r="AQ52" s="53">
        <f>IF($A52="-","-",VLOOKUP($A52,[4]Controle!$A$6:$CC$25,AQ$48,FALSE))</f>
        <v>0.2</v>
      </c>
      <c r="AR52" s="53">
        <f>IF($A52="-","-",VLOOKUP($A52,[4]Controle!$A$6:$CC$25,AR$48,FALSE))</f>
        <v>2</v>
      </c>
      <c r="AS52" s="53">
        <f>IF($A52="-","-",VLOOKUP($A52,[4]Controle!$A$6:$CC$25,AS$48,FALSE))</f>
        <v>1000000</v>
      </c>
      <c r="AT52" s="53">
        <f>IF($A52="-","-",VLOOKUP($A52,[4]Controle!$A$6:$CC$25,AT$48,FALSE))</f>
        <v>999.8</v>
      </c>
      <c r="AU52" s="53">
        <f>IF($A52="-","-",VLOOKUP($A52,[4]Controle!$A$6:$CC$25,AU$48,FALSE))</f>
        <v>0.2</v>
      </c>
      <c r="AV52" s="53">
        <f>IF($A52="-","-",VLOOKUP($A52,[4]Controle!$A$6:$CC$25,AV$48,FALSE))</f>
        <v>2</v>
      </c>
      <c r="AW52" s="53">
        <f>IF($A52="-","-",VLOOKUP($A52,[4]Controle!$A$6:$CC$25,AW$48,FALSE))</f>
        <v>1000000</v>
      </c>
      <c r="AX52" s="53">
        <f>IF($A52="-","-",VLOOKUP($A52,[4]Controle!$A$6:$CC$25,AX$48,FALSE))</f>
        <v>1099.8</v>
      </c>
      <c r="AY52" s="53">
        <f>IF($A52="-","-",VLOOKUP($A52,[4]Controle!$A$6:$CC$25,AY$48,FALSE))</f>
        <v>0.2</v>
      </c>
      <c r="AZ52" s="53">
        <f>IF($A52="-","-",VLOOKUP($A52,[4]Controle!$A$6:$CC$25,AZ$48,FALSE))</f>
        <v>2</v>
      </c>
      <c r="BA52" s="53">
        <f>IF($A52="-","-",VLOOKUP($A52,[4]Controle!$A$6:$CC$25,BA$48,FALSE))</f>
        <v>1000000</v>
      </c>
      <c r="BB52" s="53" t="str">
        <f>IF($A52="-","-",VLOOKUP($A52,[4]Controle!$A$6:$CC$25,BB$48,FALSE))</f>
        <v>-</v>
      </c>
      <c r="BC52" s="53" t="str">
        <f>IF($A52="-","-",VLOOKUP($A52,[4]Controle!$A$6:$CC$25,BC$48,FALSE))</f>
        <v>-</v>
      </c>
      <c r="BD52" s="53" t="str">
        <f>IF($A52="-","-",VLOOKUP($A52,[4]Controle!$A$6:$CC$25,BD$48,FALSE))</f>
        <v>-</v>
      </c>
      <c r="BE52" s="53" t="str">
        <f>IF($A52="-","-",VLOOKUP($A52,[4]Controle!$A$6:$CC$25,BE$48,FALSE))</f>
        <v>-</v>
      </c>
      <c r="BF52" s="53" t="str">
        <f>IF($A52="-","-",VLOOKUP($A52,[4]Controle!$A$6:$CC$25,BF$48,FALSE))</f>
        <v>-</v>
      </c>
      <c r="BG52" s="53" t="str">
        <f>IF($A52="-","-",VLOOKUP($A52,[4]Controle!$A$6:$CC$25,BG$48,FALSE))</f>
        <v>-</v>
      </c>
      <c r="BH52" s="53" t="str">
        <f>IF($A52="-","-",VLOOKUP($A52,[4]Controle!$A$6:$CC$25,BH$48,FALSE))</f>
        <v>-</v>
      </c>
      <c r="BI52" s="53" t="str">
        <f>IF($A52="-","-",VLOOKUP($A52,[4]Controle!$A$6:$CC$25,BI$48,FALSE))</f>
        <v>-</v>
      </c>
      <c r="BJ52" s="53" t="str">
        <f>IF($A52="-","-",VLOOKUP($A52,[4]Controle!$A$6:$CC$25,BJ$48,FALSE))</f>
        <v>-</v>
      </c>
      <c r="BK52" s="53" t="str">
        <f>IF($A52="-","-",VLOOKUP($A52,[4]Controle!$A$6:$CC$25,BK$48,FALSE))</f>
        <v>-</v>
      </c>
      <c r="BL52" s="53" t="str">
        <f>IF($A52="-","-",VLOOKUP($A52,[4]Controle!$A$6:$CC$25,BL$48,FALSE))</f>
        <v>-</v>
      </c>
      <c r="BM52" s="53" t="str">
        <f>IF($A52="-","-",VLOOKUP($A52,[4]Controle!$A$6:$CC$25,BM$48,FALSE))</f>
        <v>-</v>
      </c>
      <c r="BN52" s="53" t="str">
        <f>IF($A52="-","-",VLOOKUP($A52,[4]Controle!$A$6:$CC$25,BN$48,FALSE))</f>
        <v>-</v>
      </c>
      <c r="BO52" s="53" t="str">
        <f>IF($A52="-","-",VLOOKUP($A52,[4]Controle!$A$6:$CC$25,BO$48,FALSE))</f>
        <v>-</v>
      </c>
      <c r="BP52" s="53" t="str">
        <f>IF($A52="-","-",VLOOKUP($A52,[4]Controle!$A$6:$CC$25,BP$48,FALSE))</f>
        <v>-</v>
      </c>
      <c r="BQ52" s="53" t="str">
        <f>IF($A52="-","-",VLOOKUP($A52,[4]Controle!$A$6:$CC$25,BQ$48,FALSE))</f>
        <v>-</v>
      </c>
      <c r="BR52" s="53" t="str">
        <f>IF($A52="-","-",VLOOKUP($A52,[4]Controle!$A$6:$CC$25,BR$48,FALSE))</f>
        <v>-</v>
      </c>
      <c r="BS52" s="53" t="str">
        <f>IF($A52="-","-",VLOOKUP($A52,[4]Controle!$A$6:$CC$25,BS$48,FALSE))</f>
        <v>-</v>
      </c>
      <c r="BT52" s="53" t="str">
        <f>IF($A52="-","-",VLOOKUP($A52,[4]Controle!$A$6:$CC$25,BT$48,FALSE))</f>
        <v>-</v>
      </c>
      <c r="BU52" s="53" t="str">
        <f>IF($A52="-","-",VLOOKUP($A52,[4]Controle!$A$6:$CC$25,BU$48,FALSE))</f>
        <v>-</v>
      </c>
      <c r="BV52" s="53" t="str">
        <f>IF($A52="-","-",VLOOKUP($A52,[4]Controle!$A$6:$CC$25,BV$48,FALSE))</f>
        <v>-</v>
      </c>
      <c r="BW52" s="53" t="str">
        <f>IF($A52="-","-",VLOOKUP($A52,[4]Controle!$A$6:$CC$25,BW$48,FALSE))</f>
        <v>-</v>
      </c>
      <c r="BX52" s="53" t="str">
        <f>IF($A52="-","-",VLOOKUP($A52,[4]Controle!$A$6:$CC$25,BX$48,FALSE))</f>
        <v>-</v>
      </c>
      <c r="BY52" s="53" t="str">
        <f>IF($A52="-","-",VLOOKUP($A52,[4]Controle!$A$6:$CC$25,BY$48,FALSE))</f>
        <v>-</v>
      </c>
      <c r="BZ52" s="53" t="str">
        <f>IF($A52="-","-",VLOOKUP($A52,[4]Controle!$A$6:$CC$25,BZ$48,FALSE))</f>
        <v>-</v>
      </c>
      <c r="CA52" s="53" t="str">
        <f>IF($A52="-","-",VLOOKUP($A52,[4]Controle!$A$6:$CC$25,CA$48,FALSE))</f>
        <v>-</v>
      </c>
      <c r="CB52" s="53" t="str">
        <f>IF($A52="-","-",VLOOKUP($A52,[4]Controle!$A$6:$CC$25,CB$48,FALSE))</f>
        <v>-</v>
      </c>
      <c r="CC52" s="53" t="str">
        <f>IF($A52="-","-",VLOOKUP($A52,[4]Controle!$A$6:$CC$25,CC$48,FALSE))</f>
        <v>-</v>
      </c>
      <c r="CT52" s="41">
        <f>IF(CV52="-",0,MAX($CT$51:CT51)+1)</f>
        <v>0</v>
      </c>
      <c r="CU52" s="53" t="str">
        <f t="shared" ref="CU52" ca="1" si="22">IF(CW52="-","-",IF($G$1&lt;=H52,"VÁLIDO","VENCIDO"))</f>
        <v>VÁLIDO</v>
      </c>
      <c r="CV52" s="53" t="str">
        <f t="shared" ref="CV52:CV70" si="23">IF(CW52="-","-",IF(CY52=$CY$1,IF(CU52="VENCIDO","-",B52),"-"))</f>
        <v>-</v>
      </c>
      <c r="CW52" s="53">
        <f t="shared" ref="CW52" si="24">A52</f>
        <v>17</v>
      </c>
      <c r="CY52" s="41" t="str">
        <f t="shared" ref="CY52:CY70" si="25">LEFT(B52,1)</f>
        <v>M</v>
      </c>
    </row>
    <row r="53" spans="1:103" x14ac:dyDescent="0.3">
      <c r="A53" s="56">
        <v>18</v>
      </c>
      <c r="B53" s="53" t="str">
        <f>IF($A53="-","-",VLOOKUP($A53,[4]Controle!$A$6:$CC$25,B$48,FALSE))</f>
        <v>M.MS.LM-015</v>
      </c>
      <c r="C53" s="53" t="str">
        <f>IF($A53="-","-",VLOOKUP($A53,[4]Controle!$A$6:$CC$25,C$48,FALSE))</f>
        <v>Barômetro Digital</v>
      </c>
      <c r="D53" s="53" t="str">
        <f>IF($A53="-","-",VLOOKUP($A53,[4]Controle!$A$6:$CC$25,D$48,FALSE))</f>
        <v>Elus</v>
      </c>
      <c r="E53" s="53" t="str">
        <f>IF($A53="-","-",VLOOKUP($A53,[4]Controle!$A$6:$CC$25,E$48,FALSE))</f>
        <v>RBC - CAL 0439</v>
      </c>
      <c r="F53" s="53" t="str">
        <f>IF($A53="-","-",VLOOKUP($A53,[4]Controle!$A$6:$CC$25,F$48,FALSE))</f>
        <v>E0225/25</v>
      </c>
      <c r="G53" s="54">
        <f>IF($A53="-","-",VLOOKUP($A53,[4]Controle!$A$6:$CC$25,G$48,FALSE))</f>
        <v>45777</v>
      </c>
      <c r="H53" s="55">
        <f>IF($A53="-","-",VLOOKUP($A53,[4]Controle!$A$6:$CC$25,H$48,FALSE))</f>
        <v>46507</v>
      </c>
      <c r="I53" s="53" t="str">
        <f>IF($A53="-","-",VLOOKUP($A53,[4]Controle!$A$6:$CC$25,I$48,FALSE))</f>
        <v>hPa</v>
      </c>
      <c r="J53" s="53">
        <f>IF($A53="-","-",VLOOKUP($A53,[4]Controle!$A$6:$CC$25,J$48,FALSE))</f>
        <v>501.2</v>
      </c>
      <c r="K53" s="53">
        <f>IF($A53="-","-",VLOOKUP($A53,[4]Controle!$A$6:$CC$25,K$48,FALSE))</f>
        <v>1099.3</v>
      </c>
      <c r="L53" s="53">
        <f>IF($A53="-","-",VLOOKUP($A53,[4]Controle!$A$6:$CC$25,L$48,FALSE))</f>
        <v>0.1</v>
      </c>
      <c r="M53" s="53">
        <f>IF($A53="-","-",VLOOKUP($A53,[4]Controle!$A$6:$CC$25,M$48,FALSE))</f>
        <v>0.29999999999995453</v>
      </c>
      <c r="N53" s="53">
        <f>IF($A53="-","-",VLOOKUP($A53,[4]Controle!$A$6:$CC$25,N$48,FALSE))</f>
        <v>0.2</v>
      </c>
      <c r="O53" s="53">
        <f>IF($A53="-","-",VLOOKUP($A53,[4]Controle!$A$6:$CC$25,O$48,FALSE))</f>
        <v>0.29999999999995453</v>
      </c>
      <c r="P53" s="53">
        <f>IF($A53="-","-",VLOOKUP($A53,[4]Controle!$A$6:$CC$25,P$48,FALSE))</f>
        <v>4.00845254424083E-2</v>
      </c>
      <c r="Q53" s="53">
        <f>IF($A53="-","-",VLOOKUP($A53,[4]Controle!$A$6:$CC$25,Q$48,FALSE))</f>
        <v>3</v>
      </c>
      <c r="R53" s="53">
        <f>IF($A53="-","-",VLOOKUP($A53,[4]Controle!$A$6:$CC$25,R$48,FALSE))</f>
        <v>4.8746548515543508E-9</v>
      </c>
      <c r="S53" s="53">
        <f>IF($A53="-","-",VLOOKUP($A53,[4]Controle!$A$6:$CC$25,S$48,FALSE))</f>
        <v>-1.2168607075886795E-5</v>
      </c>
      <c r="T53" s="53">
        <f>IF($A53="-","-",VLOOKUP($A53,[4]Controle!$A$6:$CC$25,T$48,FALSE))</f>
        <v>1.0098455249487905</v>
      </c>
      <c r="U53" s="53">
        <f>IF($A53="-","-",VLOOKUP($A53,[4]Controle!$A$6:$CC$25,U$48,FALSE))</f>
        <v>-2.2887439353229531</v>
      </c>
      <c r="V53" s="53">
        <f>IF($A53="-","-",VLOOKUP($A53,[4]Controle!$A$6:$CC$25,V$48,FALSE))</f>
        <v>501.2</v>
      </c>
      <c r="W53" s="53">
        <f>IF($A53="-","-",VLOOKUP($A53,[4]Controle!$A$6:$CC$25,W$48,FALSE))</f>
        <v>0.2</v>
      </c>
      <c r="X53" s="53">
        <f>IF($A53="-","-",VLOOKUP($A53,[4]Controle!$A$6:$CC$25,X$48,FALSE))</f>
        <v>2</v>
      </c>
      <c r="Y53" s="53">
        <f>IF($A53="-","-",VLOOKUP($A53,[4]Controle!$A$6:$CC$25,Y$48,FALSE))</f>
        <v>1000000</v>
      </c>
      <c r="Z53" s="53">
        <f>IF($A53="-","-",VLOOKUP($A53,[4]Controle!$A$6:$CC$25,Z$48,FALSE))</f>
        <v>600.29999999999995</v>
      </c>
      <c r="AA53" s="53">
        <f>IF($A53="-","-",VLOOKUP($A53,[4]Controle!$A$6:$CC$25,AA$48,FALSE))</f>
        <v>0.2</v>
      </c>
      <c r="AB53" s="53">
        <f>IF($A53="-","-",VLOOKUP($A53,[4]Controle!$A$6:$CC$25,AB$48,FALSE))</f>
        <v>2</v>
      </c>
      <c r="AC53" s="53">
        <f>IF($A53="-","-",VLOOKUP($A53,[4]Controle!$A$6:$CC$25,AC$48,FALSE))</f>
        <v>1000000</v>
      </c>
      <c r="AD53" s="53">
        <f>IF($A53="-","-",VLOOKUP($A53,[4]Controle!$A$6:$CC$25,AD$48,FALSE))</f>
        <v>700.3</v>
      </c>
      <c r="AE53" s="53">
        <f>IF($A53="-","-",VLOOKUP($A53,[4]Controle!$A$6:$CC$25,AE$48,FALSE))</f>
        <v>0.2</v>
      </c>
      <c r="AF53" s="53">
        <f>IF($A53="-","-",VLOOKUP($A53,[4]Controle!$A$6:$CC$25,AF$48,FALSE))</f>
        <v>2</v>
      </c>
      <c r="AG53" s="53">
        <f>IF($A53="-","-",VLOOKUP($A53,[4]Controle!$A$6:$CC$25,AG$48,FALSE))</f>
        <v>1000000</v>
      </c>
      <c r="AH53" s="53">
        <f>IF($A53="-","-",VLOOKUP($A53,[4]Controle!$A$6:$CC$25,AH$48,FALSE))</f>
        <v>800.3</v>
      </c>
      <c r="AI53" s="53">
        <f>IF($A53="-","-",VLOOKUP($A53,[4]Controle!$A$6:$CC$25,AI$48,FALSE))</f>
        <v>0.2</v>
      </c>
      <c r="AJ53" s="53">
        <f>IF($A53="-","-",VLOOKUP($A53,[4]Controle!$A$6:$CC$25,AJ$48,FALSE))</f>
        <v>2</v>
      </c>
      <c r="AK53" s="53">
        <f>IF($A53="-","-",VLOOKUP($A53,[4]Controle!$A$6:$CC$25,AK$48,FALSE))</f>
        <v>1000000</v>
      </c>
      <c r="AL53" s="53">
        <f>IF($A53="-","-",VLOOKUP($A53,[4]Controle!$A$6:$CC$25,AL$48,FALSE))</f>
        <v>900.3</v>
      </c>
      <c r="AM53" s="53">
        <f>IF($A53="-","-",VLOOKUP($A53,[4]Controle!$A$6:$CC$25,AM$48,FALSE))</f>
        <v>0.2</v>
      </c>
      <c r="AN53" s="53">
        <f>IF($A53="-","-",VLOOKUP($A53,[4]Controle!$A$6:$CC$25,AN$48,FALSE))</f>
        <v>2</v>
      </c>
      <c r="AO53" s="53">
        <f>IF($A53="-","-",VLOOKUP($A53,[4]Controle!$A$6:$CC$25,AO$48,FALSE))</f>
        <v>1000000</v>
      </c>
      <c r="AP53" s="53">
        <f>IF($A53="-","-",VLOOKUP($A53,[4]Controle!$A$6:$CC$25,AP$48,FALSE))</f>
        <v>950.2</v>
      </c>
      <c r="AQ53" s="53">
        <f>IF($A53="-","-",VLOOKUP($A53,[4]Controle!$A$6:$CC$25,AQ$48,FALSE))</f>
        <v>0.2</v>
      </c>
      <c r="AR53" s="53">
        <f>IF($A53="-","-",VLOOKUP($A53,[4]Controle!$A$6:$CC$25,AR$48,FALSE))</f>
        <v>2</v>
      </c>
      <c r="AS53" s="53">
        <f>IF($A53="-","-",VLOOKUP($A53,[4]Controle!$A$6:$CC$25,AS$48,FALSE))</f>
        <v>1000000</v>
      </c>
      <c r="AT53" s="53">
        <f>IF($A53="-","-",VLOOKUP($A53,[4]Controle!$A$6:$CC$25,AT$48,FALSE))</f>
        <v>1000.3</v>
      </c>
      <c r="AU53" s="53">
        <f>IF($A53="-","-",VLOOKUP($A53,[4]Controle!$A$6:$CC$25,AU$48,FALSE))</f>
        <v>0.2</v>
      </c>
      <c r="AV53" s="53">
        <f>IF($A53="-","-",VLOOKUP($A53,[4]Controle!$A$6:$CC$25,AV$48,FALSE))</f>
        <v>2</v>
      </c>
      <c r="AW53" s="53">
        <f>IF($A53="-","-",VLOOKUP($A53,[4]Controle!$A$6:$CC$25,AW$48,FALSE))</f>
        <v>1000000</v>
      </c>
      <c r="AX53" s="53">
        <f>IF($A53="-","-",VLOOKUP($A53,[4]Controle!$A$6:$CC$25,AX$48,FALSE))</f>
        <v>1099.3</v>
      </c>
      <c r="AY53" s="53">
        <f>IF($A53="-","-",VLOOKUP($A53,[4]Controle!$A$6:$CC$25,AY$48,FALSE))</f>
        <v>0.2</v>
      </c>
      <c r="AZ53" s="53">
        <f>IF($A53="-","-",VLOOKUP($A53,[4]Controle!$A$6:$CC$25,AZ$48,FALSE))</f>
        <v>2</v>
      </c>
      <c r="BA53" s="53">
        <f>IF($A53="-","-",VLOOKUP($A53,[4]Controle!$A$6:$CC$25,BA$48,FALSE))</f>
        <v>1000000</v>
      </c>
      <c r="BB53" s="53" t="str">
        <f>IF($A53="-","-",VLOOKUP($A53,[4]Controle!$A$6:$CC$25,BB$48,FALSE))</f>
        <v>-</v>
      </c>
      <c r="BC53" s="53" t="str">
        <f>IF($A53="-","-",VLOOKUP($A53,[4]Controle!$A$6:$CC$25,BC$48,FALSE))</f>
        <v>-</v>
      </c>
      <c r="BD53" s="53" t="str">
        <f>IF($A53="-","-",VLOOKUP($A53,[4]Controle!$A$6:$CC$25,BD$48,FALSE))</f>
        <v>-</v>
      </c>
      <c r="BE53" s="53" t="str">
        <f>IF($A53="-","-",VLOOKUP($A53,[4]Controle!$A$6:$CC$25,BE$48,FALSE))</f>
        <v>-</v>
      </c>
      <c r="BF53" s="53" t="str">
        <f>IF($A53="-","-",VLOOKUP($A53,[4]Controle!$A$6:$CC$25,BF$48,FALSE))</f>
        <v>-</v>
      </c>
      <c r="BG53" s="53" t="str">
        <f>IF($A53="-","-",VLOOKUP($A53,[4]Controle!$A$6:$CC$25,BG$48,FALSE))</f>
        <v>-</v>
      </c>
      <c r="BH53" s="53" t="str">
        <f>IF($A53="-","-",VLOOKUP($A53,[4]Controle!$A$6:$CC$25,BH$48,FALSE))</f>
        <v>-</v>
      </c>
      <c r="BI53" s="53" t="str">
        <f>IF($A53="-","-",VLOOKUP($A53,[4]Controle!$A$6:$CC$25,BI$48,FALSE))</f>
        <v>-</v>
      </c>
      <c r="BJ53" s="53" t="str">
        <f>IF($A53="-","-",VLOOKUP($A53,[4]Controle!$A$6:$CC$25,BJ$48,FALSE))</f>
        <v>-</v>
      </c>
      <c r="BK53" s="53" t="str">
        <f>IF($A53="-","-",VLOOKUP($A53,[4]Controle!$A$6:$CC$25,BK$48,FALSE))</f>
        <v>-</v>
      </c>
      <c r="BL53" s="53" t="str">
        <f>IF($A53="-","-",VLOOKUP($A53,[4]Controle!$A$6:$CC$25,BL$48,FALSE))</f>
        <v>-</v>
      </c>
      <c r="BM53" s="53" t="str">
        <f>IF($A53="-","-",VLOOKUP($A53,[4]Controle!$A$6:$CC$25,BM$48,FALSE))</f>
        <v>-</v>
      </c>
      <c r="BN53" s="53" t="str">
        <f>IF($A53="-","-",VLOOKUP($A53,[4]Controle!$A$6:$CC$25,BN$48,FALSE))</f>
        <v>-</v>
      </c>
      <c r="BO53" s="53" t="str">
        <f>IF($A53="-","-",VLOOKUP($A53,[4]Controle!$A$6:$CC$25,BO$48,FALSE))</f>
        <v>-</v>
      </c>
      <c r="BP53" s="53" t="str">
        <f>IF($A53="-","-",VLOOKUP($A53,[4]Controle!$A$6:$CC$25,BP$48,FALSE))</f>
        <v>-</v>
      </c>
      <c r="BQ53" s="53" t="str">
        <f>IF($A53="-","-",VLOOKUP($A53,[4]Controle!$A$6:$CC$25,BQ$48,FALSE))</f>
        <v>-</v>
      </c>
      <c r="BR53" s="53" t="str">
        <f>IF($A53="-","-",VLOOKUP($A53,[4]Controle!$A$6:$CC$25,BR$48,FALSE))</f>
        <v>-</v>
      </c>
      <c r="BS53" s="53" t="str">
        <f>IF($A53="-","-",VLOOKUP($A53,[4]Controle!$A$6:$CC$25,BS$48,FALSE))</f>
        <v>-</v>
      </c>
      <c r="BT53" s="53" t="str">
        <f>IF($A53="-","-",VLOOKUP($A53,[4]Controle!$A$6:$CC$25,BT$48,FALSE))</f>
        <v>-</v>
      </c>
      <c r="BU53" s="53" t="str">
        <f>IF($A53="-","-",VLOOKUP($A53,[4]Controle!$A$6:$CC$25,BU$48,FALSE))</f>
        <v>-</v>
      </c>
      <c r="BV53" s="53" t="str">
        <f>IF($A53="-","-",VLOOKUP($A53,[4]Controle!$A$6:$CC$25,BV$48,FALSE))</f>
        <v>-</v>
      </c>
      <c r="BW53" s="53" t="str">
        <f>IF($A53="-","-",VLOOKUP($A53,[4]Controle!$A$6:$CC$25,BW$48,FALSE))</f>
        <v>-</v>
      </c>
      <c r="BX53" s="53" t="str">
        <f>IF($A53="-","-",VLOOKUP($A53,[4]Controle!$A$6:$CC$25,BX$48,FALSE))</f>
        <v>-</v>
      </c>
      <c r="BY53" s="53" t="str">
        <f>IF($A53="-","-",VLOOKUP($A53,[4]Controle!$A$6:$CC$25,BY$48,FALSE))</f>
        <v>-</v>
      </c>
      <c r="BZ53" s="53" t="str">
        <f>IF($A53="-","-",VLOOKUP($A53,[4]Controle!$A$6:$CC$25,BZ$48,FALSE))</f>
        <v>-</v>
      </c>
      <c r="CA53" s="53" t="str">
        <f>IF($A53="-","-",VLOOKUP($A53,[4]Controle!$A$6:$CC$25,CA$48,FALSE))</f>
        <v>-</v>
      </c>
      <c r="CB53" s="53" t="str">
        <f>IF($A53="-","-",VLOOKUP($A53,[4]Controle!$A$6:$CC$25,CB$48,FALSE))</f>
        <v>-</v>
      </c>
      <c r="CC53" s="53" t="str">
        <f>IF($A53="-","-",VLOOKUP($A53,[4]Controle!$A$6:$CC$25,CC$48,FALSE))</f>
        <v>-</v>
      </c>
      <c r="CT53" s="41">
        <f>IF(CV53="-",0,MAX($CT$51:CT52)+1)</f>
        <v>0</v>
      </c>
      <c r="CU53" s="53" t="str">
        <f t="shared" ref="CU53:CU61" ca="1" si="26">IF(CW53="-","-",IF($G$1&lt;=H53,"VÁLIDO","VENCIDO"))</f>
        <v>VÁLIDO</v>
      </c>
      <c r="CV53" s="53" t="str">
        <f t="shared" si="23"/>
        <v>-</v>
      </c>
      <c r="CW53" s="53">
        <f t="shared" ref="CW53:CW61" si="27">A53</f>
        <v>18</v>
      </c>
      <c r="CY53" s="41" t="str">
        <f t="shared" si="25"/>
        <v>M</v>
      </c>
    </row>
    <row r="54" spans="1:103" x14ac:dyDescent="0.3">
      <c r="A54" s="56">
        <v>19</v>
      </c>
      <c r="B54" s="53" t="str">
        <f>IF($A54="-","-",VLOOKUP($A54,[4]Controle!$A$6:$CC$25,B$48,FALSE))</f>
        <v>M.MS.LM-013</v>
      </c>
      <c r="C54" s="53" t="str">
        <f>IF($A54="-","-",VLOOKUP($A54,[4]Controle!$A$6:$CC$25,C$48,FALSE))</f>
        <v>Barômetro Digital</v>
      </c>
      <c r="D54" s="53" t="str">
        <f>IF($A54="-","-",VLOOKUP($A54,[4]Controle!$A$6:$CC$25,D$48,FALSE))</f>
        <v>Elus</v>
      </c>
      <c r="E54" s="53" t="str">
        <f>IF($A54="-","-",VLOOKUP($A54,[4]Controle!$A$6:$CC$25,E$48,FALSE))</f>
        <v>RBC - CAL 0439</v>
      </c>
      <c r="F54" s="53" t="str">
        <f>IF($A54="-","-",VLOOKUP($A54,[4]Controle!$A$6:$CC$25,F$48,FALSE))</f>
        <v>E0040A/25</v>
      </c>
      <c r="G54" s="54">
        <f>IF($A54="-","-",VLOOKUP($A54,[4]Controle!$A$6:$CC$25,G$48,FALSE))</f>
        <v>45701</v>
      </c>
      <c r="H54" s="55">
        <f>IF($A54="-","-",VLOOKUP($A54,[4]Controle!$A$6:$CC$25,H$48,FALSE))</f>
        <v>46446</v>
      </c>
      <c r="I54" s="53" t="str">
        <f>IF($A54="-","-",VLOOKUP($A54,[4]Controle!$A$6:$CC$25,I$48,FALSE))</f>
        <v>hPa</v>
      </c>
      <c r="J54" s="53">
        <f>IF($A54="-","-",VLOOKUP($A54,[4]Controle!$A$6:$CC$25,J$48,FALSE))</f>
        <v>501.4</v>
      </c>
      <c r="K54" s="53">
        <f>IF($A54="-","-",VLOOKUP($A54,[4]Controle!$A$6:$CC$25,K$48,FALSE))</f>
        <v>1099.9000000000001</v>
      </c>
      <c r="L54" s="53">
        <f>IF($A54="-","-",VLOOKUP($A54,[4]Controle!$A$6:$CC$25,L$48,FALSE))</f>
        <v>0.1</v>
      </c>
      <c r="M54" s="53">
        <f>IF($A54="-","-",VLOOKUP($A54,[4]Controle!$A$6:$CC$25,M$48,FALSE))</f>
        <v>1.3999999999999773</v>
      </c>
      <c r="N54" s="53">
        <f>IF($A54="-","-",VLOOKUP($A54,[4]Controle!$A$6:$CC$25,N$48,FALSE))</f>
        <v>0.3</v>
      </c>
      <c r="O54" s="53">
        <f>IF($A54="-","-",VLOOKUP($A54,[4]Controle!$A$6:$CC$25,O$48,FALSE))</f>
        <v>0.89999999999997726</v>
      </c>
      <c r="P54" s="53">
        <f>IF($A54="-","-",VLOOKUP($A54,[4]Controle!$A$6:$CC$25,P$48,FALSE))</f>
        <v>0.14897638138094718</v>
      </c>
      <c r="Q54" s="53">
        <f>IF($A54="-","-",VLOOKUP($A54,[4]Controle!$A$6:$CC$25,Q$48,FALSE))</f>
        <v>3</v>
      </c>
      <c r="R54" s="53">
        <f>IF($A54="-","-",VLOOKUP($A54,[4]Controle!$A$6:$CC$25,R$48,FALSE))</f>
        <v>-2.6687477098153539E-8</v>
      </c>
      <c r="S54" s="53">
        <f>IF($A54="-","-",VLOOKUP($A54,[4]Controle!$A$6:$CC$25,S$48,FALSE))</f>
        <v>5.6380710893028193E-5</v>
      </c>
      <c r="T54" s="53">
        <f>IF($A54="-","-",VLOOKUP($A54,[4]Controle!$A$6:$CC$25,T$48,FALSE))</f>
        <v>0.96098837771476631</v>
      </c>
      <c r="U54" s="53">
        <f>IF($A54="-","-",VLOOKUP($A54,[4]Controle!$A$6:$CC$25,U$48,FALSE))</f>
        <v>10.191678592910119</v>
      </c>
      <c r="V54" s="53">
        <f>IF($A54="-","-",VLOOKUP($A54,[4]Controle!$A$6:$CC$25,V$48,FALSE))</f>
        <v>501.4</v>
      </c>
      <c r="W54" s="53">
        <f>IF($A54="-","-",VLOOKUP($A54,[4]Controle!$A$6:$CC$25,W$48,FALSE))</f>
        <v>0.3</v>
      </c>
      <c r="X54" s="53">
        <f>IF($A54="-","-",VLOOKUP($A54,[4]Controle!$A$6:$CC$25,X$48,FALSE))</f>
        <v>2</v>
      </c>
      <c r="Y54" s="53">
        <f>IF($A54="-","-",VLOOKUP($A54,[4]Controle!$A$6:$CC$25,Y$48,FALSE))</f>
        <v>1000000</v>
      </c>
      <c r="Z54" s="53">
        <f>IF($A54="-","-",VLOOKUP($A54,[4]Controle!$A$6:$CC$25,Z$48,FALSE))</f>
        <v>601.4</v>
      </c>
      <c r="AA54" s="53">
        <f>IF($A54="-","-",VLOOKUP($A54,[4]Controle!$A$6:$CC$25,AA$48,FALSE))</f>
        <v>0.3</v>
      </c>
      <c r="AB54" s="53">
        <f>IF($A54="-","-",VLOOKUP($A54,[4]Controle!$A$6:$CC$25,AB$48,FALSE))</f>
        <v>2</v>
      </c>
      <c r="AC54" s="53">
        <f>IF($A54="-","-",VLOOKUP($A54,[4]Controle!$A$6:$CC$25,AC$48,FALSE))</f>
        <v>1000000</v>
      </c>
      <c r="AD54" s="53">
        <f>IF($A54="-","-",VLOOKUP($A54,[4]Controle!$A$6:$CC$25,AD$48,FALSE))</f>
        <v>701.4</v>
      </c>
      <c r="AE54" s="53">
        <f>IF($A54="-","-",VLOOKUP($A54,[4]Controle!$A$6:$CC$25,AE$48,FALSE))</f>
        <v>0.3</v>
      </c>
      <c r="AF54" s="53">
        <f>IF($A54="-","-",VLOOKUP($A54,[4]Controle!$A$6:$CC$25,AF$48,FALSE))</f>
        <v>2</v>
      </c>
      <c r="AG54" s="53">
        <f>IF($A54="-","-",VLOOKUP($A54,[4]Controle!$A$6:$CC$25,AG$48,FALSE))</f>
        <v>1000000</v>
      </c>
      <c r="AH54" s="53">
        <f>IF($A54="-","-",VLOOKUP($A54,[4]Controle!$A$6:$CC$25,AH$48,FALSE))</f>
        <v>801.3</v>
      </c>
      <c r="AI54" s="53">
        <f>IF($A54="-","-",VLOOKUP($A54,[4]Controle!$A$6:$CC$25,AI$48,FALSE))</f>
        <v>0.3</v>
      </c>
      <c r="AJ54" s="53">
        <f>IF($A54="-","-",VLOOKUP($A54,[4]Controle!$A$6:$CC$25,AJ$48,FALSE))</f>
        <v>2</v>
      </c>
      <c r="AK54" s="53">
        <f>IF($A54="-","-",VLOOKUP($A54,[4]Controle!$A$6:$CC$25,AK$48,FALSE))</f>
        <v>1000000</v>
      </c>
      <c r="AL54" s="53">
        <f>IF($A54="-","-",VLOOKUP($A54,[4]Controle!$A$6:$CC$25,AL$48,FALSE))</f>
        <v>901.2</v>
      </c>
      <c r="AM54" s="53">
        <f>IF($A54="-","-",VLOOKUP($A54,[4]Controle!$A$6:$CC$25,AM$48,FALSE))</f>
        <v>0.3</v>
      </c>
      <c r="AN54" s="53">
        <f>IF($A54="-","-",VLOOKUP($A54,[4]Controle!$A$6:$CC$25,AN$48,FALSE))</f>
        <v>2</v>
      </c>
      <c r="AO54" s="53">
        <f>IF($A54="-","-",VLOOKUP($A54,[4]Controle!$A$6:$CC$25,AO$48,FALSE))</f>
        <v>1000000</v>
      </c>
      <c r="AP54" s="53">
        <f>IF($A54="-","-",VLOOKUP($A54,[4]Controle!$A$6:$CC$25,AP$48,FALSE))</f>
        <v>951.1</v>
      </c>
      <c r="AQ54" s="53">
        <f>IF($A54="-","-",VLOOKUP($A54,[4]Controle!$A$6:$CC$25,AQ$48,FALSE))</f>
        <v>0.3</v>
      </c>
      <c r="AR54" s="53">
        <f>IF($A54="-","-",VLOOKUP($A54,[4]Controle!$A$6:$CC$25,AR$48,FALSE))</f>
        <v>2</v>
      </c>
      <c r="AS54" s="53">
        <f>IF($A54="-","-",VLOOKUP($A54,[4]Controle!$A$6:$CC$25,AS$48,FALSE))</f>
        <v>1000000</v>
      </c>
      <c r="AT54" s="53">
        <f>IF($A54="-","-",VLOOKUP($A54,[4]Controle!$A$6:$CC$25,AT$48,FALSE))</f>
        <v>1001.1</v>
      </c>
      <c r="AU54" s="53">
        <f>IF($A54="-","-",VLOOKUP($A54,[4]Controle!$A$6:$CC$25,AU$48,FALSE))</f>
        <v>0.3</v>
      </c>
      <c r="AV54" s="53">
        <f>IF($A54="-","-",VLOOKUP($A54,[4]Controle!$A$6:$CC$25,AV$48,FALSE))</f>
        <v>2</v>
      </c>
      <c r="AW54" s="53">
        <f>IF($A54="-","-",VLOOKUP($A54,[4]Controle!$A$6:$CC$25,AW$48,FALSE))</f>
        <v>1000000</v>
      </c>
      <c r="AX54" s="53">
        <f>IF($A54="-","-",VLOOKUP($A54,[4]Controle!$A$6:$CC$25,AX$48,FALSE))</f>
        <v>1099.9000000000001</v>
      </c>
      <c r="AY54" s="53">
        <f>IF($A54="-","-",VLOOKUP($A54,[4]Controle!$A$6:$CC$25,AY$48,FALSE))</f>
        <v>0.3</v>
      </c>
      <c r="AZ54" s="53">
        <f>IF($A54="-","-",VLOOKUP($A54,[4]Controle!$A$6:$CC$25,AZ$48,FALSE))</f>
        <v>2</v>
      </c>
      <c r="BA54" s="53">
        <f>IF($A54="-","-",VLOOKUP($A54,[4]Controle!$A$6:$CC$25,BA$48,FALSE))</f>
        <v>1000000</v>
      </c>
      <c r="BB54" s="53" t="str">
        <f>IF($A54="-","-",VLOOKUP($A54,[4]Controle!$A$6:$CC$25,BB$48,FALSE))</f>
        <v>-</v>
      </c>
      <c r="BC54" s="53" t="str">
        <f>IF($A54="-","-",VLOOKUP($A54,[4]Controle!$A$6:$CC$25,BC$48,FALSE))</f>
        <v>-</v>
      </c>
      <c r="BD54" s="53" t="str">
        <f>IF($A54="-","-",VLOOKUP($A54,[4]Controle!$A$6:$CC$25,BD$48,FALSE))</f>
        <v>-</v>
      </c>
      <c r="BE54" s="53" t="str">
        <f>IF($A54="-","-",VLOOKUP($A54,[4]Controle!$A$6:$CC$25,BE$48,FALSE))</f>
        <v>-</v>
      </c>
      <c r="BF54" s="53" t="str">
        <f>IF($A54="-","-",VLOOKUP($A54,[4]Controle!$A$6:$CC$25,BF$48,FALSE))</f>
        <v>-</v>
      </c>
      <c r="BG54" s="53" t="str">
        <f>IF($A54="-","-",VLOOKUP($A54,[4]Controle!$A$6:$CC$25,BG$48,FALSE))</f>
        <v>-</v>
      </c>
      <c r="BH54" s="53" t="str">
        <f>IF($A54="-","-",VLOOKUP($A54,[4]Controle!$A$6:$CC$25,BH$48,FALSE))</f>
        <v>-</v>
      </c>
      <c r="BI54" s="53" t="str">
        <f>IF($A54="-","-",VLOOKUP($A54,[4]Controle!$A$6:$CC$25,BI$48,FALSE))</f>
        <v>-</v>
      </c>
      <c r="BJ54" s="53" t="str">
        <f>IF($A54="-","-",VLOOKUP($A54,[4]Controle!$A$6:$CC$25,BJ$48,FALSE))</f>
        <v>-</v>
      </c>
      <c r="BK54" s="53" t="str">
        <f>IF($A54="-","-",VLOOKUP($A54,[4]Controle!$A$6:$CC$25,BK$48,FALSE))</f>
        <v>-</v>
      </c>
      <c r="BL54" s="53" t="str">
        <f>IF($A54="-","-",VLOOKUP($A54,[4]Controle!$A$6:$CC$25,BL$48,FALSE))</f>
        <v>-</v>
      </c>
      <c r="BM54" s="53" t="str">
        <f>IF($A54="-","-",VLOOKUP($A54,[4]Controle!$A$6:$CC$25,BM$48,FALSE))</f>
        <v>-</v>
      </c>
      <c r="BN54" s="53" t="str">
        <f>IF($A54="-","-",VLOOKUP($A54,[4]Controle!$A$6:$CC$25,BN$48,FALSE))</f>
        <v>-</v>
      </c>
      <c r="BO54" s="53" t="str">
        <f>IF($A54="-","-",VLOOKUP($A54,[4]Controle!$A$6:$CC$25,BO$48,FALSE))</f>
        <v>-</v>
      </c>
      <c r="BP54" s="53" t="str">
        <f>IF($A54="-","-",VLOOKUP($A54,[4]Controle!$A$6:$CC$25,BP$48,FALSE))</f>
        <v>-</v>
      </c>
      <c r="BQ54" s="53" t="str">
        <f>IF($A54="-","-",VLOOKUP($A54,[4]Controle!$A$6:$CC$25,BQ$48,FALSE))</f>
        <v>-</v>
      </c>
      <c r="BR54" s="53" t="str">
        <f>IF($A54="-","-",VLOOKUP($A54,[4]Controle!$A$6:$CC$25,BR$48,FALSE))</f>
        <v>-</v>
      </c>
      <c r="BS54" s="53" t="str">
        <f>IF($A54="-","-",VLOOKUP($A54,[4]Controle!$A$6:$CC$25,BS$48,FALSE))</f>
        <v>-</v>
      </c>
      <c r="BT54" s="53" t="str">
        <f>IF($A54="-","-",VLOOKUP($A54,[4]Controle!$A$6:$CC$25,BT$48,FALSE))</f>
        <v>-</v>
      </c>
      <c r="BU54" s="53" t="str">
        <f>IF($A54="-","-",VLOOKUP($A54,[4]Controle!$A$6:$CC$25,BU$48,FALSE))</f>
        <v>-</v>
      </c>
      <c r="BV54" s="53" t="str">
        <f>IF($A54="-","-",VLOOKUP($A54,[4]Controle!$A$6:$CC$25,BV$48,FALSE))</f>
        <v>-</v>
      </c>
      <c r="BW54" s="53" t="str">
        <f>IF($A54="-","-",VLOOKUP($A54,[4]Controle!$A$6:$CC$25,BW$48,FALSE))</f>
        <v>-</v>
      </c>
      <c r="BX54" s="53" t="str">
        <f>IF($A54="-","-",VLOOKUP($A54,[4]Controle!$A$6:$CC$25,BX$48,FALSE))</f>
        <v>-</v>
      </c>
      <c r="BY54" s="53" t="str">
        <f>IF($A54="-","-",VLOOKUP($A54,[4]Controle!$A$6:$CC$25,BY$48,FALSE))</f>
        <v>-</v>
      </c>
      <c r="BZ54" s="53" t="str">
        <f>IF($A54="-","-",VLOOKUP($A54,[4]Controle!$A$6:$CC$25,BZ$48,FALSE))</f>
        <v>-</v>
      </c>
      <c r="CA54" s="53" t="str">
        <f>IF($A54="-","-",VLOOKUP($A54,[4]Controle!$A$6:$CC$25,CA$48,FALSE))</f>
        <v>-</v>
      </c>
      <c r="CB54" s="53" t="str">
        <f>IF($A54="-","-",VLOOKUP($A54,[4]Controle!$A$6:$CC$25,CB$48,FALSE))</f>
        <v>-</v>
      </c>
      <c r="CC54" s="53" t="str">
        <f>IF($A54="-","-",VLOOKUP($A54,[4]Controle!$A$6:$CC$25,CC$48,FALSE))</f>
        <v>-</v>
      </c>
      <c r="CT54" s="41">
        <f>IF(CV54="-",0,MAX($CT$51:CT53)+1)</f>
        <v>0</v>
      </c>
      <c r="CU54" s="53" t="str">
        <f t="shared" ca="1" si="26"/>
        <v>VÁLIDO</v>
      </c>
      <c r="CV54" s="53" t="str">
        <f t="shared" si="23"/>
        <v>-</v>
      </c>
      <c r="CW54" s="53">
        <f t="shared" si="27"/>
        <v>19</v>
      </c>
      <c r="CY54" s="41" t="str">
        <f t="shared" si="25"/>
        <v>M</v>
      </c>
    </row>
    <row r="55" spans="1:103" x14ac:dyDescent="0.3">
      <c r="A55" s="56">
        <v>20</v>
      </c>
      <c r="B55" s="53" t="str">
        <f>IF($A55="-","-",VLOOKUP($A55,[4]Controle!$A$6:$CC$25,B$48,FALSE))</f>
        <v>M.MS.LM-012</v>
      </c>
      <c r="C55" s="53" t="str">
        <f>IF($A55="-","-",VLOOKUP($A55,[4]Controle!$A$6:$CC$25,C$48,FALSE))</f>
        <v>Barômetro Digital</v>
      </c>
      <c r="D55" s="53" t="str">
        <f>IF($A55="-","-",VLOOKUP($A55,[4]Controle!$A$6:$CC$25,D$48,FALSE))</f>
        <v>Elus</v>
      </c>
      <c r="E55" s="53" t="str">
        <f>IF($A55="-","-",VLOOKUP($A55,[4]Controle!$A$6:$CC$25,E$48,FALSE))</f>
        <v>RBC - CAL 0439</v>
      </c>
      <c r="F55" s="53" t="str">
        <f>IF($A55="-","-",VLOOKUP($A55,[4]Controle!$A$6:$CC$25,F$48,FALSE))</f>
        <v>E0526A/24</v>
      </c>
      <c r="G55" s="54">
        <f>IF($A55="-","-",VLOOKUP($A55,[4]Controle!$A$6:$CC$25,G$48,FALSE))</f>
        <v>45632</v>
      </c>
      <c r="H55" s="55">
        <f>IF($A55="-","-",VLOOKUP($A55,[4]Controle!$A$6:$CC$25,H$48,FALSE))</f>
        <v>46386</v>
      </c>
      <c r="I55" s="53" t="str">
        <f>IF($A55="-","-",VLOOKUP($A55,[4]Controle!$A$6:$CC$25,I$48,FALSE))</f>
        <v>hPa</v>
      </c>
      <c r="J55" s="53">
        <f>IF($A55="-","-",VLOOKUP($A55,[4]Controle!$A$6:$CC$25,J$48,FALSE))</f>
        <v>600</v>
      </c>
      <c r="K55" s="53">
        <f>IF($A55="-","-",VLOOKUP($A55,[4]Controle!$A$6:$CC$25,K$48,FALSE))</f>
        <v>1100</v>
      </c>
      <c r="L55" s="53">
        <f>IF($A55="-","-",VLOOKUP($A55,[4]Controle!$A$6:$CC$25,L$48,FALSE))</f>
        <v>1</v>
      </c>
      <c r="M55" s="53">
        <f>IF($A55="-","-",VLOOKUP($A55,[4]Controle!$A$6:$CC$25,M$48,FALSE))</f>
        <v>1</v>
      </c>
      <c r="N55" s="53">
        <f>IF($A55="-","-",VLOOKUP($A55,[4]Controle!$A$6:$CC$25,N$48,FALSE))</f>
        <v>1</v>
      </c>
      <c r="O55" s="53">
        <f>IF($A55="-","-",VLOOKUP($A55,[4]Controle!$A$6:$CC$25,O$48,FALSE))</f>
        <v>2</v>
      </c>
      <c r="P55" s="53">
        <f>IF($A55="-","-",VLOOKUP($A55,[4]Controle!$A$6:$CC$25,P$48,FALSE))</f>
        <v>0</v>
      </c>
      <c r="Q55" s="53">
        <f>IF($A55="-","-",VLOOKUP($A55,[4]Controle!$A$6:$CC$25,Q$48,FALSE))</f>
        <v>3</v>
      </c>
      <c r="R55" s="53">
        <f>IF($A55="-","-",VLOOKUP($A55,[4]Controle!$A$6:$CC$25,R$48,FALSE))</f>
        <v>0</v>
      </c>
      <c r="S55" s="53">
        <f>IF($A55="-","-",VLOOKUP($A55,[4]Controle!$A$6:$CC$25,S$48,FALSE))</f>
        <v>0</v>
      </c>
      <c r="T55" s="53">
        <f>IF($A55="-","-",VLOOKUP($A55,[4]Controle!$A$6:$CC$25,T$48,FALSE))</f>
        <v>1</v>
      </c>
      <c r="U55" s="53">
        <f>IF($A55="-","-",VLOOKUP($A55,[4]Controle!$A$6:$CC$25,U$48,FALSE))</f>
        <v>1</v>
      </c>
      <c r="V55" s="53">
        <f>IF($A55="-","-",VLOOKUP($A55,[4]Controle!$A$6:$CC$25,V$48,FALSE))</f>
        <v>600</v>
      </c>
      <c r="W55" s="53">
        <f>IF($A55="-","-",VLOOKUP($A55,[4]Controle!$A$6:$CC$25,W$48,FALSE))</f>
        <v>1</v>
      </c>
      <c r="X55" s="53">
        <f>IF($A55="-","-",VLOOKUP($A55,[4]Controle!$A$6:$CC$25,X$48,FALSE))</f>
        <v>2</v>
      </c>
      <c r="Y55" s="53">
        <f>IF($A55="-","-",VLOOKUP($A55,[4]Controle!$A$6:$CC$25,Y$48,FALSE))</f>
        <v>1000000</v>
      </c>
      <c r="Z55" s="53">
        <f>IF($A55="-","-",VLOOKUP($A55,[4]Controle!$A$6:$CC$25,Z$48,FALSE))</f>
        <v>700</v>
      </c>
      <c r="AA55" s="53">
        <f>IF($A55="-","-",VLOOKUP($A55,[4]Controle!$A$6:$CC$25,AA$48,FALSE))</f>
        <v>1</v>
      </c>
      <c r="AB55" s="53">
        <f>IF($A55="-","-",VLOOKUP($A55,[4]Controle!$A$6:$CC$25,AB$48,FALSE))</f>
        <v>2</v>
      </c>
      <c r="AC55" s="53">
        <f>IF($A55="-","-",VLOOKUP($A55,[4]Controle!$A$6:$CC$25,AC$48,FALSE))</f>
        <v>1000000</v>
      </c>
      <c r="AD55" s="53">
        <f>IF($A55="-","-",VLOOKUP($A55,[4]Controle!$A$6:$CC$25,AD$48,FALSE))</f>
        <v>800</v>
      </c>
      <c r="AE55" s="53">
        <f>IF($A55="-","-",VLOOKUP($A55,[4]Controle!$A$6:$CC$25,AE$48,FALSE))</f>
        <v>1</v>
      </c>
      <c r="AF55" s="53">
        <f>IF($A55="-","-",VLOOKUP($A55,[4]Controle!$A$6:$CC$25,AF$48,FALSE))</f>
        <v>2</v>
      </c>
      <c r="AG55" s="53">
        <f>IF($A55="-","-",VLOOKUP($A55,[4]Controle!$A$6:$CC$25,AG$48,FALSE))</f>
        <v>1000000</v>
      </c>
      <c r="AH55" s="53">
        <f>IF($A55="-","-",VLOOKUP($A55,[4]Controle!$A$6:$CC$25,AH$48,FALSE))</f>
        <v>900</v>
      </c>
      <c r="AI55" s="53">
        <f>IF($A55="-","-",VLOOKUP($A55,[4]Controle!$A$6:$CC$25,AI$48,FALSE))</f>
        <v>1</v>
      </c>
      <c r="AJ55" s="53">
        <f>IF($A55="-","-",VLOOKUP($A55,[4]Controle!$A$6:$CC$25,AJ$48,FALSE))</f>
        <v>2</v>
      </c>
      <c r="AK55" s="53">
        <f>IF($A55="-","-",VLOOKUP($A55,[4]Controle!$A$6:$CC$25,AK$48,FALSE))</f>
        <v>1000000</v>
      </c>
      <c r="AL55" s="53">
        <f>IF($A55="-","-",VLOOKUP($A55,[4]Controle!$A$6:$CC$25,AL$48,FALSE))</f>
        <v>1000</v>
      </c>
      <c r="AM55" s="53">
        <f>IF($A55="-","-",VLOOKUP($A55,[4]Controle!$A$6:$CC$25,AM$48,FALSE))</f>
        <v>1</v>
      </c>
      <c r="AN55" s="53">
        <f>IF($A55="-","-",VLOOKUP($A55,[4]Controle!$A$6:$CC$25,AN$48,FALSE))</f>
        <v>2</v>
      </c>
      <c r="AO55" s="53">
        <f>IF($A55="-","-",VLOOKUP($A55,[4]Controle!$A$6:$CC$25,AO$48,FALSE))</f>
        <v>1000000</v>
      </c>
      <c r="AP55" s="53">
        <f>IF($A55="-","-",VLOOKUP($A55,[4]Controle!$A$6:$CC$25,AP$48,FALSE))</f>
        <v>1100</v>
      </c>
      <c r="AQ55" s="53">
        <f>IF($A55="-","-",VLOOKUP($A55,[4]Controle!$A$6:$CC$25,AQ$48,FALSE))</f>
        <v>1</v>
      </c>
      <c r="AR55" s="53">
        <f>IF($A55="-","-",VLOOKUP($A55,[4]Controle!$A$6:$CC$25,AR$48,FALSE))</f>
        <v>2</v>
      </c>
      <c r="AS55" s="53">
        <f>IF($A55="-","-",VLOOKUP($A55,[4]Controle!$A$6:$CC$25,AS$48,FALSE))</f>
        <v>1000000</v>
      </c>
      <c r="AT55" s="53" t="str">
        <f>IF($A55="-","-",VLOOKUP($A55,[4]Controle!$A$6:$CC$25,AT$48,FALSE))</f>
        <v>-</v>
      </c>
      <c r="AU55" s="53" t="str">
        <f>IF($A55="-","-",VLOOKUP($A55,[4]Controle!$A$6:$CC$25,AU$48,FALSE))</f>
        <v>-</v>
      </c>
      <c r="AV55" s="53" t="str">
        <f>IF($A55="-","-",VLOOKUP($A55,[4]Controle!$A$6:$CC$25,AV$48,FALSE))</f>
        <v>-</v>
      </c>
      <c r="AW55" s="53" t="str">
        <f>IF($A55="-","-",VLOOKUP($A55,[4]Controle!$A$6:$CC$25,AW$48,FALSE))</f>
        <v>-</v>
      </c>
      <c r="AX55" s="53" t="str">
        <f>IF($A55="-","-",VLOOKUP($A55,[4]Controle!$A$6:$CC$25,AX$48,FALSE))</f>
        <v>-</v>
      </c>
      <c r="AY55" s="53" t="str">
        <f>IF($A55="-","-",VLOOKUP($A55,[4]Controle!$A$6:$CC$25,AY$48,FALSE))</f>
        <v>-</v>
      </c>
      <c r="AZ55" s="53" t="str">
        <f>IF($A55="-","-",VLOOKUP($A55,[4]Controle!$A$6:$CC$25,AZ$48,FALSE))</f>
        <v>-</v>
      </c>
      <c r="BA55" s="53" t="str">
        <f>IF($A55="-","-",VLOOKUP($A55,[4]Controle!$A$6:$CC$25,BA$48,FALSE))</f>
        <v>-</v>
      </c>
      <c r="BB55" s="53" t="str">
        <f>IF($A55="-","-",VLOOKUP($A55,[4]Controle!$A$6:$CC$25,BB$48,FALSE))</f>
        <v>-</v>
      </c>
      <c r="BC55" s="53" t="str">
        <f>IF($A55="-","-",VLOOKUP($A55,[4]Controle!$A$6:$CC$25,BC$48,FALSE))</f>
        <v>-</v>
      </c>
      <c r="BD55" s="53" t="str">
        <f>IF($A55="-","-",VLOOKUP($A55,[4]Controle!$A$6:$CC$25,BD$48,FALSE))</f>
        <v>-</v>
      </c>
      <c r="BE55" s="53" t="str">
        <f>IF($A55="-","-",VLOOKUP($A55,[4]Controle!$A$6:$CC$25,BE$48,FALSE))</f>
        <v>-</v>
      </c>
      <c r="BF55" s="53" t="str">
        <f>IF($A55="-","-",VLOOKUP($A55,[4]Controle!$A$6:$CC$25,BF$48,FALSE))</f>
        <v>-</v>
      </c>
      <c r="BG55" s="53" t="str">
        <f>IF($A55="-","-",VLOOKUP($A55,[4]Controle!$A$6:$CC$25,BG$48,FALSE))</f>
        <v>-</v>
      </c>
      <c r="BH55" s="53" t="str">
        <f>IF($A55="-","-",VLOOKUP($A55,[4]Controle!$A$6:$CC$25,BH$48,FALSE))</f>
        <v>-</v>
      </c>
      <c r="BI55" s="53" t="str">
        <f>IF($A55="-","-",VLOOKUP($A55,[4]Controle!$A$6:$CC$25,BI$48,FALSE))</f>
        <v>-</v>
      </c>
      <c r="BJ55" s="53" t="str">
        <f>IF($A55="-","-",VLOOKUP($A55,[4]Controle!$A$6:$CC$25,BJ$48,FALSE))</f>
        <v>-</v>
      </c>
      <c r="BK55" s="53" t="str">
        <f>IF($A55="-","-",VLOOKUP($A55,[4]Controle!$A$6:$CC$25,BK$48,FALSE))</f>
        <v>-</v>
      </c>
      <c r="BL55" s="53" t="str">
        <f>IF($A55="-","-",VLOOKUP($A55,[4]Controle!$A$6:$CC$25,BL$48,FALSE))</f>
        <v>-</v>
      </c>
      <c r="BM55" s="53" t="str">
        <f>IF($A55="-","-",VLOOKUP($A55,[4]Controle!$A$6:$CC$25,BM$48,FALSE))</f>
        <v>-</v>
      </c>
      <c r="BN55" s="53" t="str">
        <f>IF($A55="-","-",VLOOKUP($A55,[4]Controle!$A$6:$CC$25,BN$48,FALSE))</f>
        <v>-</v>
      </c>
      <c r="BO55" s="53" t="str">
        <f>IF($A55="-","-",VLOOKUP($A55,[4]Controle!$A$6:$CC$25,BO$48,FALSE))</f>
        <v>-</v>
      </c>
      <c r="BP55" s="53" t="str">
        <f>IF($A55="-","-",VLOOKUP($A55,[4]Controle!$A$6:$CC$25,BP$48,FALSE))</f>
        <v>-</v>
      </c>
      <c r="BQ55" s="53" t="str">
        <f>IF($A55="-","-",VLOOKUP($A55,[4]Controle!$A$6:$CC$25,BQ$48,FALSE))</f>
        <v>-</v>
      </c>
      <c r="BR55" s="53" t="str">
        <f>IF($A55="-","-",VLOOKUP($A55,[4]Controle!$A$6:$CC$25,BR$48,FALSE))</f>
        <v>-</v>
      </c>
      <c r="BS55" s="53" t="str">
        <f>IF($A55="-","-",VLOOKUP($A55,[4]Controle!$A$6:$CC$25,BS$48,FALSE))</f>
        <v>-</v>
      </c>
      <c r="BT55" s="53" t="str">
        <f>IF($A55="-","-",VLOOKUP($A55,[4]Controle!$A$6:$CC$25,BT$48,FALSE))</f>
        <v>-</v>
      </c>
      <c r="BU55" s="53" t="str">
        <f>IF($A55="-","-",VLOOKUP($A55,[4]Controle!$A$6:$CC$25,BU$48,FALSE))</f>
        <v>-</v>
      </c>
      <c r="BV55" s="53" t="str">
        <f>IF($A55="-","-",VLOOKUP($A55,[4]Controle!$A$6:$CC$25,BV$48,FALSE))</f>
        <v>-</v>
      </c>
      <c r="BW55" s="53" t="str">
        <f>IF($A55="-","-",VLOOKUP($A55,[4]Controle!$A$6:$CC$25,BW$48,FALSE))</f>
        <v>-</v>
      </c>
      <c r="BX55" s="53" t="str">
        <f>IF($A55="-","-",VLOOKUP($A55,[4]Controle!$A$6:$CC$25,BX$48,FALSE))</f>
        <v>-</v>
      </c>
      <c r="BY55" s="53" t="str">
        <f>IF($A55="-","-",VLOOKUP($A55,[4]Controle!$A$6:$CC$25,BY$48,FALSE))</f>
        <v>-</v>
      </c>
      <c r="BZ55" s="53" t="str">
        <f>IF($A55="-","-",VLOOKUP($A55,[4]Controle!$A$6:$CC$25,BZ$48,FALSE))</f>
        <v>-</v>
      </c>
      <c r="CA55" s="53" t="str">
        <f>IF($A55="-","-",VLOOKUP($A55,[4]Controle!$A$6:$CC$25,CA$48,FALSE))</f>
        <v>-</v>
      </c>
      <c r="CB55" s="53" t="str">
        <f>IF($A55="-","-",VLOOKUP($A55,[4]Controle!$A$6:$CC$25,CB$48,FALSE))</f>
        <v>-</v>
      </c>
      <c r="CC55" s="53" t="str">
        <f>IF($A55="-","-",VLOOKUP($A55,[4]Controle!$A$6:$CC$25,CC$48,FALSE))</f>
        <v>-</v>
      </c>
      <c r="CT55" s="41">
        <f>IF(CV55="-",0,MAX($CT$51:CT54)+1)</f>
        <v>0</v>
      </c>
      <c r="CU55" s="53" t="str">
        <f t="shared" ca="1" si="26"/>
        <v>VÁLIDO</v>
      </c>
      <c r="CV55" s="53" t="str">
        <f t="shared" si="23"/>
        <v>-</v>
      </c>
      <c r="CW55" s="53">
        <f t="shared" si="27"/>
        <v>20</v>
      </c>
      <c r="CY55" s="41" t="str">
        <f t="shared" si="25"/>
        <v>M</v>
      </c>
    </row>
    <row r="56" spans="1:103" x14ac:dyDescent="0.3">
      <c r="A56" s="56" t="s">
        <v>54</v>
      </c>
      <c r="B56" s="53" t="str">
        <f>IF($A56="-","-",VLOOKUP($A56,[4]Controle!$A$6:$CC$25,B$48,FALSE))</f>
        <v>-</v>
      </c>
      <c r="C56" s="53" t="str">
        <f>IF($A56="-","-",VLOOKUP($A56,[4]Controle!$A$6:$CC$25,C$48,FALSE))</f>
        <v>-</v>
      </c>
      <c r="D56" s="53" t="str">
        <f>IF($A56="-","-",VLOOKUP($A56,[4]Controle!$A$6:$CC$25,D$48,FALSE))</f>
        <v>-</v>
      </c>
      <c r="E56" s="53" t="str">
        <f>IF($A56="-","-",VLOOKUP($A56,[4]Controle!$A$6:$CC$25,E$48,FALSE))</f>
        <v>-</v>
      </c>
      <c r="F56" s="53" t="str">
        <f>IF($A56="-","-",VLOOKUP($A56,[4]Controle!$A$6:$CC$25,F$48,FALSE))</f>
        <v>-</v>
      </c>
      <c r="G56" s="54" t="str">
        <f>IF($A56="-","-",VLOOKUP($A56,[4]Controle!$A$6:$CC$25,G$48,FALSE))</f>
        <v>-</v>
      </c>
      <c r="H56" s="55" t="str">
        <f>IF($A56="-","-",VLOOKUP($A56,[4]Controle!$A$6:$CC$25,H$48,FALSE))</f>
        <v>-</v>
      </c>
      <c r="I56" s="53" t="str">
        <f>IF($A56="-","-",VLOOKUP($A56,[4]Controle!$A$6:$CC$25,I$48,FALSE))</f>
        <v>-</v>
      </c>
      <c r="J56" s="53" t="str">
        <f>IF($A56="-","-",VLOOKUP($A56,[4]Controle!$A$6:$CC$25,J$48,FALSE))</f>
        <v>-</v>
      </c>
      <c r="K56" s="53" t="str">
        <f>IF($A56="-","-",VLOOKUP($A56,[4]Controle!$A$6:$CC$25,K$48,FALSE))</f>
        <v>-</v>
      </c>
      <c r="L56" s="53" t="str">
        <f>IF($A56="-","-",VLOOKUP($A56,[4]Controle!$A$6:$CC$25,L$48,FALSE))</f>
        <v>-</v>
      </c>
      <c r="M56" s="53" t="str">
        <f>IF($A56="-","-",VLOOKUP($A56,[4]Controle!$A$6:$CC$25,M$48,FALSE))</f>
        <v>-</v>
      </c>
      <c r="N56" s="53" t="str">
        <f>IF($A56="-","-",VLOOKUP($A56,[4]Controle!$A$6:$CC$25,N$48,FALSE))</f>
        <v>-</v>
      </c>
      <c r="O56" s="53" t="str">
        <f>IF($A56="-","-",VLOOKUP($A56,[4]Controle!$A$6:$CC$25,O$48,FALSE))</f>
        <v>-</v>
      </c>
      <c r="P56" s="53" t="str">
        <f>IF($A56="-","-",VLOOKUP($A56,[4]Controle!$A$6:$CC$25,P$48,FALSE))</f>
        <v>-</v>
      </c>
      <c r="Q56" s="53" t="str">
        <f>IF($A56="-","-",VLOOKUP($A56,[4]Controle!$A$6:$CC$25,Q$48,FALSE))</f>
        <v>-</v>
      </c>
      <c r="R56" s="53" t="str">
        <f>IF($A56="-","-",VLOOKUP($A56,[4]Controle!$A$6:$CC$25,R$48,FALSE))</f>
        <v>-</v>
      </c>
      <c r="S56" s="53" t="str">
        <f>IF($A56="-","-",VLOOKUP($A56,[4]Controle!$A$6:$CC$25,S$48,FALSE))</f>
        <v>-</v>
      </c>
      <c r="T56" s="53" t="str">
        <f>IF($A56="-","-",VLOOKUP($A56,[4]Controle!$A$6:$CC$25,T$48,FALSE))</f>
        <v>-</v>
      </c>
      <c r="U56" s="53" t="str">
        <f>IF($A56="-","-",VLOOKUP($A56,[4]Controle!$A$6:$CC$25,U$48,FALSE))</f>
        <v>-</v>
      </c>
      <c r="V56" s="53" t="str">
        <f>IF($A56="-","-",VLOOKUP($A56,[4]Controle!$A$6:$CC$25,V$48,FALSE))</f>
        <v>-</v>
      </c>
      <c r="W56" s="53" t="str">
        <f>IF($A56="-","-",VLOOKUP($A56,[4]Controle!$A$6:$CC$25,W$48,FALSE))</f>
        <v>-</v>
      </c>
      <c r="X56" s="53" t="str">
        <f>IF($A56="-","-",VLOOKUP($A56,[4]Controle!$A$6:$CC$25,X$48,FALSE))</f>
        <v>-</v>
      </c>
      <c r="Y56" s="53" t="str">
        <f>IF($A56="-","-",VLOOKUP($A56,[4]Controle!$A$6:$CC$25,Y$48,FALSE))</f>
        <v>-</v>
      </c>
      <c r="Z56" s="53" t="str">
        <f>IF($A56="-","-",VLOOKUP($A56,[4]Controle!$A$6:$CC$25,Z$48,FALSE))</f>
        <v>-</v>
      </c>
      <c r="AA56" s="53" t="str">
        <f>IF($A56="-","-",VLOOKUP($A56,[4]Controle!$A$6:$CC$25,AA$48,FALSE))</f>
        <v>-</v>
      </c>
      <c r="AB56" s="53" t="str">
        <f>IF($A56="-","-",VLOOKUP($A56,[4]Controle!$A$6:$CC$25,AB$48,FALSE))</f>
        <v>-</v>
      </c>
      <c r="AC56" s="53" t="str">
        <f>IF($A56="-","-",VLOOKUP($A56,[4]Controle!$A$6:$CC$25,AC$48,FALSE))</f>
        <v>-</v>
      </c>
      <c r="AD56" s="53" t="str">
        <f>IF($A56="-","-",VLOOKUP($A56,[4]Controle!$A$6:$CC$25,AD$48,FALSE))</f>
        <v>-</v>
      </c>
      <c r="AE56" s="53" t="str">
        <f>IF($A56="-","-",VLOOKUP($A56,[4]Controle!$A$6:$CC$25,AE$48,FALSE))</f>
        <v>-</v>
      </c>
      <c r="AF56" s="53" t="str">
        <f>IF($A56="-","-",VLOOKUP($A56,[4]Controle!$A$6:$CC$25,AF$48,FALSE))</f>
        <v>-</v>
      </c>
      <c r="AG56" s="53" t="str">
        <f>IF($A56="-","-",VLOOKUP($A56,[4]Controle!$A$6:$CC$25,AG$48,FALSE))</f>
        <v>-</v>
      </c>
      <c r="AH56" s="53" t="str">
        <f>IF($A56="-","-",VLOOKUP($A56,[4]Controle!$A$6:$CC$25,AH$48,FALSE))</f>
        <v>-</v>
      </c>
      <c r="AI56" s="53" t="str">
        <f>IF($A56="-","-",VLOOKUP($A56,[4]Controle!$A$6:$CC$25,AI$48,FALSE))</f>
        <v>-</v>
      </c>
      <c r="AJ56" s="53" t="str">
        <f>IF($A56="-","-",VLOOKUP($A56,[4]Controle!$A$6:$CC$25,AJ$48,FALSE))</f>
        <v>-</v>
      </c>
      <c r="AK56" s="53" t="str">
        <f>IF($A56="-","-",VLOOKUP($A56,[4]Controle!$A$6:$CC$25,AK$48,FALSE))</f>
        <v>-</v>
      </c>
      <c r="AL56" s="53" t="str">
        <f>IF($A56="-","-",VLOOKUP($A56,[4]Controle!$A$6:$CC$25,AL$48,FALSE))</f>
        <v>-</v>
      </c>
      <c r="AM56" s="53" t="str">
        <f>IF($A56="-","-",VLOOKUP($A56,[4]Controle!$A$6:$CC$25,AM$48,FALSE))</f>
        <v>-</v>
      </c>
      <c r="AN56" s="53" t="str">
        <f>IF($A56="-","-",VLOOKUP($A56,[4]Controle!$A$6:$CC$25,AN$48,FALSE))</f>
        <v>-</v>
      </c>
      <c r="AO56" s="53" t="str">
        <f>IF($A56="-","-",VLOOKUP($A56,[4]Controle!$A$6:$CC$25,AO$48,FALSE))</f>
        <v>-</v>
      </c>
      <c r="AP56" s="53" t="str">
        <f>IF($A56="-","-",VLOOKUP($A56,[4]Controle!$A$6:$CC$25,AP$48,FALSE))</f>
        <v>-</v>
      </c>
      <c r="AQ56" s="53" t="str">
        <f>IF($A56="-","-",VLOOKUP($A56,[4]Controle!$A$6:$CC$25,AQ$48,FALSE))</f>
        <v>-</v>
      </c>
      <c r="AR56" s="53" t="str">
        <f>IF($A56="-","-",VLOOKUP($A56,[4]Controle!$A$6:$CC$25,AR$48,FALSE))</f>
        <v>-</v>
      </c>
      <c r="AS56" s="53" t="str">
        <f>IF($A56="-","-",VLOOKUP($A56,[4]Controle!$A$6:$CC$25,AS$48,FALSE))</f>
        <v>-</v>
      </c>
      <c r="AT56" s="53" t="str">
        <f>IF($A56="-","-",VLOOKUP($A56,[4]Controle!$A$6:$CC$25,AT$48,FALSE))</f>
        <v>-</v>
      </c>
      <c r="AU56" s="53" t="str">
        <f>IF($A56="-","-",VLOOKUP($A56,[4]Controle!$A$6:$CC$25,AU$48,FALSE))</f>
        <v>-</v>
      </c>
      <c r="AV56" s="53" t="str">
        <f>IF($A56="-","-",VLOOKUP($A56,[4]Controle!$A$6:$CC$25,AV$48,FALSE))</f>
        <v>-</v>
      </c>
      <c r="AW56" s="53" t="str">
        <f>IF($A56="-","-",VLOOKUP($A56,[4]Controle!$A$6:$CC$25,AW$48,FALSE))</f>
        <v>-</v>
      </c>
      <c r="AX56" s="53" t="str">
        <f>IF($A56="-","-",VLOOKUP($A56,[4]Controle!$A$6:$CC$25,AX$48,FALSE))</f>
        <v>-</v>
      </c>
      <c r="AY56" s="53" t="str">
        <f>IF($A56="-","-",VLOOKUP($A56,[4]Controle!$A$6:$CC$25,AY$48,FALSE))</f>
        <v>-</v>
      </c>
      <c r="AZ56" s="53" t="str">
        <f>IF($A56="-","-",VLOOKUP($A56,[4]Controle!$A$6:$CC$25,AZ$48,FALSE))</f>
        <v>-</v>
      </c>
      <c r="BA56" s="53" t="str">
        <f>IF($A56="-","-",VLOOKUP($A56,[4]Controle!$A$6:$CC$25,BA$48,FALSE))</f>
        <v>-</v>
      </c>
      <c r="BB56" s="53" t="str">
        <f>IF($A56="-","-",VLOOKUP($A56,[4]Controle!$A$6:$CC$25,BB$48,FALSE))</f>
        <v>-</v>
      </c>
      <c r="BC56" s="53" t="str">
        <f>IF($A56="-","-",VLOOKUP($A56,[4]Controle!$A$6:$CC$25,BC$48,FALSE))</f>
        <v>-</v>
      </c>
      <c r="BD56" s="53" t="str">
        <f>IF($A56="-","-",VLOOKUP($A56,[4]Controle!$A$6:$CC$25,BD$48,FALSE))</f>
        <v>-</v>
      </c>
      <c r="BE56" s="53" t="str">
        <f>IF($A56="-","-",VLOOKUP($A56,[4]Controle!$A$6:$CC$25,BE$48,FALSE))</f>
        <v>-</v>
      </c>
      <c r="BF56" s="53" t="str">
        <f>IF($A56="-","-",VLOOKUP($A56,[4]Controle!$A$6:$CC$25,BF$48,FALSE))</f>
        <v>-</v>
      </c>
      <c r="BG56" s="53" t="str">
        <f>IF($A56="-","-",VLOOKUP($A56,[4]Controle!$A$6:$CC$25,BG$48,FALSE))</f>
        <v>-</v>
      </c>
      <c r="BH56" s="53" t="str">
        <f>IF($A56="-","-",VLOOKUP($A56,[4]Controle!$A$6:$CC$25,BH$48,FALSE))</f>
        <v>-</v>
      </c>
      <c r="BI56" s="53" t="str">
        <f>IF($A56="-","-",VLOOKUP($A56,[4]Controle!$A$6:$CC$25,BI$48,FALSE))</f>
        <v>-</v>
      </c>
      <c r="BJ56" s="53" t="str">
        <f>IF($A56="-","-",VLOOKUP($A56,[4]Controle!$A$6:$CC$25,BJ$48,FALSE))</f>
        <v>-</v>
      </c>
      <c r="BK56" s="53" t="str">
        <f>IF($A56="-","-",VLOOKUP($A56,[4]Controle!$A$6:$CC$25,BK$48,FALSE))</f>
        <v>-</v>
      </c>
      <c r="BL56" s="53" t="str">
        <f>IF($A56="-","-",VLOOKUP($A56,[4]Controle!$A$6:$CC$25,BL$48,FALSE))</f>
        <v>-</v>
      </c>
      <c r="BM56" s="53" t="str">
        <f>IF($A56="-","-",VLOOKUP($A56,[4]Controle!$A$6:$CC$25,BM$48,FALSE))</f>
        <v>-</v>
      </c>
      <c r="BN56" s="53" t="str">
        <f>IF($A56="-","-",VLOOKUP($A56,[4]Controle!$A$6:$CC$25,BN$48,FALSE))</f>
        <v>-</v>
      </c>
      <c r="BO56" s="53" t="str">
        <f>IF($A56="-","-",VLOOKUP($A56,[4]Controle!$A$6:$CC$25,BO$48,FALSE))</f>
        <v>-</v>
      </c>
      <c r="BP56" s="53" t="str">
        <f>IF($A56="-","-",VLOOKUP($A56,[4]Controle!$A$6:$CC$25,BP$48,FALSE))</f>
        <v>-</v>
      </c>
      <c r="BQ56" s="53" t="str">
        <f>IF($A56="-","-",VLOOKUP($A56,[4]Controle!$A$6:$CC$25,BQ$48,FALSE))</f>
        <v>-</v>
      </c>
      <c r="BR56" s="53" t="str">
        <f>IF($A56="-","-",VLOOKUP($A56,[4]Controle!$A$6:$CC$25,BR$48,FALSE))</f>
        <v>-</v>
      </c>
      <c r="BS56" s="53" t="str">
        <f>IF($A56="-","-",VLOOKUP($A56,[4]Controle!$A$6:$CC$25,BS$48,FALSE))</f>
        <v>-</v>
      </c>
      <c r="BT56" s="53" t="str">
        <f>IF($A56="-","-",VLOOKUP($A56,[4]Controle!$A$6:$CC$25,BT$48,FALSE))</f>
        <v>-</v>
      </c>
      <c r="BU56" s="53" t="str">
        <f>IF($A56="-","-",VLOOKUP($A56,[4]Controle!$A$6:$CC$25,BU$48,FALSE))</f>
        <v>-</v>
      </c>
      <c r="BV56" s="53" t="str">
        <f>IF($A56="-","-",VLOOKUP($A56,[4]Controle!$A$6:$CC$25,BV$48,FALSE))</f>
        <v>-</v>
      </c>
      <c r="BW56" s="53" t="str">
        <f>IF($A56="-","-",VLOOKUP($A56,[4]Controle!$A$6:$CC$25,BW$48,FALSE))</f>
        <v>-</v>
      </c>
      <c r="BX56" s="53" t="str">
        <f>IF($A56="-","-",VLOOKUP($A56,[4]Controle!$A$6:$CC$25,BX$48,FALSE))</f>
        <v>-</v>
      </c>
      <c r="BY56" s="53" t="str">
        <f>IF($A56="-","-",VLOOKUP($A56,[4]Controle!$A$6:$CC$25,BY$48,FALSE))</f>
        <v>-</v>
      </c>
      <c r="BZ56" s="53" t="str">
        <f>IF($A56="-","-",VLOOKUP($A56,[4]Controle!$A$6:$CC$25,BZ$48,FALSE))</f>
        <v>-</v>
      </c>
      <c r="CA56" s="53" t="str">
        <f>IF($A56="-","-",VLOOKUP($A56,[4]Controle!$A$6:$CC$25,CA$48,FALSE))</f>
        <v>-</v>
      </c>
      <c r="CB56" s="53" t="str">
        <f>IF($A56="-","-",VLOOKUP($A56,[4]Controle!$A$6:$CC$25,CB$48,FALSE))</f>
        <v>-</v>
      </c>
      <c r="CC56" s="53" t="str">
        <f>IF($A56="-","-",VLOOKUP($A56,[4]Controle!$A$6:$CC$25,CC$48,FALSE))</f>
        <v>-</v>
      </c>
      <c r="CT56" s="41">
        <f>IF(CV56="-",0,MAX($CT$51:CT55)+1)</f>
        <v>0</v>
      </c>
      <c r="CU56" s="53" t="str">
        <f t="shared" si="26"/>
        <v>-</v>
      </c>
      <c r="CV56" s="53" t="str">
        <f t="shared" si="23"/>
        <v>-</v>
      </c>
      <c r="CW56" s="53" t="str">
        <f t="shared" si="27"/>
        <v>-</v>
      </c>
      <c r="CY56" s="41" t="str">
        <f t="shared" si="25"/>
        <v>-</v>
      </c>
    </row>
    <row r="57" spans="1:103" x14ac:dyDescent="0.3">
      <c r="A57" s="56" t="s">
        <v>54</v>
      </c>
      <c r="B57" s="53" t="str">
        <f>IF($A57="-","-",VLOOKUP($A57,[4]Controle!$A$6:$CC$25,B$48,FALSE))</f>
        <v>-</v>
      </c>
      <c r="C57" s="53" t="str">
        <f>IF($A57="-","-",VLOOKUP($A57,[4]Controle!$A$6:$CC$25,C$48,FALSE))</f>
        <v>-</v>
      </c>
      <c r="D57" s="53" t="str">
        <f>IF($A57="-","-",VLOOKUP($A57,[4]Controle!$A$6:$CC$25,D$48,FALSE))</f>
        <v>-</v>
      </c>
      <c r="E57" s="53" t="str">
        <f>IF($A57="-","-",VLOOKUP($A57,[4]Controle!$A$6:$CC$25,E$48,FALSE))</f>
        <v>-</v>
      </c>
      <c r="F57" s="53" t="str">
        <f>IF($A57="-","-",VLOOKUP($A57,[4]Controle!$A$6:$CC$25,F$48,FALSE))</f>
        <v>-</v>
      </c>
      <c r="G57" s="54" t="str">
        <f>IF($A57="-","-",VLOOKUP($A57,[4]Controle!$A$6:$CC$25,G$48,FALSE))</f>
        <v>-</v>
      </c>
      <c r="H57" s="55" t="str">
        <f>IF($A57="-","-",VLOOKUP($A57,[4]Controle!$A$6:$CC$25,H$48,FALSE))</f>
        <v>-</v>
      </c>
      <c r="I57" s="53" t="str">
        <f>IF($A57="-","-",VLOOKUP($A57,[4]Controle!$A$6:$CC$25,I$48,FALSE))</f>
        <v>-</v>
      </c>
      <c r="J57" s="53" t="str">
        <f>IF($A57="-","-",VLOOKUP($A57,[4]Controle!$A$6:$CC$25,J$48,FALSE))</f>
        <v>-</v>
      </c>
      <c r="K57" s="53" t="str">
        <f>IF($A57="-","-",VLOOKUP($A57,[4]Controle!$A$6:$CC$25,K$48,FALSE))</f>
        <v>-</v>
      </c>
      <c r="L57" s="53" t="str">
        <f>IF($A57="-","-",VLOOKUP($A57,[4]Controle!$A$6:$CC$25,L$48,FALSE))</f>
        <v>-</v>
      </c>
      <c r="M57" s="53" t="str">
        <f>IF($A57="-","-",VLOOKUP($A57,[4]Controle!$A$6:$CC$25,M$48,FALSE))</f>
        <v>-</v>
      </c>
      <c r="N57" s="53" t="str">
        <f>IF($A57="-","-",VLOOKUP($A57,[4]Controle!$A$6:$CC$25,N$48,FALSE))</f>
        <v>-</v>
      </c>
      <c r="O57" s="53" t="str">
        <f>IF($A57="-","-",VLOOKUP($A57,[4]Controle!$A$6:$CC$25,O$48,FALSE))</f>
        <v>-</v>
      </c>
      <c r="P57" s="53" t="str">
        <f>IF($A57="-","-",VLOOKUP($A57,[4]Controle!$A$6:$CC$25,P$48,FALSE))</f>
        <v>-</v>
      </c>
      <c r="Q57" s="53" t="str">
        <f>IF($A57="-","-",VLOOKUP($A57,[4]Controle!$A$6:$CC$25,Q$48,FALSE))</f>
        <v>-</v>
      </c>
      <c r="R57" s="53" t="str">
        <f>IF($A57="-","-",VLOOKUP($A57,[4]Controle!$A$6:$CC$25,R$48,FALSE))</f>
        <v>-</v>
      </c>
      <c r="S57" s="53" t="str">
        <f>IF($A57="-","-",VLOOKUP($A57,[4]Controle!$A$6:$CC$25,S$48,FALSE))</f>
        <v>-</v>
      </c>
      <c r="T57" s="53" t="str">
        <f>IF($A57="-","-",VLOOKUP($A57,[4]Controle!$A$6:$CC$25,T$48,FALSE))</f>
        <v>-</v>
      </c>
      <c r="U57" s="53" t="str">
        <f>IF($A57="-","-",VLOOKUP($A57,[4]Controle!$A$6:$CC$25,U$48,FALSE))</f>
        <v>-</v>
      </c>
      <c r="V57" s="53" t="str">
        <f>IF($A57="-","-",VLOOKUP($A57,[4]Controle!$A$6:$CC$25,V$48,FALSE))</f>
        <v>-</v>
      </c>
      <c r="W57" s="53" t="str">
        <f>IF($A57="-","-",VLOOKUP($A57,[4]Controle!$A$6:$CC$25,W$48,FALSE))</f>
        <v>-</v>
      </c>
      <c r="X57" s="53" t="str">
        <f>IF($A57="-","-",VLOOKUP($A57,[4]Controle!$A$6:$CC$25,X$48,FALSE))</f>
        <v>-</v>
      </c>
      <c r="Y57" s="53" t="str">
        <f>IF($A57="-","-",VLOOKUP($A57,[4]Controle!$A$6:$CC$25,Y$48,FALSE))</f>
        <v>-</v>
      </c>
      <c r="Z57" s="53" t="str">
        <f>IF($A57="-","-",VLOOKUP($A57,[4]Controle!$A$6:$CC$25,Z$48,FALSE))</f>
        <v>-</v>
      </c>
      <c r="AA57" s="53" t="str">
        <f>IF($A57="-","-",VLOOKUP($A57,[4]Controle!$A$6:$CC$25,AA$48,FALSE))</f>
        <v>-</v>
      </c>
      <c r="AB57" s="53" t="str">
        <f>IF($A57="-","-",VLOOKUP($A57,[4]Controle!$A$6:$CC$25,AB$48,FALSE))</f>
        <v>-</v>
      </c>
      <c r="AC57" s="53" t="str">
        <f>IF($A57="-","-",VLOOKUP($A57,[4]Controle!$A$6:$CC$25,AC$48,FALSE))</f>
        <v>-</v>
      </c>
      <c r="AD57" s="53" t="str">
        <f>IF($A57="-","-",VLOOKUP($A57,[4]Controle!$A$6:$CC$25,AD$48,FALSE))</f>
        <v>-</v>
      </c>
      <c r="AE57" s="53" t="str">
        <f>IF($A57="-","-",VLOOKUP($A57,[4]Controle!$A$6:$CC$25,AE$48,FALSE))</f>
        <v>-</v>
      </c>
      <c r="AF57" s="53" t="str">
        <f>IF($A57="-","-",VLOOKUP($A57,[4]Controle!$A$6:$CC$25,AF$48,FALSE))</f>
        <v>-</v>
      </c>
      <c r="AG57" s="53" t="str">
        <f>IF($A57="-","-",VLOOKUP($A57,[4]Controle!$A$6:$CC$25,AG$48,FALSE))</f>
        <v>-</v>
      </c>
      <c r="AH57" s="53" t="str">
        <f>IF($A57="-","-",VLOOKUP($A57,[4]Controle!$A$6:$CC$25,AH$48,FALSE))</f>
        <v>-</v>
      </c>
      <c r="AI57" s="53" t="str">
        <f>IF($A57="-","-",VLOOKUP($A57,[4]Controle!$A$6:$CC$25,AI$48,FALSE))</f>
        <v>-</v>
      </c>
      <c r="AJ57" s="53" t="str">
        <f>IF($A57="-","-",VLOOKUP($A57,[4]Controle!$A$6:$CC$25,AJ$48,FALSE))</f>
        <v>-</v>
      </c>
      <c r="AK57" s="53" t="str">
        <f>IF($A57="-","-",VLOOKUP($A57,[4]Controle!$A$6:$CC$25,AK$48,FALSE))</f>
        <v>-</v>
      </c>
      <c r="AL57" s="53" t="str">
        <f>IF($A57="-","-",VLOOKUP($A57,[4]Controle!$A$6:$CC$25,AL$48,FALSE))</f>
        <v>-</v>
      </c>
      <c r="AM57" s="53" t="str">
        <f>IF($A57="-","-",VLOOKUP($A57,[4]Controle!$A$6:$CC$25,AM$48,FALSE))</f>
        <v>-</v>
      </c>
      <c r="AN57" s="53" t="str">
        <f>IF($A57="-","-",VLOOKUP($A57,[4]Controle!$A$6:$CC$25,AN$48,FALSE))</f>
        <v>-</v>
      </c>
      <c r="AO57" s="53" t="str">
        <f>IF($A57="-","-",VLOOKUP($A57,[4]Controle!$A$6:$CC$25,AO$48,FALSE))</f>
        <v>-</v>
      </c>
      <c r="AP57" s="53" t="str">
        <f>IF($A57="-","-",VLOOKUP($A57,[4]Controle!$A$6:$CC$25,AP$48,FALSE))</f>
        <v>-</v>
      </c>
      <c r="AQ57" s="53" t="str">
        <f>IF($A57="-","-",VLOOKUP($A57,[4]Controle!$A$6:$CC$25,AQ$48,FALSE))</f>
        <v>-</v>
      </c>
      <c r="AR57" s="53" t="str">
        <f>IF($A57="-","-",VLOOKUP($A57,[4]Controle!$A$6:$CC$25,AR$48,FALSE))</f>
        <v>-</v>
      </c>
      <c r="AS57" s="53" t="str">
        <f>IF($A57="-","-",VLOOKUP($A57,[4]Controle!$A$6:$CC$25,AS$48,FALSE))</f>
        <v>-</v>
      </c>
      <c r="AT57" s="53" t="str">
        <f>IF($A57="-","-",VLOOKUP($A57,[4]Controle!$A$6:$CC$25,AT$48,FALSE))</f>
        <v>-</v>
      </c>
      <c r="AU57" s="53" t="str">
        <f>IF($A57="-","-",VLOOKUP($A57,[4]Controle!$A$6:$CC$25,AU$48,FALSE))</f>
        <v>-</v>
      </c>
      <c r="AV57" s="53" t="str">
        <f>IF($A57="-","-",VLOOKUP($A57,[4]Controle!$A$6:$CC$25,AV$48,FALSE))</f>
        <v>-</v>
      </c>
      <c r="AW57" s="53" t="str">
        <f>IF($A57="-","-",VLOOKUP($A57,[4]Controle!$A$6:$CC$25,AW$48,FALSE))</f>
        <v>-</v>
      </c>
      <c r="AX57" s="53" t="str">
        <f>IF($A57="-","-",VLOOKUP($A57,[4]Controle!$A$6:$CC$25,AX$48,FALSE))</f>
        <v>-</v>
      </c>
      <c r="AY57" s="53" t="str">
        <f>IF($A57="-","-",VLOOKUP($A57,[4]Controle!$A$6:$CC$25,AY$48,FALSE))</f>
        <v>-</v>
      </c>
      <c r="AZ57" s="53" t="str">
        <f>IF($A57="-","-",VLOOKUP($A57,[4]Controle!$A$6:$CC$25,AZ$48,FALSE))</f>
        <v>-</v>
      </c>
      <c r="BA57" s="53" t="str">
        <f>IF($A57="-","-",VLOOKUP($A57,[4]Controle!$A$6:$CC$25,BA$48,FALSE))</f>
        <v>-</v>
      </c>
      <c r="BB57" s="53" t="str">
        <f>IF($A57="-","-",VLOOKUP($A57,[4]Controle!$A$6:$CC$25,BB$48,FALSE))</f>
        <v>-</v>
      </c>
      <c r="BC57" s="53" t="str">
        <f>IF($A57="-","-",VLOOKUP($A57,[4]Controle!$A$6:$CC$25,BC$48,FALSE))</f>
        <v>-</v>
      </c>
      <c r="BD57" s="53" t="str">
        <f>IF($A57="-","-",VLOOKUP($A57,[4]Controle!$A$6:$CC$25,BD$48,FALSE))</f>
        <v>-</v>
      </c>
      <c r="BE57" s="53" t="str">
        <f>IF($A57="-","-",VLOOKUP($A57,[4]Controle!$A$6:$CC$25,BE$48,FALSE))</f>
        <v>-</v>
      </c>
      <c r="BF57" s="53" t="str">
        <f>IF($A57="-","-",VLOOKUP($A57,[4]Controle!$A$6:$CC$25,BF$48,FALSE))</f>
        <v>-</v>
      </c>
      <c r="BG57" s="53" t="str">
        <f>IF($A57="-","-",VLOOKUP($A57,[4]Controle!$A$6:$CC$25,BG$48,FALSE))</f>
        <v>-</v>
      </c>
      <c r="BH57" s="53" t="str">
        <f>IF($A57="-","-",VLOOKUP($A57,[4]Controle!$A$6:$CC$25,BH$48,FALSE))</f>
        <v>-</v>
      </c>
      <c r="BI57" s="53" t="str">
        <f>IF($A57="-","-",VLOOKUP($A57,[4]Controle!$A$6:$CC$25,BI$48,FALSE))</f>
        <v>-</v>
      </c>
      <c r="BJ57" s="53" t="str">
        <f>IF($A57="-","-",VLOOKUP($A57,[4]Controle!$A$6:$CC$25,BJ$48,FALSE))</f>
        <v>-</v>
      </c>
      <c r="BK57" s="53" t="str">
        <f>IF($A57="-","-",VLOOKUP($A57,[4]Controle!$A$6:$CC$25,BK$48,FALSE))</f>
        <v>-</v>
      </c>
      <c r="BL57" s="53" t="str">
        <f>IF($A57="-","-",VLOOKUP($A57,[4]Controle!$A$6:$CC$25,BL$48,FALSE))</f>
        <v>-</v>
      </c>
      <c r="BM57" s="53" t="str">
        <f>IF($A57="-","-",VLOOKUP($A57,[4]Controle!$A$6:$CC$25,BM$48,FALSE))</f>
        <v>-</v>
      </c>
      <c r="BN57" s="53" t="str">
        <f>IF($A57="-","-",VLOOKUP($A57,[4]Controle!$A$6:$CC$25,BN$48,FALSE))</f>
        <v>-</v>
      </c>
      <c r="BO57" s="53" t="str">
        <f>IF($A57="-","-",VLOOKUP($A57,[4]Controle!$A$6:$CC$25,BO$48,FALSE))</f>
        <v>-</v>
      </c>
      <c r="BP57" s="53" t="str">
        <f>IF($A57="-","-",VLOOKUP($A57,[4]Controle!$A$6:$CC$25,BP$48,FALSE))</f>
        <v>-</v>
      </c>
      <c r="BQ57" s="53" t="str">
        <f>IF($A57="-","-",VLOOKUP($A57,[4]Controle!$A$6:$CC$25,BQ$48,FALSE))</f>
        <v>-</v>
      </c>
      <c r="BR57" s="53" t="str">
        <f>IF($A57="-","-",VLOOKUP($A57,[4]Controle!$A$6:$CC$25,BR$48,FALSE))</f>
        <v>-</v>
      </c>
      <c r="BS57" s="53" t="str">
        <f>IF($A57="-","-",VLOOKUP($A57,[4]Controle!$A$6:$CC$25,BS$48,FALSE))</f>
        <v>-</v>
      </c>
      <c r="BT57" s="53" t="str">
        <f>IF($A57="-","-",VLOOKUP($A57,[4]Controle!$A$6:$CC$25,BT$48,FALSE))</f>
        <v>-</v>
      </c>
      <c r="BU57" s="53" t="str">
        <f>IF($A57="-","-",VLOOKUP($A57,[4]Controle!$A$6:$CC$25,BU$48,FALSE))</f>
        <v>-</v>
      </c>
      <c r="BV57" s="53" t="str">
        <f>IF($A57="-","-",VLOOKUP($A57,[4]Controle!$A$6:$CC$25,BV$48,FALSE))</f>
        <v>-</v>
      </c>
      <c r="BW57" s="53" t="str">
        <f>IF($A57="-","-",VLOOKUP($A57,[4]Controle!$A$6:$CC$25,BW$48,FALSE))</f>
        <v>-</v>
      </c>
      <c r="BX57" s="53" t="str">
        <f>IF($A57="-","-",VLOOKUP($A57,[4]Controle!$A$6:$CC$25,BX$48,FALSE))</f>
        <v>-</v>
      </c>
      <c r="BY57" s="53" t="str">
        <f>IF($A57="-","-",VLOOKUP($A57,[4]Controle!$A$6:$CC$25,BY$48,FALSE))</f>
        <v>-</v>
      </c>
      <c r="BZ57" s="53" t="str">
        <f>IF($A57="-","-",VLOOKUP($A57,[4]Controle!$A$6:$CC$25,BZ$48,FALSE))</f>
        <v>-</v>
      </c>
      <c r="CA57" s="53" t="str">
        <f>IF($A57="-","-",VLOOKUP($A57,[4]Controle!$A$6:$CC$25,CA$48,FALSE))</f>
        <v>-</v>
      </c>
      <c r="CB57" s="53" t="str">
        <f>IF($A57="-","-",VLOOKUP($A57,[4]Controle!$A$6:$CC$25,CB$48,FALSE))</f>
        <v>-</v>
      </c>
      <c r="CC57" s="53" t="str">
        <f>IF($A57="-","-",VLOOKUP($A57,[4]Controle!$A$6:$CC$25,CC$48,FALSE))</f>
        <v>-</v>
      </c>
      <c r="CT57" s="41">
        <f>IF(CV57="-",0,MAX($CT$51:CT56)+1)</f>
        <v>0</v>
      </c>
      <c r="CU57" s="53" t="str">
        <f t="shared" si="26"/>
        <v>-</v>
      </c>
      <c r="CV57" s="53" t="str">
        <f t="shared" si="23"/>
        <v>-</v>
      </c>
      <c r="CW57" s="53" t="str">
        <f t="shared" si="27"/>
        <v>-</v>
      </c>
      <c r="CY57" s="41" t="str">
        <f t="shared" si="25"/>
        <v>-</v>
      </c>
    </row>
    <row r="58" spans="1:103" x14ac:dyDescent="0.3">
      <c r="A58" s="56" t="s">
        <v>54</v>
      </c>
      <c r="B58" s="53" t="str">
        <f>IF($A58="-","-",VLOOKUP($A58,[4]Controle!$A$6:$CC$25,B$48,FALSE))</f>
        <v>-</v>
      </c>
      <c r="C58" s="53" t="str">
        <f>IF($A58="-","-",VLOOKUP($A58,[4]Controle!$A$6:$CC$25,C$48,FALSE))</f>
        <v>-</v>
      </c>
      <c r="D58" s="53" t="str">
        <f>IF($A58="-","-",VLOOKUP($A58,[4]Controle!$A$6:$CC$25,D$48,FALSE))</f>
        <v>-</v>
      </c>
      <c r="E58" s="53" t="str">
        <f>IF($A58="-","-",VLOOKUP($A58,[4]Controle!$A$6:$CC$25,E$48,FALSE))</f>
        <v>-</v>
      </c>
      <c r="F58" s="53" t="str">
        <f>IF($A58="-","-",VLOOKUP($A58,[4]Controle!$A$6:$CC$25,F$48,FALSE))</f>
        <v>-</v>
      </c>
      <c r="G58" s="54" t="str">
        <f>IF($A58="-","-",VLOOKUP($A58,[4]Controle!$A$6:$CC$25,G$48,FALSE))</f>
        <v>-</v>
      </c>
      <c r="H58" s="55" t="str">
        <f>IF($A58="-","-",VLOOKUP($A58,[4]Controle!$A$6:$CC$25,H$48,FALSE))</f>
        <v>-</v>
      </c>
      <c r="I58" s="53" t="str">
        <f>IF($A58="-","-",VLOOKUP($A58,[4]Controle!$A$6:$CC$25,I$48,FALSE))</f>
        <v>-</v>
      </c>
      <c r="J58" s="53" t="str">
        <f>IF($A58="-","-",VLOOKUP($A58,[4]Controle!$A$6:$CC$25,J$48,FALSE))</f>
        <v>-</v>
      </c>
      <c r="K58" s="53" t="str">
        <f>IF($A58="-","-",VLOOKUP($A58,[4]Controle!$A$6:$CC$25,K$48,FALSE))</f>
        <v>-</v>
      </c>
      <c r="L58" s="53" t="str">
        <f>IF($A58="-","-",VLOOKUP($A58,[4]Controle!$A$6:$CC$25,L$48,FALSE))</f>
        <v>-</v>
      </c>
      <c r="M58" s="53" t="str">
        <f>IF($A58="-","-",VLOOKUP($A58,[4]Controle!$A$6:$CC$25,M$48,FALSE))</f>
        <v>-</v>
      </c>
      <c r="N58" s="53" t="str">
        <f>IF($A58="-","-",VLOOKUP($A58,[4]Controle!$A$6:$CC$25,N$48,FALSE))</f>
        <v>-</v>
      </c>
      <c r="O58" s="53" t="str">
        <f>IF($A58="-","-",VLOOKUP($A58,[4]Controle!$A$6:$CC$25,O$48,FALSE))</f>
        <v>-</v>
      </c>
      <c r="P58" s="53" t="str">
        <f>IF($A58="-","-",VLOOKUP($A58,[4]Controle!$A$6:$CC$25,P$48,FALSE))</f>
        <v>-</v>
      </c>
      <c r="Q58" s="53" t="str">
        <f>IF($A58="-","-",VLOOKUP($A58,[4]Controle!$A$6:$CC$25,Q$48,FALSE))</f>
        <v>-</v>
      </c>
      <c r="R58" s="53" t="str">
        <f>IF($A58="-","-",VLOOKUP($A58,[4]Controle!$A$6:$CC$25,R$48,FALSE))</f>
        <v>-</v>
      </c>
      <c r="S58" s="53" t="str">
        <f>IF($A58="-","-",VLOOKUP($A58,[4]Controle!$A$6:$CC$25,S$48,FALSE))</f>
        <v>-</v>
      </c>
      <c r="T58" s="53" t="str">
        <f>IF($A58="-","-",VLOOKUP($A58,[4]Controle!$A$6:$CC$25,T$48,FALSE))</f>
        <v>-</v>
      </c>
      <c r="U58" s="53" t="str">
        <f>IF($A58="-","-",VLOOKUP($A58,[4]Controle!$A$6:$CC$25,U$48,FALSE))</f>
        <v>-</v>
      </c>
      <c r="V58" s="53" t="str">
        <f>IF($A58="-","-",VLOOKUP($A58,[4]Controle!$A$6:$CC$25,V$48,FALSE))</f>
        <v>-</v>
      </c>
      <c r="W58" s="53" t="str">
        <f>IF($A58="-","-",VLOOKUP($A58,[4]Controle!$A$6:$CC$25,W$48,FALSE))</f>
        <v>-</v>
      </c>
      <c r="X58" s="53" t="str">
        <f>IF($A58="-","-",VLOOKUP($A58,[4]Controle!$A$6:$CC$25,X$48,FALSE))</f>
        <v>-</v>
      </c>
      <c r="Y58" s="53" t="str">
        <f>IF($A58="-","-",VLOOKUP($A58,[4]Controle!$A$6:$CC$25,Y$48,FALSE))</f>
        <v>-</v>
      </c>
      <c r="Z58" s="53" t="str">
        <f>IF($A58="-","-",VLOOKUP($A58,[4]Controle!$A$6:$CC$25,Z$48,FALSE))</f>
        <v>-</v>
      </c>
      <c r="AA58" s="53" t="str">
        <f>IF($A58="-","-",VLOOKUP($A58,[4]Controle!$A$6:$CC$25,AA$48,FALSE))</f>
        <v>-</v>
      </c>
      <c r="AB58" s="53" t="str">
        <f>IF($A58="-","-",VLOOKUP($A58,[4]Controle!$A$6:$CC$25,AB$48,FALSE))</f>
        <v>-</v>
      </c>
      <c r="AC58" s="53" t="str">
        <f>IF($A58="-","-",VLOOKUP($A58,[4]Controle!$A$6:$CC$25,AC$48,FALSE))</f>
        <v>-</v>
      </c>
      <c r="AD58" s="53" t="str">
        <f>IF($A58="-","-",VLOOKUP($A58,[4]Controle!$A$6:$CC$25,AD$48,FALSE))</f>
        <v>-</v>
      </c>
      <c r="AE58" s="53" t="str">
        <f>IF($A58="-","-",VLOOKUP($A58,[4]Controle!$A$6:$CC$25,AE$48,FALSE))</f>
        <v>-</v>
      </c>
      <c r="AF58" s="53" t="str">
        <f>IF($A58="-","-",VLOOKUP($A58,[4]Controle!$A$6:$CC$25,AF$48,FALSE))</f>
        <v>-</v>
      </c>
      <c r="AG58" s="53" t="str">
        <f>IF($A58="-","-",VLOOKUP($A58,[4]Controle!$A$6:$CC$25,AG$48,FALSE))</f>
        <v>-</v>
      </c>
      <c r="AH58" s="53" t="str">
        <f>IF($A58="-","-",VLOOKUP($A58,[4]Controle!$A$6:$CC$25,AH$48,FALSE))</f>
        <v>-</v>
      </c>
      <c r="AI58" s="53" t="str">
        <f>IF($A58="-","-",VLOOKUP($A58,[4]Controle!$A$6:$CC$25,AI$48,FALSE))</f>
        <v>-</v>
      </c>
      <c r="AJ58" s="53" t="str">
        <f>IF($A58="-","-",VLOOKUP($A58,[4]Controle!$A$6:$CC$25,AJ$48,FALSE))</f>
        <v>-</v>
      </c>
      <c r="AK58" s="53" t="str">
        <f>IF($A58="-","-",VLOOKUP($A58,[4]Controle!$A$6:$CC$25,AK$48,FALSE))</f>
        <v>-</v>
      </c>
      <c r="AL58" s="53" t="str">
        <f>IF($A58="-","-",VLOOKUP($A58,[4]Controle!$A$6:$CC$25,AL$48,FALSE))</f>
        <v>-</v>
      </c>
      <c r="AM58" s="53" t="str">
        <f>IF($A58="-","-",VLOOKUP($A58,[4]Controle!$A$6:$CC$25,AM$48,FALSE))</f>
        <v>-</v>
      </c>
      <c r="AN58" s="53" t="str">
        <f>IF($A58="-","-",VLOOKUP($A58,[4]Controle!$A$6:$CC$25,AN$48,FALSE))</f>
        <v>-</v>
      </c>
      <c r="AO58" s="53" t="str">
        <f>IF($A58="-","-",VLOOKUP($A58,[4]Controle!$A$6:$CC$25,AO$48,FALSE))</f>
        <v>-</v>
      </c>
      <c r="AP58" s="53" t="str">
        <f>IF($A58="-","-",VLOOKUP($A58,[4]Controle!$A$6:$CC$25,AP$48,FALSE))</f>
        <v>-</v>
      </c>
      <c r="AQ58" s="53" t="str">
        <f>IF($A58="-","-",VLOOKUP($A58,[4]Controle!$A$6:$CC$25,AQ$48,FALSE))</f>
        <v>-</v>
      </c>
      <c r="AR58" s="53" t="str">
        <f>IF($A58="-","-",VLOOKUP($A58,[4]Controle!$A$6:$CC$25,AR$48,FALSE))</f>
        <v>-</v>
      </c>
      <c r="AS58" s="53" t="str">
        <f>IF($A58="-","-",VLOOKUP($A58,[4]Controle!$A$6:$CC$25,AS$48,FALSE))</f>
        <v>-</v>
      </c>
      <c r="AT58" s="53" t="str">
        <f>IF($A58="-","-",VLOOKUP($A58,[4]Controle!$A$6:$CC$25,AT$48,FALSE))</f>
        <v>-</v>
      </c>
      <c r="AU58" s="53" t="str">
        <f>IF($A58="-","-",VLOOKUP($A58,[4]Controle!$A$6:$CC$25,AU$48,FALSE))</f>
        <v>-</v>
      </c>
      <c r="AV58" s="53" t="str">
        <f>IF($A58="-","-",VLOOKUP($A58,[4]Controle!$A$6:$CC$25,AV$48,FALSE))</f>
        <v>-</v>
      </c>
      <c r="AW58" s="53" t="str">
        <f>IF($A58="-","-",VLOOKUP($A58,[4]Controle!$A$6:$CC$25,AW$48,FALSE))</f>
        <v>-</v>
      </c>
      <c r="AX58" s="53" t="str">
        <f>IF($A58="-","-",VLOOKUP($A58,[4]Controle!$A$6:$CC$25,AX$48,FALSE))</f>
        <v>-</v>
      </c>
      <c r="AY58" s="53" t="str">
        <f>IF($A58="-","-",VLOOKUP($A58,[4]Controle!$A$6:$CC$25,AY$48,FALSE))</f>
        <v>-</v>
      </c>
      <c r="AZ58" s="53" t="str">
        <f>IF($A58="-","-",VLOOKUP($A58,[4]Controle!$A$6:$CC$25,AZ$48,FALSE))</f>
        <v>-</v>
      </c>
      <c r="BA58" s="53" t="str">
        <f>IF($A58="-","-",VLOOKUP($A58,[4]Controle!$A$6:$CC$25,BA$48,FALSE))</f>
        <v>-</v>
      </c>
      <c r="BB58" s="53" t="str">
        <f>IF($A58="-","-",VLOOKUP($A58,[4]Controle!$A$6:$CC$25,BB$48,FALSE))</f>
        <v>-</v>
      </c>
      <c r="BC58" s="53" t="str">
        <f>IF($A58="-","-",VLOOKUP($A58,[4]Controle!$A$6:$CC$25,BC$48,FALSE))</f>
        <v>-</v>
      </c>
      <c r="BD58" s="53" t="str">
        <f>IF($A58="-","-",VLOOKUP($A58,[4]Controle!$A$6:$CC$25,BD$48,FALSE))</f>
        <v>-</v>
      </c>
      <c r="BE58" s="53" t="str">
        <f>IF($A58="-","-",VLOOKUP($A58,[4]Controle!$A$6:$CC$25,BE$48,FALSE))</f>
        <v>-</v>
      </c>
      <c r="BF58" s="53" t="str">
        <f>IF($A58="-","-",VLOOKUP($A58,[4]Controle!$A$6:$CC$25,BF$48,FALSE))</f>
        <v>-</v>
      </c>
      <c r="BG58" s="53" t="str">
        <f>IF($A58="-","-",VLOOKUP($A58,[4]Controle!$A$6:$CC$25,BG$48,FALSE))</f>
        <v>-</v>
      </c>
      <c r="BH58" s="53" t="str">
        <f>IF($A58="-","-",VLOOKUP($A58,[4]Controle!$A$6:$CC$25,BH$48,FALSE))</f>
        <v>-</v>
      </c>
      <c r="BI58" s="53" t="str">
        <f>IF($A58="-","-",VLOOKUP($A58,[4]Controle!$A$6:$CC$25,BI$48,FALSE))</f>
        <v>-</v>
      </c>
      <c r="BJ58" s="53" t="str">
        <f>IF($A58="-","-",VLOOKUP($A58,[4]Controle!$A$6:$CC$25,BJ$48,FALSE))</f>
        <v>-</v>
      </c>
      <c r="BK58" s="53" t="str">
        <f>IF($A58="-","-",VLOOKUP($A58,[4]Controle!$A$6:$CC$25,BK$48,FALSE))</f>
        <v>-</v>
      </c>
      <c r="BL58" s="53" t="str">
        <f>IF($A58="-","-",VLOOKUP($A58,[4]Controle!$A$6:$CC$25,BL$48,FALSE))</f>
        <v>-</v>
      </c>
      <c r="BM58" s="53" t="str">
        <f>IF($A58="-","-",VLOOKUP($A58,[4]Controle!$A$6:$CC$25,BM$48,FALSE))</f>
        <v>-</v>
      </c>
      <c r="BN58" s="53" t="str">
        <f>IF($A58="-","-",VLOOKUP($A58,[4]Controle!$A$6:$CC$25,BN$48,FALSE))</f>
        <v>-</v>
      </c>
      <c r="BO58" s="53" t="str">
        <f>IF($A58="-","-",VLOOKUP($A58,[4]Controle!$A$6:$CC$25,BO$48,FALSE))</f>
        <v>-</v>
      </c>
      <c r="BP58" s="53" t="str">
        <f>IF($A58="-","-",VLOOKUP($A58,[4]Controle!$A$6:$CC$25,BP$48,FALSE))</f>
        <v>-</v>
      </c>
      <c r="BQ58" s="53" t="str">
        <f>IF($A58="-","-",VLOOKUP($A58,[4]Controle!$A$6:$CC$25,BQ$48,FALSE))</f>
        <v>-</v>
      </c>
      <c r="BR58" s="53" t="str">
        <f>IF($A58="-","-",VLOOKUP($A58,[4]Controle!$A$6:$CC$25,BR$48,FALSE))</f>
        <v>-</v>
      </c>
      <c r="BS58" s="53" t="str">
        <f>IF($A58="-","-",VLOOKUP($A58,[4]Controle!$A$6:$CC$25,BS$48,FALSE))</f>
        <v>-</v>
      </c>
      <c r="BT58" s="53" t="str">
        <f>IF($A58="-","-",VLOOKUP($A58,[4]Controle!$A$6:$CC$25,BT$48,FALSE))</f>
        <v>-</v>
      </c>
      <c r="BU58" s="53" t="str">
        <f>IF($A58="-","-",VLOOKUP($A58,[4]Controle!$A$6:$CC$25,BU$48,FALSE))</f>
        <v>-</v>
      </c>
      <c r="BV58" s="53" t="str">
        <f>IF($A58="-","-",VLOOKUP($A58,[4]Controle!$A$6:$CC$25,BV$48,FALSE))</f>
        <v>-</v>
      </c>
      <c r="BW58" s="53" t="str">
        <f>IF($A58="-","-",VLOOKUP($A58,[4]Controle!$A$6:$CC$25,BW$48,FALSE))</f>
        <v>-</v>
      </c>
      <c r="BX58" s="53" t="str">
        <f>IF($A58="-","-",VLOOKUP($A58,[4]Controle!$A$6:$CC$25,BX$48,FALSE))</f>
        <v>-</v>
      </c>
      <c r="BY58" s="53" t="str">
        <f>IF($A58="-","-",VLOOKUP($A58,[4]Controle!$A$6:$CC$25,BY$48,FALSE))</f>
        <v>-</v>
      </c>
      <c r="BZ58" s="53" t="str">
        <f>IF($A58="-","-",VLOOKUP($A58,[4]Controle!$A$6:$CC$25,BZ$48,FALSE))</f>
        <v>-</v>
      </c>
      <c r="CA58" s="53" t="str">
        <f>IF($A58="-","-",VLOOKUP($A58,[4]Controle!$A$6:$CC$25,CA$48,FALSE))</f>
        <v>-</v>
      </c>
      <c r="CB58" s="53" t="str">
        <f>IF($A58="-","-",VLOOKUP($A58,[4]Controle!$A$6:$CC$25,CB$48,FALSE))</f>
        <v>-</v>
      </c>
      <c r="CC58" s="53" t="str">
        <f>IF($A58="-","-",VLOOKUP($A58,[4]Controle!$A$6:$CC$25,CC$48,FALSE))</f>
        <v>-</v>
      </c>
      <c r="CT58" s="41">
        <f>IF(CV58="-",0,MAX($CT$51:CT57)+1)</f>
        <v>0</v>
      </c>
      <c r="CU58" s="53" t="str">
        <f t="shared" si="26"/>
        <v>-</v>
      </c>
      <c r="CV58" s="53" t="str">
        <f t="shared" si="23"/>
        <v>-</v>
      </c>
      <c r="CW58" s="53" t="str">
        <f t="shared" si="27"/>
        <v>-</v>
      </c>
      <c r="CY58" s="41" t="str">
        <f t="shared" si="25"/>
        <v>-</v>
      </c>
    </row>
    <row r="59" spans="1:103" x14ac:dyDescent="0.3">
      <c r="A59" s="56" t="s">
        <v>54</v>
      </c>
      <c r="B59" s="53" t="str">
        <f>IF($A59="-","-",VLOOKUP($A59,[4]Controle!$A$6:$CC$25,B$48,FALSE))</f>
        <v>-</v>
      </c>
      <c r="C59" s="53" t="str">
        <f>IF($A59="-","-",VLOOKUP($A59,[4]Controle!$A$6:$CC$25,C$48,FALSE))</f>
        <v>-</v>
      </c>
      <c r="D59" s="53" t="str">
        <f>IF($A59="-","-",VLOOKUP($A59,[4]Controle!$A$6:$CC$25,D$48,FALSE))</f>
        <v>-</v>
      </c>
      <c r="E59" s="53" t="str">
        <f>IF($A59="-","-",VLOOKUP($A59,[4]Controle!$A$6:$CC$25,E$48,FALSE))</f>
        <v>-</v>
      </c>
      <c r="F59" s="53" t="str">
        <f>IF($A59="-","-",VLOOKUP($A59,[4]Controle!$A$6:$CC$25,F$48,FALSE))</f>
        <v>-</v>
      </c>
      <c r="G59" s="54" t="str">
        <f>IF($A59="-","-",VLOOKUP($A59,[4]Controle!$A$6:$CC$25,G$48,FALSE))</f>
        <v>-</v>
      </c>
      <c r="H59" s="55" t="str">
        <f>IF($A59="-","-",VLOOKUP($A59,[4]Controle!$A$6:$CC$25,H$48,FALSE))</f>
        <v>-</v>
      </c>
      <c r="I59" s="53" t="str">
        <f>IF($A59="-","-",VLOOKUP($A59,[4]Controle!$A$6:$CC$25,I$48,FALSE))</f>
        <v>-</v>
      </c>
      <c r="J59" s="53" t="str">
        <f>IF($A59="-","-",VLOOKUP($A59,[4]Controle!$A$6:$CC$25,J$48,FALSE))</f>
        <v>-</v>
      </c>
      <c r="K59" s="53" t="str">
        <f>IF($A59="-","-",VLOOKUP($A59,[4]Controle!$A$6:$CC$25,K$48,FALSE))</f>
        <v>-</v>
      </c>
      <c r="L59" s="53" t="str">
        <f>IF($A59="-","-",VLOOKUP($A59,[4]Controle!$A$6:$CC$25,L$48,FALSE))</f>
        <v>-</v>
      </c>
      <c r="M59" s="53" t="str">
        <f>IF($A59="-","-",VLOOKUP($A59,[4]Controle!$A$6:$CC$25,M$48,FALSE))</f>
        <v>-</v>
      </c>
      <c r="N59" s="53" t="str">
        <f>IF($A59="-","-",VLOOKUP($A59,[4]Controle!$A$6:$CC$25,N$48,FALSE))</f>
        <v>-</v>
      </c>
      <c r="O59" s="53" t="str">
        <f>IF($A59="-","-",VLOOKUP($A59,[4]Controle!$A$6:$CC$25,O$48,FALSE))</f>
        <v>-</v>
      </c>
      <c r="P59" s="53" t="str">
        <f>IF($A59="-","-",VLOOKUP($A59,[4]Controle!$A$6:$CC$25,P$48,FALSE))</f>
        <v>-</v>
      </c>
      <c r="Q59" s="53" t="str">
        <f>IF($A59="-","-",VLOOKUP($A59,[4]Controle!$A$6:$CC$25,Q$48,FALSE))</f>
        <v>-</v>
      </c>
      <c r="R59" s="53" t="str">
        <f>IF($A59="-","-",VLOOKUP($A59,[4]Controle!$A$6:$CC$25,R$48,FALSE))</f>
        <v>-</v>
      </c>
      <c r="S59" s="53" t="str">
        <f>IF($A59="-","-",VLOOKUP($A59,[4]Controle!$A$6:$CC$25,S$48,FALSE))</f>
        <v>-</v>
      </c>
      <c r="T59" s="53" t="str">
        <f>IF($A59="-","-",VLOOKUP($A59,[4]Controle!$A$6:$CC$25,T$48,FALSE))</f>
        <v>-</v>
      </c>
      <c r="U59" s="53" t="str">
        <f>IF($A59="-","-",VLOOKUP($A59,[4]Controle!$A$6:$CC$25,U$48,FALSE))</f>
        <v>-</v>
      </c>
      <c r="V59" s="53" t="str">
        <f>IF($A59="-","-",VLOOKUP($A59,[4]Controle!$A$6:$CC$25,V$48,FALSE))</f>
        <v>-</v>
      </c>
      <c r="W59" s="53" t="str">
        <f>IF($A59="-","-",VLOOKUP($A59,[4]Controle!$A$6:$CC$25,W$48,FALSE))</f>
        <v>-</v>
      </c>
      <c r="X59" s="53" t="str">
        <f>IF($A59="-","-",VLOOKUP($A59,[4]Controle!$A$6:$CC$25,X$48,FALSE))</f>
        <v>-</v>
      </c>
      <c r="Y59" s="53" t="str">
        <f>IF($A59="-","-",VLOOKUP($A59,[4]Controle!$A$6:$CC$25,Y$48,FALSE))</f>
        <v>-</v>
      </c>
      <c r="Z59" s="53" t="str">
        <f>IF($A59="-","-",VLOOKUP($A59,[4]Controle!$A$6:$CC$25,Z$48,FALSE))</f>
        <v>-</v>
      </c>
      <c r="AA59" s="53" t="str">
        <f>IF($A59="-","-",VLOOKUP($A59,[4]Controle!$A$6:$CC$25,AA$48,FALSE))</f>
        <v>-</v>
      </c>
      <c r="AB59" s="53" t="str">
        <f>IF($A59="-","-",VLOOKUP($A59,[4]Controle!$A$6:$CC$25,AB$48,FALSE))</f>
        <v>-</v>
      </c>
      <c r="AC59" s="53" t="str">
        <f>IF($A59="-","-",VLOOKUP($A59,[4]Controle!$A$6:$CC$25,AC$48,FALSE))</f>
        <v>-</v>
      </c>
      <c r="AD59" s="53" t="str">
        <f>IF($A59="-","-",VLOOKUP($A59,[4]Controle!$A$6:$CC$25,AD$48,FALSE))</f>
        <v>-</v>
      </c>
      <c r="AE59" s="53" t="str">
        <f>IF($A59="-","-",VLOOKUP($A59,[4]Controle!$A$6:$CC$25,AE$48,FALSE))</f>
        <v>-</v>
      </c>
      <c r="AF59" s="53" t="str">
        <f>IF($A59="-","-",VLOOKUP($A59,[4]Controle!$A$6:$CC$25,AF$48,FALSE))</f>
        <v>-</v>
      </c>
      <c r="AG59" s="53" t="str">
        <f>IF($A59="-","-",VLOOKUP($A59,[4]Controle!$A$6:$CC$25,AG$48,FALSE))</f>
        <v>-</v>
      </c>
      <c r="AH59" s="53" t="str">
        <f>IF($A59="-","-",VLOOKUP($A59,[4]Controle!$A$6:$CC$25,AH$48,FALSE))</f>
        <v>-</v>
      </c>
      <c r="AI59" s="53" t="str">
        <f>IF($A59="-","-",VLOOKUP($A59,[4]Controle!$A$6:$CC$25,AI$48,FALSE))</f>
        <v>-</v>
      </c>
      <c r="AJ59" s="53" t="str">
        <f>IF($A59="-","-",VLOOKUP($A59,[4]Controle!$A$6:$CC$25,AJ$48,FALSE))</f>
        <v>-</v>
      </c>
      <c r="AK59" s="53" t="str">
        <f>IF($A59="-","-",VLOOKUP($A59,[4]Controle!$A$6:$CC$25,AK$48,FALSE))</f>
        <v>-</v>
      </c>
      <c r="AL59" s="53" t="str">
        <f>IF($A59="-","-",VLOOKUP($A59,[4]Controle!$A$6:$CC$25,AL$48,FALSE))</f>
        <v>-</v>
      </c>
      <c r="AM59" s="53" t="str">
        <f>IF($A59="-","-",VLOOKUP($A59,[4]Controle!$A$6:$CC$25,AM$48,FALSE))</f>
        <v>-</v>
      </c>
      <c r="AN59" s="53" t="str">
        <f>IF($A59="-","-",VLOOKUP($A59,[4]Controle!$A$6:$CC$25,AN$48,FALSE))</f>
        <v>-</v>
      </c>
      <c r="AO59" s="53" t="str">
        <f>IF($A59="-","-",VLOOKUP($A59,[4]Controle!$A$6:$CC$25,AO$48,FALSE))</f>
        <v>-</v>
      </c>
      <c r="AP59" s="53" t="str">
        <f>IF($A59="-","-",VLOOKUP($A59,[4]Controle!$A$6:$CC$25,AP$48,FALSE))</f>
        <v>-</v>
      </c>
      <c r="AQ59" s="53" t="str">
        <f>IF($A59="-","-",VLOOKUP($A59,[4]Controle!$A$6:$CC$25,AQ$48,FALSE))</f>
        <v>-</v>
      </c>
      <c r="AR59" s="53" t="str">
        <f>IF($A59="-","-",VLOOKUP($A59,[4]Controle!$A$6:$CC$25,AR$48,FALSE))</f>
        <v>-</v>
      </c>
      <c r="AS59" s="53" t="str">
        <f>IF($A59="-","-",VLOOKUP($A59,[4]Controle!$A$6:$CC$25,AS$48,FALSE))</f>
        <v>-</v>
      </c>
      <c r="AT59" s="53" t="str">
        <f>IF($A59="-","-",VLOOKUP($A59,[4]Controle!$A$6:$CC$25,AT$48,FALSE))</f>
        <v>-</v>
      </c>
      <c r="AU59" s="53" t="str">
        <f>IF($A59="-","-",VLOOKUP($A59,[4]Controle!$A$6:$CC$25,AU$48,FALSE))</f>
        <v>-</v>
      </c>
      <c r="AV59" s="53" t="str">
        <f>IF($A59="-","-",VLOOKUP($A59,[4]Controle!$A$6:$CC$25,AV$48,FALSE))</f>
        <v>-</v>
      </c>
      <c r="AW59" s="53" t="str">
        <f>IF($A59="-","-",VLOOKUP($A59,[4]Controle!$A$6:$CC$25,AW$48,FALSE))</f>
        <v>-</v>
      </c>
      <c r="AX59" s="53" t="str">
        <f>IF($A59="-","-",VLOOKUP($A59,[4]Controle!$A$6:$CC$25,AX$48,FALSE))</f>
        <v>-</v>
      </c>
      <c r="AY59" s="53" t="str">
        <f>IF($A59="-","-",VLOOKUP($A59,[4]Controle!$A$6:$CC$25,AY$48,FALSE))</f>
        <v>-</v>
      </c>
      <c r="AZ59" s="53" t="str">
        <f>IF($A59="-","-",VLOOKUP($A59,[4]Controle!$A$6:$CC$25,AZ$48,FALSE))</f>
        <v>-</v>
      </c>
      <c r="BA59" s="53" t="str">
        <f>IF($A59="-","-",VLOOKUP($A59,[4]Controle!$A$6:$CC$25,BA$48,FALSE))</f>
        <v>-</v>
      </c>
      <c r="BB59" s="53" t="str">
        <f>IF($A59="-","-",VLOOKUP($A59,[4]Controle!$A$6:$CC$25,BB$48,FALSE))</f>
        <v>-</v>
      </c>
      <c r="BC59" s="53" t="str">
        <f>IF($A59="-","-",VLOOKUP($A59,[4]Controle!$A$6:$CC$25,BC$48,FALSE))</f>
        <v>-</v>
      </c>
      <c r="BD59" s="53" t="str">
        <f>IF($A59="-","-",VLOOKUP($A59,[4]Controle!$A$6:$CC$25,BD$48,FALSE))</f>
        <v>-</v>
      </c>
      <c r="BE59" s="53" t="str">
        <f>IF($A59="-","-",VLOOKUP($A59,[4]Controle!$A$6:$CC$25,BE$48,FALSE))</f>
        <v>-</v>
      </c>
      <c r="BF59" s="53" t="str">
        <f>IF($A59="-","-",VLOOKUP($A59,[4]Controle!$A$6:$CC$25,BF$48,FALSE))</f>
        <v>-</v>
      </c>
      <c r="BG59" s="53" t="str">
        <f>IF($A59="-","-",VLOOKUP($A59,[4]Controle!$A$6:$CC$25,BG$48,FALSE))</f>
        <v>-</v>
      </c>
      <c r="BH59" s="53" t="str">
        <f>IF($A59="-","-",VLOOKUP($A59,[4]Controle!$A$6:$CC$25,BH$48,FALSE))</f>
        <v>-</v>
      </c>
      <c r="BI59" s="53" t="str">
        <f>IF($A59="-","-",VLOOKUP($A59,[4]Controle!$A$6:$CC$25,BI$48,FALSE))</f>
        <v>-</v>
      </c>
      <c r="BJ59" s="53" t="str">
        <f>IF($A59="-","-",VLOOKUP($A59,[4]Controle!$A$6:$CC$25,BJ$48,FALSE))</f>
        <v>-</v>
      </c>
      <c r="BK59" s="53" t="str">
        <f>IF($A59="-","-",VLOOKUP($A59,[4]Controle!$A$6:$CC$25,BK$48,FALSE))</f>
        <v>-</v>
      </c>
      <c r="BL59" s="53" t="str">
        <f>IF($A59="-","-",VLOOKUP($A59,[4]Controle!$A$6:$CC$25,BL$48,FALSE))</f>
        <v>-</v>
      </c>
      <c r="BM59" s="53" t="str">
        <f>IF($A59="-","-",VLOOKUP($A59,[4]Controle!$A$6:$CC$25,BM$48,FALSE))</f>
        <v>-</v>
      </c>
      <c r="BN59" s="53" t="str">
        <f>IF($A59="-","-",VLOOKUP($A59,[4]Controle!$A$6:$CC$25,BN$48,FALSE))</f>
        <v>-</v>
      </c>
      <c r="BO59" s="53" t="str">
        <f>IF($A59="-","-",VLOOKUP($A59,[4]Controle!$A$6:$CC$25,BO$48,FALSE))</f>
        <v>-</v>
      </c>
      <c r="BP59" s="53" t="str">
        <f>IF($A59="-","-",VLOOKUP($A59,[4]Controle!$A$6:$CC$25,BP$48,FALSE))</f>
        <v>-</v>
      </c>
      <c r="BQ59" s="53" t="str">
        <f>IF($A59="-","-",VLOOKUP($A59,[4]Controle!$A$6:$CC$25,BQ$48,FALSE))</f>
        <v>-</v>
      </c>
      <c r="BR59" s="53" t="str">
        <f>IF($A59="-","-",VLOOKUP($A59,[4]Controle!$A$6:$CC$25,BR$48,FALSE))</f>
        <v>-</v>
      </c>
      <c r="BS59" s="53" t="str">
        <f>IF($A59="-","-",VLOOKUP($A59,[4]Controle!$A$6:$CC$25,BS$48,FALSE))</f>
        <v>-</v>
      </c>
      <c r="BT59" s="53" t="str">
        <f>IF($A59="-","-",VLOOKUP($A59,[4]Controle!$A$6:$CC$25,BT$48,FALSE))</f>
        <v>-</v>
      </c>
      <c r="BU59" s="53" t="str">
        <f>IF($A59="-","-",VLOOKUP($A59,[4]Controle!$A$6:$CC$25,BU$48,FALSE))</f>
        <v>-</v>
      </c>
      <c r="BV59" s="53" t="str">
        <f>IF($A59="-","-",VLOOKUP($A59,[4]Controle!$A$6:$CC$25,BV$48,FALSE))</f>
        <v>-</v>
      </c>
      <c r="BW59" s="53" t="str">
        <f>IF($A59="-","-",VLOOKUP($A59,[4]Controle!$A$6:$CC$25,BW$48,FALSE))</f>
        <v>-</v>
      </c>
      <c r="BX59" s="53" t="str">
        <f>IF($A59="-","-",VLOOKUP($A59,[4]Controle!$A$6:$CC$25,BX$48,FALSE))</f>
        <v>-</v>
      </c>
      <c r="BY59" s="53" t="str">
        <f>IF($A59="-","-",VLOOKUP($A59,[4]Controle!$A$6:$CC$25,BY$48,FALSE))</f>
        <v>-</v>
      </c>
      <c r="BZ59" s="53" t="str">
        <f>IF($A59="-","-",VLOOKUP($A59,[4]Controle!$A$6:$CC$25,BZ$48,FALSE))</f>
        <v>-</v>
      </c>
      <c r="CA59" s="53" t="str">
        <f>IF($A59="-","-",VLOOKUP($A59,[4]Controle!$A$6:$CC$25,CA$48,FALSE))</f>
        <v>-</v>
      </c>
      <c r="CB59" s="53" t="str">
        <f>IF($A59="-","-",VLOOKUP($A59,[4]Controle!$A$6:$CC$25,CB$48,FALSE))</f>
        <v>-</v>
      </c>
      <c r="CC59" s="53" t="str">
        <f>IF($A59="-","-",VLOOKUP($A59,[4]Controle!$A$6:$CC$25,CC$48,FALSE))</f>
        <v>-</v>
      </c>
      <c r="CT59" s="41">
        <f>IF(CV59="-",0,MAX($CT$51:CT58)+1)</f>
        <v>0</v>
      </c>
      <c r="CU59" s="53" t="str">
        <f t="shared" si="26"/>
        <v>-</v>
      </c>
      <c r="CV59" s="53" t="str">
        <f t="shared" si="23"/>
        <v>-</v>
      </c>
      <c r="CW59" s="53" t="str">
        <f t="shared" si="27"/>
        <v>-</v>
      </c>
      <c r="CY59" s="41" t="str">
        <f t="shared" si="25"/>
        <v>-</v>
      </c>
    </row>
    <row r="60" spans="1:103" x14ac:dyDescent="0.3">
      <c r="A60" s="56" t="s">
        <v>54</v>
      </c>
      <c r="B60" s="53" t="str">
        <f>IF($A60="-","-",VLOOKUP($A60,[4]Controle!$A$6:$CC$25,B$48,FALSE))</f>
        <v>-</v>
      </c>
      <c r="C60" s="53" t="str">
        <f>IF($A60="-","-",VLOOKUP($A60,[4]Controle!$A$6:$CC$25,C$48,FALSE))</f>
        <v>-</v>
      </c>
      <c r="D60" s="53" t="str">
        <f>IF($A60="-","-",VLOOKUP($A60,[4]Controle!$A$6:$CC$25,D$48,FALSE))</f>
        <v>-</v>
      </c>
      <c r="E60" s="53" t="str">
        <f>IF($A60="-","-",VLOOKUP($A60,[4]Controle!$A$6:$CC$25,E$48,FALSE))</f>
        <v>-</v>
      </c>
      <c r="F60" s="53" t="str">
        <f>IF($A60="-","-",VLOOKUP($A60,[4]Controle!$A$6:$CC$25,F$48,FALSE))</f>
        <v>-</v>
      </c>
      <c r="G60" s="54" t="str">
        <f>IF($A60="-","-",VLOOKUP($A60,[4]Controle!$A$6:$CC$25,G$48,FALSE))</f>
        <v>-</v>
      </c>
      <c r="H60" s="55" t="str">
        <f>IF($A60="-","-",VLOOKUP($A60,[4]Controle!$A$6:$CC$25,H$48,FALSE))</f>
        <v>-</v>
      </c>
      <c r="I60" s="53" t="str">
        <f>IF($A60="-","-",VLOOKUP($A60,[4]Controle!$A$6:$CC$25,I$48,FALSE))</f>
        <v>-</v>
      </c>
      <c r="J60" s="53" t="str">
        <f>IF($A60="-","-",VLOOKUP($A60,[4]Controle!$A$6:$CC$25,J$48,FALSE))</f>
        <v>-</v>
      </c>
      <c r="K60" s="53" t="str">
        <f>IF($A60="-","-",VLOOKUP($A60,[4]Controle!$A$6:$CC$25,K$48,FALSE))</f>
        <v>-</v>
      </c>
      <c r="L60" s="53" t="str">
        <f>IF($A60="-","-",VLOOKUP($A60,[4]Controle!$A$6:$CC$25,L$48,FALSE))</f>
        <v>-</v>
      </c>
      <c r="M60" s="53" t="str">
        <f>IF($A60="-","-",VLOOKUP($A60,[4]Controle!$A$6:$CC$25,M$48,FALSE))</f>
        <v>-</v>
      </c>
      <c r="N60" s="53" t="str">
        <f>IF($A60="-","-",VLOOKUP($A60,[4]Controle!$A$6:$CC$25,N$48,FALSE))</f>
        <v>-</v>
      </c>
      <c r="O60" s="53" t="str">
        <f>IF($A60="-","-",VLOOKUP($A60,[4]Controle!$A$6:$CC$25,O$48,FALSE))</f>
        <v>-</v>
      </c>
      <c r="P60" s="53" t="str">
        <f>IF($A60="-","-",VLOOKUP($A60,[4]Controle!$A$6:$CC$25,P$48,FALSE))</f>
        <v>-</v>
      </c>
      <c r="Q60" s="53" t="str">
        <f>IF($A60="-","-",VLOOKUP($A60,[4]Controle!$A$6:$CC$25,Q$48,FALSE))</f>
        <v>-</v>
      </c>
      <c r="R60" s="53" t="str">
        <f>IF($A60="-","-",VLOOKUP($A60,[4]Controle!$A$6:$CC$25,R$48,FALSE))</f>
        <v>-</v>
      </c>
      <c r="S60" s="53" t="str">
        <f>IF($A60="-","-",VLOOKUP($A60,[4]Controle!$A$6:$CC$25,S$48,FALSE))</f>
        <v>-</v>
      </c>
      <c r="T60" s="53" t="str">
        <f>IF($A60="-","-",VLOOKUP($A60,[4]Controle!$A$6:$CC$25,T$48,FALSE))</f>
        <v>-</v>
      </c>
      <c r="U60" s="53" t="str">
        <f>IF($A60="-","-",VLOOKUP($A60,[4]Controle!$A$6:$CC$25,U$48,FALSE))</f>
        <v>-</v>
      </c>
      <c r="V60" s="53" t="str">
        <f>IF($A60="-","-",VLOOKUP($A60,[4]Controle!$A$6:$CC$25,V$48,FALSE))</f>
        <v>-</v>
      </c>
      <c r="W60" s="53" t="str">
        <f>IF($A60="-","-",VLOOKUP($A60,[4]Controle!$A$6:$CC$25,W$48,FALSE))</f>
        <v>-</v>
      </c>
      <c r="X60" s="53" t="str">
        <f>IF($A60="-","-",VLOOKUP($A60,[4]Controle!$A$6:$CC$25,X$48,FALSE))</f>
        <v>-</v>
      </c>
      <c r="Y60" s="53" t="str">
        <f>IF($A60="-","-",VLOOKUP($A60,[4]Controle!$A$6:$CC$25,Y$48,FALSE))</f>
        <v>-</v>
      </c>
      <c r="Z60" s="53" t="str">
        <f>IF($A60="-","-",VLOOKUP($A60,[4]Controle!$A$6:$CC$25,Z$48,FALSE))</f>
        <v>-</v>
      </c>
      <c r="AA60" s="53" t="str">
        <f>IF($A60="-","-",VLOOKUP($A60,[4]Controle!$A$6:$CC$25,AA$48,FALSE))</f>
        <v>-</v>
      </c>
      <c r="AB60" s="53" t="str">
        <f>IF($A60="-","-",VLOOKUP($A60,[4]Controle!$A$6:$CC$25,AB$48,FALSE))</f>
        <v>-</v>
      </c>
      <c r="AC60" s="53" t="str">
        <f>IF($A60="-","-",VLOOKUP($A60,[4]Controle!$A$6:$CC$25,AC$48,FALSE))</f>
        <v>-</v>
      </c>
      <c r="AD60" s="53" t="str">
        <f>IF($A60="-","-",VLOOKUP($A60,[4]Controle!$A$6:$CC$25,AD$48,FALSE))</f>
        <v>-</v>
      </c>
      <c r="AE60" s="53" t="str">
        <f>IF($A60="-","-",VLOOKUP($A60,[4]Controle!$A$6:$CC$25,AE$48,FALSE))</f>
        <v>-</v>
      </c>
      <c r="AF60" s="53" t="str">
        <f>IF($A60="-","-",VLOOKUP($A60,[4]Controle!$A$6:$CC$25,AF$48,FALSE))</f>
        <v>-</v>
      </c>
      <c r="AG60" s="53" t="str">
        <f>IF($A60="-","-",VLOOKUP($A60,[4]Controle!$A$6:$CC$25,AG$48,FALSE))</f>
        <v>-</v>
      </c>
      <c r="AH60" s="53" t="str">
        <f>IF($A60="-","-",VLOOKUP($A60,[4]Controle!$A$6:$CC$25,AH$48,FALSE))</f>
        <v>-</v>
      </c>
      <c r="AI60" s="53" t="str">
        <f>IF($A60="-","-",VLOOKUP($A60,[4]Controle!$A$6:$CC$25,AI$48,FALSE))</f>
        <v>-</v>
      </c>
      <c r="AJ60" s="53" t="str">
        <f>IF($A60="-","-",VLOOKUP($A60,[4]Controle!$A$6:$CC$25,AJ$48,FALSE))</f>
        <v>-</v>
      </c>
      <c r="AK60" s="53" t="str">
        <f>IF($A60="-","-",VLOOKUP($A60,[4]Controle!$A$6:$CC$25,AK$48,FALSE))</f>
        <v>-</v>
      </c>
      <c r="AL60" s="53" t="str">
        <f>IF($A60="-","-",VLOOKUP($A60,[4]Controle!$A$6:$CC$25,AL$48,FALSE))</f>
        <v>-</v>
      </c>
      <c r="AM60" s="53" t="str">
        <f>IF($A60="-","-",VLOOKUP($A60,[4]Controle!$A$6:$CC$25,AM$48,FALSE))</f>
        <v>-</v>
      </c>
      <c r="AN60" s="53" t="str">
        <f>IF($A60="-","-",VLOOKUP($A60,[4]Controle!$A$6:$CC$25,AN$48,FALSE))</f>
        <v>-</v>
      </c>
      <c r="AO60" s="53" t="str">
        <f>IF($A60="-","-",VLOOKUP($A60,[4]Controle!$A$6:$CC$25,AO$48,FALSE))</f>
        <v>-</v>
      </c>
      <c r="AP60" s="53" t="str">
        <f>IF($A60="-","-",VLOOKUP($A60,[4]Controle!$A$6:$CC$25,AP$48,FALSE))</f>
        <v>-</v>
      </c>
      <c r="AQ60" s="53" t="str">
        <f>IF($A60="-","-",VLOOKUP($A60,[4]Controle!$A$6:$CC$25,AQ$48,FALSE))</f>
        <v>-</v>
      </c>
      <c r="AR60" s="53" t="str">
        <f>IF($A60="-","-",VLOOKUP($A60,[4]Controle!$A$6:$CC$25,AR$48,FALSE))</f>
        <v>-</v>
      </c>
      <c r="AS60" s="53" t="str">
        <f>IF($A60="-","-",VLOOKUP($A60,[4]Controle!$A$6:$CC$25,AS$48,FALSE))</f>
        <v>-</v>
      </c>
      <c r="AT60" s="53" t="str">
        <f>IF($A60="-","-",VLOOKUP($A60,[4]Controle!$A$6:$CC$25,AT$48,FALSE))</f>
        <v>-</v>
      </c>
      <c r="AU60" s="53" t="str">
        <f>IF($A60="-","-",VLOOKUP($A60,[4]Controle!$A$6:$CC$25,AU$48,FALSE))</f>
        <v>-</v>
      </c>
      <c r="AV60" s="53" t="str">
        <f>IF($A60="-","-",VLOOKUP($A60,[4]Controle!$A$6:$CC$25,AV$48,FALSE))</f>
        <v>-</v>
      </c>
      <c r="AW60" s="53" t="str">
        <f>IF($A60="-","-",VLOOKUP($A60,[4]Controle!$A$6:$CC$25,AW$48,FALSE))</f>
        <v>-</v>
      </c>
      <c r="AX60" s="53" t="str">
        <f>IF($A60="-","-",VLOOKUP($A60,[4]Controle!$A$6:$CC$25,AX$48,FALSE))</f>
        <v>-</v>
      </c>
      <c r="AY60" s="53" t="str">
        <f>IF($A60="-","-",VLOOKUP($A60,[4]Controle!$A$6:$CC$25,AY$48,FALSE))</f>
        <v>-</v>
      </c>
      <c r="AZ60" s="53" t="str">
        <f>IF($A60="-","-",VLOOKUP($A60,[4]Controle!$A$6:$CC$25,AZ$48,FALSE))</f>
        <v>-</v>
      </c>
      <c r="BA60" s="53" t="str">
        <f>IF($A60="-","-",VLOOKUP($A60,[4]Controle!$A$6:$CC$25,BA$48,FALSE))</f>
        <v>-</v>
      </c>
      <c r="BB60" s="53" t="str">
        <f>IF($A60="-","-",VLOOKUP($A60,[4]Controle!$A$6:$CC$25,BB$48,FALSE))</f>
        <v>-</v>
      </c>
      <c r="BC60" s="53" t="str">
        <f>IF($A60="-","-",VLOOKUP($A60,[4]Controle!$A$6:$CC$25,BC$48,FALSE))</f>
        <v>-</v>
      </c>
      <c r="BD60" s="53" t="str">
        <f>IF($A60="-","-",VLOOKUP($A60,[4]Controle!$A$6:$CC$25,BD$48,FALSE))</f>
        <v>-</v>
      </c>
      <c r="BE60" s="53" t="str">
        <f>IF($A60="-","-",VLOOKUP($A60,[4]Controle!$A$6:$CC$25,BE$48,FALSE))</f>
        <v>-</v>
      </c>
      <c r="BF60" s="53" t="str">
        <f>IF($A60="-","-",VLOOKUP($A60,[4]Controle!$A$6:$CC$25,BF$48,FALSE))</f>
        <v>-</v>
      </c>
      <c r="BG60" s="53" t="str">
        <f>IF($A60="-","-",VLOOKUP($A60,[4]Controle!$A$6:$CC$25,BG$48,FALSE))</f>
        <v>-</v>
      </c>
      <c r="BH60" s="53" t="str">
        <f>IF($A60="-","-",VLOOKUP($A60,[4]Controle!$A$6:$CC$25,BH$48,FALSE))</f>
        <v>-</v>
      </c>
      <c r="BI60" s="53" t="str">
        <f>IF($A60="-","-",VLOOKUP($A60,[4]Controle!$A$6:$CC$25,BI$48,FALSE))</f>
        <v>-</v>
      </c>
      <c r="BJ60" s="53" t="str">
        <f>IF($A60="-","-",VLOOKUP($A60,[4]Controle!$A$6:$CC$25,BJ$48,FALSE))</f>
        <v>-</v>
      </c>
      <c r="BK60" s="53" t="str">
        <f>IF($A60="-","-",VLOOKUP($A60,[4]Controle!$A$6:$CC$25,BK$48,FALSE))</f>
        <v>-</v>
      </c>
      <c r="BL60" s="53" t="str">
        <f>IF($A60="-","-",VLOOKUP($A60,[4]Controle!$A$6:$CC$25,BL$48,FALSE))</f>
        <v>-</v>
      </c>
      <c r="BM60" s="53" t="str">
        <f>IF($A60="-","-",VLOOKUP($A60,[4]Controle!$A$6:$CC$25,BM$48,FALSE))</f>
        <v>-</v>
      </c>
      <c r="BN60" s="53" t="str">
        <f>IF($A60="-","-",VLOOKUP($A60,[4]Controle!$A$6:$CC$25,BN$48,FALSE))</f>
        <v>-</v>
      </c>
      <c r="BO60" s="53" t="str">
        <f>IF($A60="-","-",VLOOKUP($A60,[4]Controle!$A$6:$CC$25,BO$48,FALSE))</f>
        <v>-</v>
      </c>
      <c r="BP60" s="53" t="str">
        <f>IF($A60="-","-",VLOOKUP($A60,[4]Controle!$A$6:$CC$25,BP$48,FALSE))</f>
        <v>-</v>
      </c>
      <c r="BQ60" s="53" t="str">
        <f>IF($A60="-","-",VLOOKUP($A60,[4]Controle!$A$6:$CC$25,BQ$48,FALSE))</f>
        <v>-</v>
      </c>
      <c r="BR60" s="53" t="str">
        <f>IF($A60="-","-",VLOOKUP($A60,[4]Controle!$A$6:$CC$25,BR$48,FALSE))</f>
        <v>-</v>
      </c>
      <c r="BS60" s="53" t="str">
        <f>IF($A60="-","-",VLOOKUP($A60,[4]Controle!$A$6:$CC$25,BS$48,FALSE))</f>
        <v>-</v>
      </c>
      <c r="BT60" s="53" t="str">
        <f>IF($A60="-","-",VLOOKUP($A60,[4]Controle!$A$6:$CC$25,BT$48,FALSE))</f>
        <v>-</v>
      </c>
      <c r="BU60" s="53" t="str">
        <f>IF($A60="-","-",VLOOKUP($A60,[4]Controle!$A$6:$CC$25,BU$48,FALSE))</f>
        <v>-</v>
      </c>
      <c r="BV60" s="53" t="str">
        <f>IF($A60="-","-",VLOOKUP($A60,[4]Controle!$A$6:$CC$25,BV$48,FALSE))</f>
        <v>-</v>
      </c>
      <c r="BW60" s="53" t="str">
        <f>IF($A60="-","-",VLOOKUP($A60,[4]Controle!$A$6:$CC$25,BW$48,FALSE))</f>
        <v>-</v>
      </c>
      <c r="BX60" s="53" t="str">
        <f>IF($A60="-","-",VLOOKUP($A60,[4]Controle!$A$6:$CC$25,BX$48,FALSE))</f>
        <v>-</v>
      </c>
      <c r="BY60" s="53" t="str">
        <f>IF($A60="-","-",VLOOKUP($A60,[4]Controle!$A$6:$CC$25,BY$48,FALSE))</f>
        <v>-</v>
      </c>
      <c r="BZ60" s="53" t="str">
        <f>IF($A60="-","-",VLOOKUP($A60,[4]Controle!$A$6:$CC$25,BZ$48,FALSE))</f>
        <v>-</v>
      </c>
      <c r="CA60" s="53" t="str">
        <f>IF($A60="-","-",VLOOKUP($A60,[4]Controle!$A$6:$CC$25,CA$48,FALSE))</f>
        <v>-</v>
      </c>
      <c r="CB60" s="53" t="str">
        <f>IF($A60="-","-",VLOOKUP($A60,[4]Controle!$A$6:$CC$25,CB$48,FALSE))</f>
        <v>-</v>
      </c>
      <c r="CC60" s="53" t="str">
        <f>IF($A60="-","-",VLOOKUP($A60,[4]Controle!$A$6:$CC$25,CC$48,FALSE))</f>
        <v>-</v>
      </c>
      <c r="CT60" s="41">
        <f>IF(CV60="-",0,MAX($CT$51:CT59)+1)</f>
        <v>0</v>
      </c>
      <c r="CU60" s="53" t="str">
        <f t="shared" si="26"/>
        <v>-</v>
      </c>
      <c r="CV60" s="53" t="str">
        <f t="shared" si="23"/>
        <v>-</v>
      </c>
      <c r="CW60" s="53" t="str">
        <f t="shared" si="27"/>
        <v>-</v>
      </c>
      <c r="CY60" s="41" t="str">
        <f t="shared" si="25"/>
        <v>-</v>
      </c>
    </row>
    <row r="61" spans="1:103" x14ac:dyDescent="0.3">
      <c r="A61" s="56" t="s">
        <v>54</v>
      </c>
      <c r="B61" s="53" t="str">
        <f>IF($A61="-","-",VLOOKUP($A61,[4]Controle!$A$6:$CC$25,B$48,FALSE))</f>
        <v>-</v>
      </c>
      <c r="C61" s="53" t="str">
        <f>IF($A61="-","-",VLOOKUP($A61,[4]Controle!$A$6:$CC$25,C$48,FALSE))</f>
        <v>-</v>
      </c>
      <c r="D61" s="53" t="str">
        <f>IF($A61="-","-",VLOOKUP($A61,[4]Controle!$A$6:$CC$25,D$48,FALSE))</f>
        <v>-</v>
      </c>
      <c r="E61" s="53" t="str">
        <f>IF($A61="-","-",VLOOKUP($A61,[4]Controle!$A$6:$CC$25,E$48,FALSE))</f>
        <v>-</v>
      </c>
      <c r="F61" s="53" t="str">
        <f>IF($A61="-","-",VLOOKUP($A61,[4]Controle!$A$6:$CC$25,F$48,FALSE))</f>
        <v>-</v>
      </c>
      <c r="G61" s="54" t="str">
        <f>IF($A61="-","-",VLOOKUP($A61,[4]Controle!$A$6:$CC$25,G$48,FALSE))</f>
        <v>-</v>
      </c>
      <c r="H61" s="55" t="str">
        <f>IF($A61="-","-",VLOOKUP($A61,[4]Controle!$A$6:$CC$25,H$48,FALSE))</f>
        <v>-</v>
      </c>
      <c r="I61" s="53" t="str">
        <f>IF($A61="-","-",VLOOKUP($A61,[4]Controle!$A$6:$CC$25,I$48,FALSE))</f>
        <v>-</v>
      </c>
      <c r="J61" s="53" t="str">
        <f>IF($A61="-","-",VLOOKUP($A61,[4]Controle!$A$6:$CC$25,J$48,FALSE))</f>
        <v>-</v>
      </c>
      <c r="K61" s="53" t="str">
        <f>IF($A61="-","-",VLOOKUP($A61,[4]Controle!$A$6:$CC$25,K$48,FALSE))</f>
        <v>-</v>
      </c>
      <c r="L61" s="53" t="str">
        <f>IF($A61="-","-",VLOOKUP($A61,[4]Controle!$A$6:$CC$25,L$48,FALSE))</f>
        <v>-</v>
      </c>
      <c r="M61" s="53" t="str">
        <f>IF($A61="-","-",VLOOKUP($A61,[4]Controle!$A$6:$CC$25,M$48,FALSE))</f>
        <v>-</v>
      </c>
      <c r="N61" s="53" t="str">
        <f>IF($A61="-","-",VLOOKUP($A61,[4]Controle!$A$6:$CC$25,N$48,FALSE))</f>
        <v>-</v>
      </c>
      <c r="O61" s="53" t="str">
        <f>IF($A61="-","-",VLOOKUP($A61,[4]Controle!$A$6:$CC$25,O$48,FALSE))</f>
        <v>-</v>
      </c>
      <c r="P61" s="53" t="str">
        <f>IF($A61="-","-",VLOOKUP($A61,[4]Controle!$A$6:$CC$25,P$48,FALSE))</f>
        <v>-</v>
      </c>
      <c r="Q61" s="53" t="str">
        <f>IF($A61="-","-",VLOOKUP($A61,[4]Controle!$A$6:$CC$25,Q$48,FALSE))</f>
        <v>-</v>
      </c>
      <c r="R61" s="53" t="str">
        <f>IF($A61="-","-",VLOOKUP($A61,[4]Controle!$A$6:$CC$25,R$48,FALSE))</f>
        <v>-</v>
      </c>
      <c r="S61" s="53" t="str">
        <f>IF($A61="-","-",VLOOKUP($A61,[4]Controle!$A$6:$CC$25,S$48,FALSE))</f>
        <v>-</v>
      </c>
      <c r="T61" s="53" t="str">
        <f>IF($A61="-","-",VLOOKUP($A61,[4]Controle!$A$6:$CC$25,T$48,FALSE))</f>
        <v>-</v>
      </c>
      <c r="U61" s="53" t="str">
        <f>IF($A61="-","-",VLOOKUP($A61,[4]Controle!$A$6:$CC$25,U$48,FALSE))</f>
        <v>-</v>
      </c>
      <c r="V61" s="53" t="str">
        <f>IF($A61="-","-",VLOOKUP($A61,[4]Controle!$A$6:$CC$25,V$48,FALSE))</f>
        <v>-</v>
      </c>
      <c r="W61" s="53" t="str">
        <f>IF($A61="-","-",VLOOKUP($A61,[4]Controle!$A$6:$CC$25,W$48,FALSE))</f>
        <v>-</v>
      </c>
      <c r="X61" s="53" t="str">
        <f>IF($A61="-","-",VLOOKUP($A61,[4]Controle!$A$6:$CC$25,X$48,FALSE))</f>
        <v>-</v>
      </c>
      <c r="Y61" s="53" t="str">
        <f>IF($A61="-","-",VLOOKUP($A61,[4]Controle!$A$6:$CC$25,Y$48,FALSE))</f>
        <v>-</v>
      </c>
      <c r="Z61" s="53" t="str">
        <f>IF($A61="-","-",VLOOKUP($A61,[4]Controle!$A$6:$CC$25,Z$48,FALSE))</f>
        <v>-</v>
      </c>
      <c r="AA61" s="53" t="str">
        <f>IF($A61="-","-",VLOOKUP($A61,[4]Controle!$A$6:$CC$25,AA$48,FALSE))</f>
        <v>-</v>
      </c>
      <c r="AB61" s="53" t="str">
        <f>IF($A61="-","-",VLOOKUP($A61,[4]Controle!$A$6:$CC$25,AB$48,FALSE))</f>
        <v>-</v>
      </c>
      <c r="AC61" s="53" t="str">
        <f>IF($A61="-","-",VLOOKUP($A61,[4]Controle!$A$6:$CC$25,AC$48,FALSE))</f>
        <v>-</v>
      </c>
      <c r="AD61" s="53" t="str">
        <f>IF($A61="-","-",VLOOKUP($A61,[4]Controle!$A$6:$CC$25,AD$48,FALSE))</f>
        <v>-</v>
      </c>
      <c r="AE61" s="53" t="str">
        <f>IF($A61="-","-",VLOOKUP($A61,[4]Controle!$A$6:$CC$25,AE$48,FALSE))</f>
        <v>-</v>
      </c>
      <c r="AF61" s="53" t="str">
        <f>IF($A61="-","-",VLOOKUP($A61,[4]Controle!$A$6:$CC$25,AF$48,FALSE))</f>
        <v>-</v>
      </c>
      <c r="AG61" s="53" t="str">
        <f>IF($A61="-","-",VLOOKUP($A61,[4]Controle!$A$6:$CC$25,AG$48,FALSE))</f>
        <v>-</v>
      </c>
      <c r="AH61" s="53" t="str">
        <f>IF($A61="-","-",VLOOKUP($A61,[4]Controle!$A$6:$CC$25,AH$48,FALSE))</f>
        <v>-</v>
      </c>
      <c r="AI61" s="53" t="str">
        <f>IF($A61="-","-",VLOOKUP($A61,[4]Controle!$A$6:$CC$25,AI$48,FALSE))</f>
        <v>-</v>
      </c>
      <c r="AJ61" s="53" t="str">
        <f>IF($A61="-","-",VLOOKUP($A61,[4]Controle!$A$6:$CC$25,AJ$48,FALSE))</f>
        <v>-</v>
      </c>
      <c r="AK61" s="53" t="str">
        <f>IF($A61="-","-",VLOOKUP($A61,[4]Controle!$A$6:$CC$25,AK$48,FALSE))</f>
        <v>-</v>
      </c>
      <c r="AL61" s="53" t="str">
        <f>IF($A61="-","-",VLOOKUP($A61,[4]Controle!$A$6:$CC$25,AL$48,FALSE))</f>
        <v>-</v>
      </c>
      <c r="AM61" s="53" t="str">
        <f>IF($A61="-","-",VLOOKUP($A61,[4]Controle!$A$6:$CC$25,AM$48,FALSE))</f>
        <v>-</v>
      </c>
      <c r="AN61" s="53" t="str">
        <f>IF($A61="-","-",VLOOKUP($A61,[4]Controle!$A$6:$CC$25,AN$48,FALSE))</f>
        <v>-</v>
      </c>
      <c r="AO61" s="53" t="str">
        <f>IF($A61="-","-",VLOOKUP($A61,[4]Controle!$A$6:$CC$25,AO$48,FALSE))</f>
        <v>-</v>
      </c>
      <c r="AP61" s="53" t="str">
        <f>IF($A61="-","-",VLOOKUP($A61,[4]Controle!$A$6:$CC$25,AP$48,FALSE))</f>
        <v>-</v>
      </c>
      <c r="AQ61" s="53" t="str">
        <f>IF($A61="-","-",VLOOKUP($A61,[4]Controle!$A$6:$CC$25,AQ$48,FALSE))</f>
        <v>-</v>
      </c>
      <c r="AR61" s="53" t="str">
        <f>IF($A61="-","-",VLOOKUP($A61,[4]Controle!$A$6:$CC$25,AR$48,FALSE))</f>
        <v>-</v>
      </c>
      <c r="AS61" s="53" t="str">
        <f>IF($A61="-","-",VLOOKUP($A61,[4]Controle!$A$6:$CC$25,AS$48,FALSE))</f>
        <v>-</v>
      </c>
      <c r="AT61" s="53" t="str">
        <f>IF($A61="-","-",VLOOKUP($A61,[4]Controle!$A$6:$CC$25,AT$48,FALSE))</f>
        <v>-</v>
      </c>
      <c r="AU61" s="53" t="str">
        <f>IF($A61="-","-",VLOOKUP($A61,[4]Controle!$A$6:$CC$25,AU$48,FALSE))</f>
        <v>-</v>
      </c>
      <c r="AV61" s="53" t="str">
        <f>IF($A61="-","-",VLOOKUP($A61,[4]Controle!$A$6:$CC$25,AV$48,FALSE))</f>
        <v>-</v>
      </c>
      <c r="AW61" s="53" t="str">
        <f>IF($A61="-","-",VLOOKUP($A61,[4]Controle!$A$6:$CC$25,AW$48,FALSE))</f>
        <v>-</v>
      </c>
      <c r="AX61" s="53" t="str">
        <f>IF($A61="-","-",VLOOKUP($A61,[4]Controle!$A$6:$CC$25,AX$48,FALSE))</f>
        <v>-</v>
      </c>
      <c r="AY61" s="53" t="str">
        <f>IF($A61="-","-",VLOOKUP($A61,[4]Controle!$A$6:$CC$25,AY$48,FALSE))</f>
        <v>-</v>
      </c>
      <c r="AZ61" s="53" t="str">
        <f>IF($A61="-","-",VLOOKUP($A61,[4]Controle!$A$6:$CC$25,AZ$48,FALSE))</f>
        <v>-</v>
      </c>
      <c r="BA61" s="53" t="str">
        <f>IF($A61="-","-",VLOOKUP($A61,[4]Controle!$A$6:$CC$25,BA$48,FALSE))</f>
        <v>-</v>
      </c>
      <c r="BB61" s="53" t="str">
        <f>IF($A61="-","-",VLOOKUP($A61,[4]Controle!$A$6:$CC$25,BB$48,FALSE))</f>
        <v>-</v>
      </c>
      <c r="BC61" s="53" t="str">
        <f>IF($A61="-","-",VLOOKUP($A61,[4]Controle!$A$6:$CC$25,BC$48,FALSE))</f>
        <v>-</v>
      </c>
      <c r="BD61" s="53" t="str">
        <f>IF($A61="-","-",VLOOKUP($A61,[4]Controle!$A$6:$CC$25,BD$48,FALSE))</f>
        <v>-</v>
      </c>
      <c r="BE61" s="53" t="str">
        <f>IF($A61="-","-",VLOOKUP($A61,[4]Controle!$A$6:$CC$25,BE$48,FALSE))</f>
        <v>-</v>
      </c>
      <c r="BF61" s="53" t="str">
        <f>IF($A61="-","-",VLOOKUP($A61,[4]Controle!$A$6:$CC$25,BF$48,FALSE))</f>
        <v>-</v>
      </c>
      <c r="BG61" s="53" t="str">
        <f>IF($A61="-","-",VLOOKUP($A61,[4]Controle!$A$6:$CC$25,BG$48,FALSE))</f>
        <v>-</v>
      </c>
      <c r="BH61" s="53" t="str">
        <f>IF($A61="-","-",VLOOKUP($A61,[4]Controle!$A$6:$CC$25,BH$48,FALSE))</f>
        <v>-</v>
      </c>
      <c r="BI61" s="53" t="str">
        <f>IF($A61="-","-",VLOOKUP($A61,[4]Controle!$A$6:$CC$25,BI$48,FALSE))</f>
        <v>-</v>
      </c>
      <c r="BJ61" s="53" t="str">
        <f>IF($A61="-","-",VLOOKUP($A61,[4]Controle!$A$6:$CC$25,BJ$48,FALSE))</f>
        <v>-</v>
      </c>
      <c r="BK61" s="53" t="str">
        <f>IF($A61="-","-",VLOOKUP($A61,[4]Controle!$A$6:$CC$25,BK$48,FALSE))</f>
        <v>-</v>
      </c>
      <c r="BL61" s="53" t="str">
        <f>IF($A61="-","-",VLOOKUP($A61,[4]Controle!$A$6:$CC$25,BL$48,FALSE))</f>
        <v>-</v>
      </c>
      <c r="BM61" s="53" t="str">
        <f>IF($A61="-","-",VLOOKUP($A61,[4]Controle!$A$6:$CC$25,BM$48,FALSE))</f>
        <v>-</v>
      </c>
      <c r="BN61" s="53" t="str">
        <f>IF($A61="-","-",VLOOKUP($A61,[4]Controle!$A$6:$CC$25,BN$48,FALSE))</f>
        <v>-</v>
      </c>
      <c r="BO61" s="53" t="str">
        <f>IF($A61="-","-",VLOOKUP($A61,[4]Controle!$A$6:$CC$25,BO$48,FALSE))</f>
        <v>-</v>
      </c>
      <c r="BP61" s="53" t="str">
        <f>IF($A61="-","-",VLOOKUP($A61,[4]Controle!$A$6:$CC$25,BP$48,FALSE))</f>
        <v>-</v>
      </c>
      <c r="BQ61" s="53" t="str">
        <f>IF($A61="-","-",VLOOKUP($A61,[4]Controle!$A$6:$CC$25,BQ$48,FALSE))</f>
        <v>-</v>
      </c>
      <c r="BR61" s="53" t="str">
        <f>IF($A61="-","-",VLOOKUP($A61,[4]Controle!$A$6:$CC$25,BR$48,FALSE))</f>
        <v>-</v>
      </c>
      <c r="BS61" s="53" t="str">
        <f>IF($A61="-","-",VLOOKUP($A61,[4]Controle!$A$6:$CC$25,BS$48,FALSE))</f>
        <v>-</v>
      </c>
      <c r="BT61" s="53" t="str">
        <f>IF($A61="-","-",VLOOKUP($A61,[4]Controle!$A$6:$CC$25,BT$48,FALSE))</f>
        <v>-</v>
      </c>
      <c r="BU61" s="53" t="str">
        <f>IF($A61="-","-",VLOOKUP($A61,[4]Controle!$A$6:$CC$25,BU$48,FALSE))</f>
        <v>-</v>
      </c>
      <c r="BV61" s="53" t="str">
        <f>IF($A61="-","-",VLOOKUP($A61,[4]Controle!$A$6:$CC$25,BV$48,FALSE))</f>
        <v>-</v>
      </c>
      <c r="BW61" s="53" t="str">
        <f>IF($A61="-","-",VLOOKUP($A61,[4]Controle!$A$6:$CC$25,BW$48,FALSE))</f>
        <v>-</v>
      </c>
      <c r="BX61" s="53" t="str">
        <f>IF($A61="-","-",VLOOKUP($A61,[4]Controle!$A$6:$CC$25,BX$48,FALSE))</f>
        <v>-</v>
      </c>
      <c r="BY61" s="53" t="str">
        <f>IF($A61="-","-",VLOOKUP($A61,[4]Controle!$A$6:$CC$25,BY$48,FALSE))</f>
        <v>-</v>
      </c>
      <c r="BZ61" s="53" t="str">
        <f>IF($A61="-","-",VLOOKUP($A61,[4]Controle!$A$6:$CC$25,BZ$48,FALSE))</f>
        <v>-</v>
      </c>
      <c r="CA61" s="53" t="str">
        <f>IF($A61="-","-",VLOOKUP($A61,[4]Controle!$A$6:$CC$25,CA$48,FALSE))</f>
        <v>-</v>
      </c>
      <c r="CB61" s="53" t="str">
        <f>IF($A61="-","-",VLOOKUP($A61,[4]Controle!$A$6:$CC$25,CB$48,FALSE))</f>
        <v>-</v>
      </c>
      <c r="CC61" s="53" t="str">
        <f>IF($A61="-","-",VLOOKUP($A61,[4]Controle!$A$6:$CC$25,CC$48,FALSE))</f>
        <v>-</v>
      </c>
      <c r="CT61" s="41">
        <f>IF(CV61="-",0,MAX($CT$51:CT60)+1)</f>
        <v>0</v>
      </c>
      <c r="CU61" s="53" t="str">
        <f t="shared" si="26"/>
        <v>-</v>
      </c>
      <c r="CV61" s="53" t="str">
        <f t="shared" si="23"/>
        <v>-</v>
      </c>
      <c r="CW61" s="53" t="str">
        <f t="shared" si="27"/>
        <v>-</v>
      </c>
      <c r="CY61" s="41" t="str">
        <f t="shared" si="25"/>
        <v>-</v>
      </c>
    </row>
    <row r="62" spans="1:103" x14ac:dyDescent="0.3">
      <c r="A62" s="56" t="s">
        <v>54</v>
      </c>
      <c r="B62" s="53" t="str">
        <f>IF($A62="-","-",VLOOKUP($A62,[4]Controle!$A$6:$CC$25,B$48,FALSE))</f>
        <v>-</v>
      </c>
      <c r="C62" s="53" t="str">
        <f>IF($A62="-","-",VLOOKUP($A62,[4]Controle!$A$6:$CC$25,C$48,FALSE))</f>
        <v>-</v>
      </c>
      <c r="D62" s="53" t="str">
        <f>IF($A62="-","-",VLOOKUP($A62,[4]Controle!$A$6:$CC$25,D$48,FALSE))</f>
        <v>-</v>
      </c>
      <c r="E62" s="53" t="str">
        <f>IF($A62="-","-",VLOOKUP($A62,[4]Controle!$A$6:$CC$25,E$48,FALSE))</f>
        <v>-</v>
      </c>
      <c r="F62" s="53" t="str">
        <f>IF($A62="-","-",VLOOKUP($A62,[4]Controle!$A$6:$CC$25,F$48,FALSE))</f>
        <v>-</v>
      </c>
      <c r="G62" s="54" t="str">
        <f>IF($A62="-","-",VLOOKUP($A62,[4]Controle!$A$6:$CC$25,G$48,FALSE))</f>
        <v>-</v>
      </c>
      <c r="H62" s="55" t="str">
        <f>IF($A62="-","-",VLOOKUP($A62,[4]Controle!$A$6:$CC$25,H$48,FALSE))</f>
        <v>-</v>
      </c>
      <c r="I62" s="53" t="str">
        <f>IF($A62="-","-",VLOOKUP($A62,[4]Controle!$A$6:$CC$25,I$48,FALSE))</f>
        <v>-</v>
      </c>
      <c r="J62" s="53" t="str">
        <f>IF($A62="-","-",VLOOKUP($A62,[4]Controle!$A$6:$CC$25,J$48,FALSE))</f>
        <v>-</v>
      </c>
      <c r="K62" s="53" t="str">
        <f>IF($A62="-","-",VLOOKUP($A62,[4]Controle!$A$6:$CC$25,K$48,FALSE))</f>
        <v>-</v>
      </c>
      <c r="L62" s="53" t="str">
        <f>IF($A62="-","-",VLOOKUP($A62,[4]Controle!$A$6:$CC$25,L$48,FALSE))</f>
        <v>-</v>
      </c>
      <c r="M62" s="53" t="str">
        <f>IF($A62="-","-",VLOOKUP($A62,[4]Controle!$A$6:$CC$25,M$48,FALSE))</f>
        <v>-</v>
      </c>
      <c r="N62" s="53" t="str">
        <f>IF($A62="-","-",VLOOKUP($A62,[4]Controle!$A$6:$CC$25,N$48,FALSE))</f>
        <v>-</v>
      </c>
      <c r="O62" s="53" t="str">
        <f>IF($A62="-","-",VLOOKUP($A62,[4]Controle!$A$6:$CC$25,O$48,FALSE))</f>
        <v>-</v>
      </c>
      <c r="P62" s="53" t="str">
        <f>IF($A62="-","-",VLOOKUP($A62,[4]Controle!$A$6:$CC$25,P$48,FALSE))</f>
        <v>-</v>
      </c>
      <c r="Q62" s="53" t="str">
        <f>IF($A62="-","-",VLOOKUP($A62,[4]Controle!$A$6:$CC$25,Q$48,FALSE))</f>
        <v>-</v>
      </c>
      <c r="R62" s="53" t="str">
        <f>IF($A62="-","-",VLOOKUP($A62,[4]Controle!$A$6:$CC$25,R$48,FALSE))</f>
        <v>-</v>
      </c>
      <c r="S62" s="53" t="str">
        <f>IF($A62="-","-",VLOOKUP($A62,[4]Controle!$A$6:$CC$25,S$48,FALSE))</f>
        <v>-</v>
      </c>
      <c r="T62" s="53" t="str">
        <f>IF($A62="-","-",VLOOKUP($A62,[4]Controle!$A$6:$CC$25,T$48,FALSE))</f>
        <v>-</v>
      </c>
      <c r="U62" s="53" t="str">
        <f>IF($A62="-","-",VLOOKUP($A62,[4]Controle!$A$6:$CC$25,U$48,FALSE))</f>
        <v>-</v>
      </c>
      <c r="V62" s="53" t="str">
        <f>IF($A62="-","-",VLOOKUP($A62,[4]Controle!$A$6:$CC$25,V$48,FALSE))</f>
        <v>-</v>
      </c>
      <c r="W62" s="53" t="str">
        <f>IF($A62="-","-",VLOOKUP($A62,[4]Controle!$A$6:$CC$25,W$48,FALSE))</f>
        <v>-</v>
      </c>
      <c r="X62" s="53" t="str">
        <f>IF($A62="-","-",VLOOKUP($A62,[4]Controle!$A$6:$CC$25,X$48,FALSE))</f>
        <v>-</v>
      </c>
      <c r="Y62" s="53" t="str">
        <f>IF($A62="-","-",VLOOKUP($A62,[4]Controle!$A$6:$CC$25,Y$48,FALSE))</f>
        <v>-</v>
      </c>
      <c r="Z62" s="53" t="str">
        <f>IF($A62="-","-",VLOOKUP($A62,[4]Controle!$A$6:$CC$25,Z$48,FALSE))</f>
        <v>-</v>
      </c>
      <c r="AA62" s="53" t="str">
        <f>IF($A62="-","-",VLOOKUP($A62,[4]Controle!$A$6:$CC$25,AA$48,FALSE))</f>
        <v>-</v>
      </c>
      <c r="AB62" s="53" t="str">
        <f>IF($A62="-","-",VLOOKUP($A62,[4]Controle!$A$6:$CC$25,AB$48,FALSE))</f>
        <v>-</v>
      </c>
      <c r="AC62" s="53" t="str">
        <f>IF($A62="-","-",VLOOKUP($A62,[4]Controle!$A$6:$CC$25,AC$48,FALSE))</f>
        <v>-</v>
      </c>
      <c r="AD62" s="53" t="str">
        <f>IF($A62="-","-",VLOOKUP($A62,[4]Controle!$A$6:$CC$25,AD$48,FALSE))</f>
        <v>-</v>
      </c>
      <c r="AE62" s="53" t="str">
        <f>IF($A62="-","-",VLOOKUP($A62,[4]Controle!$A$6:$CC$25,AE$48,FALSE))</f>
        <v>-</v>
      </c>
      <c r="AF62" s="53" t="str">
        <f>IF($A62="-","-",VLOOKUP($A62,[4]Controle!$A$6:$CC$25,AF$48,FALSE))</f>
        <v>-</v>
      </c>
      <c r="AG62" s="53" t="str">
        <f>IF($A62="-","-",VLOOKUP($A62,[4]Controle!$A$6:$CC$25,AG$48,FALSE))</f>
        <v>-</v>
      </c>
      <c r="AH62" s="53" t="str">
        <f>IF($A62="-","-",VLOOKUP($A62,[4]Controle!$A$6:$CC$25,AH$48,FALSE))</f>
        <v>-</v>
      </c>
      <c r="AI62" s="53" t="str">
        <f>IF($A62="-","-",VLOOKUP($A62,[4]Controle!$A$6:$CC$25,AI$48,FALSE))</f>
        <v>-</v>
      </c>
      <c r="AJ62" s="53" t="str">
        <f>IF($A62="-","-",VLOOKUP($A62,[4]Controle!$A$6:$CC$25,AJ$48,FALSE))</f>
        <v>-</v>
      </c>
      <c r="AK62" s="53" t="str">
        <f>IF($A62="-","-",VLOOKUP($A62,[4]Controle!$A$6:$CC$25,AK$48,FALSE))</f>
        <v>-</v>
      </c>
      <c r="AL62" s="53" t="str">
        <f>IF($A62="-","-",VLOOKUP($A62,[4]Controle!$A$6:$CC$25,AL$48,FALSE))</f>
        <v>-</v>
      </c>
      <c r="AM62" s="53" t="str">
        <f>IF($A62="-","-",VLOOKUP($A62,[4]Controle!$A$6:$CC$25,AM$48,FALSE))</f>
        <v>-</v>
      </c>
      <c r="AN62" s="53" t="str">
        <f>IF($A62="-","-",VLOOKUP($A62,[4]Controle!$A$6:$CC$25,AN$48,FALSE))</f>
        <v>-</v>
      </c>
      <c r="AO62" s="53" t="str">
        <f>IF($A62="-","-",VLOOKUP($A62,[4]Controle!$A$6:$CC$25,AO$48,FALSE))</f>
        <v>-</v>
      </c>
      <c r="AP62" s="53" t="str">
        <f>IF($A62="-","-",VLOOKUP($A62,[4]Controle!$A$6:$CC$25,AP$48,FALSE))</f>
        <v>-</v>
      </c>
      <c r="AQ62" s="53" t="str">
        <f>IF($A62="-","-",VLOOKUP($A62,[4]Controle!$A$6:$CC$25,AQ$48,FALSE))</f>
        <v>-</v>
      </c>
      <c r="AR62" s="53" t="str">
        <f>IF($A62="-","-",VLOOKUP($A62,[4]Controle!$A$6:$CC$25,AR$48,FALSE))</f>
        <v>-</v>
      </c>
      <c r="AS62" s="53" t="str">
        <f>IF($A62="-","-",VLOOKUP($A62,[4]Controle!$A$6:$CC$25,AS$48,FALSE))</f>
        <v>-</v>
      </c>
      <c r="AT62" s="53" t="str">
        <f>IF($A62="-","-",VLOOKUP($A62,[4]Controle!$A$6:$CC$25,AT$48,FALSE))</f>
        <v>-</v>
      </c>
      <c r="AU62" s="53" t="str">
        <f>IF($A62="-","-",VLOOKUP($A62,[4]Controle!$A$6:$CC$25,AU$48,FALSE))</f>
        <v>-</v>
      </c>
      <c r="AV62" s="53" t="str">
        <f>IF($A62="-","-",VLOOKUP($A62,[4]Controle!$A$6:$CC$25,AV$48,FALSE))</f>
        <v>-</v>
      </c>
      <c r="AW62" s="53" t="str">
        <f>IF($A62="-","-",VLOOKUP($A62,[4]Controle!$A$6:$CC$25,AW$48,FALSE))</f>
        <v>-</v>
      </c>
      <c r="AX62" s="53" t="str">
        <f>IF($A62="-","-",VLOOKUP($A62,[4]Controle!$A$6:$CC$25,AX$48,FALSE))</f>
        <v>-</v>
      </c>
      <c r="AY62" s="53" t="str">
        <f>IF($A62="-","-",VLOOKUP($A62,[4]Controle!$A$6:$CC$25,AY$48,FALSE))</f>
        <v>-</v>
      </c>
      <c r="AZ62" s="53" t="str">
        <f>IF($A62="-","-",VLOOKUP($A62,[4]Controle!$A$6:$CC$25,AZ$48,FALSE))</f>
        <v>-</v>
      </c>
      <c r="BA62" s="53" t="str">
        <f>IF($A62="-","-",VLOOKUP($A62,[4]Controle!$A$6:$CC$25,BA$48,FALSE))</f>
        <v>-</v>
      </c>
      <c r="BB62" s="53" t="str">
        <f>IF($A62="-","-",VLOOKUP($A62,[4]Controle!$A$6:$CC$25,BB$48,FALSE))</f>
        <v>-</v>
      </c>
      <c r="BC62" s="53" t="str">
        <f>IF($A62="-","-",VLOOKUP($A62,[4]Controle!$A$6:$CC$25,BC$48,FALSE))</f>
        <v>-</v>
      </c>
      <c r="BD62" s="53" t="str">
        <f>IF($A62="-","-",VLOOKUP($A62,[4]Controle!$A$6:$CC$25,BD$48,FALSE))</f>
        <v>-</v>
      </c>
      <c r="BE62" s="53" t="str">
        <f>IF($A62="-","-",VLOOKUP($A62,[4]Controle!$A$6:$CC$25,BE$48,FALSE))</f>
        <v>-</v>
      </c>
      <c r="BF62" s="53" t="str">
        <f>IF($A62="-","-",VLOOKUP($A62,[4]Controle!$A$6:$CC$25,BF$48,FALSE))</f>
        <v>-</v>
      </c>
      <c r="BG62" s="53" t="str">
        <f>IF($A62="-","-",VLOOKUP($A62,[4]Controle!$A$6:$CC$25,BG$48,FALSE))</f>
        <v>-</v>
      </c>
      <c r="BH62" s="53" t="str">
        <f>IF($A62="-","-",VLOOKUP($A62,[4]Controle!$A$6:$CC$25,BH$48,FALSE))</f>
        <v>-</v>
      </c>
      <c r="BI62" s="53" t="str">
        <f>IF($A62="-","-",VLOOKUP($A62,[4]Controle!$A$6:$CC$25,BI$48,FALSE))</f>
        <v>-</v>
      </c>
      <c r="BJ62" s="53" t="str">
        <f>IF($A62="-","-",VLOOKUP($A62,[4]Controle!$A$6:$CC$25,BJ$48,FALSE))</f>
        <v>-</v>
      </c>
      <c r="BK62" s="53" t="str">
        <f>IF($A62="-","-",VLOOKUP($A62,[4]Controle!$A$6:$CC$25,BK$48,FALSE))</f>
        <v>-</v>
      </c>
      <c r="BL62" s="53" t="str">
        <f>IF($A62="-","-",VLOOKUP($A62,[4]Controle!$A$6:$CC$25,BL$48,FALSE))</f>
        <v>-</v>
      </c>
      <c r="BM62" s="53" t="str">
        <f>IF($A62="-","-",VLOOKUP($A62,[4]Controle!$A$6:$CC$25,BM$48,FALSE))</f>
        <v>-</v>
      </c>
      <c r="BN62" s="53" t="str">
        <f>IF($A62="-","-",VLOOKUP($A62,[4]Controle!$A$6:$CC$25,BN$48,FALSE))</f>
        <v>-</v>
      </c>
      <c r="BO62" s="53" t="str">
        <f>IF($A62="-","-",VLOOKUP($A62,[4]Controle!$A$6:$CC$25,BO$48,FALSE))</f>
        <v>-</v>
      </c>
      <c r="BP62" s="53" t="str">
        <f>IF($A62="-","-",VLOOKUP($A62,[4]Controle!$A$6:$CC$25,BP$48,FALSE))</f>
        <v>-</v>
      </c>
      <c r="BQ62" s="53" t="str">
        <f>IF($A62="-","-",VLOOKUP($A62,[4]Controle!$A$6:$CC$25,BQ$48,FALSE))</f>
        <v>-</v>
      </c>
      <c r="BR62" s="53" t="str">
        <f>IF($A62="-","-",VLOOKUP($A62,[4]Controle!$A$6:$CC$25,BR$48,FALSE))</f>
        <v>-</v>
      </c>
      <c r="BS62" s="53" t="str">
        <f>IF($A62="-","-",VLOOKUP($A62,[4]Controle!$A$6:$CC$25,BS$48,FALSE))</f>
        <v>-</v>
      </c>
      <c r="BT62" s="53" t="str">
        <f>IF($A62="-","-",VLOOKUP($A62,[4]Controle!$A$6:$CC$25,BT$48,FALSE))</f>
        <v>-</v>
      </c>
      <c r="BU62" s="53" t="str">
        <f>IF($A62="-","-",VLOOKUP($A62,[4]Controle!$A$6:$CC$25,BU$48,FALSE))</f>
        <v>-</v>
      </c>
      <c r="BV62" s="53" t="str">
        <f>IF($A62="-","-",VLOOKUP($A62,[4]Controle!$A$6:$CC$25,BV$48,FALSE))</f>
        <v>-</v>
      </c>
      <c r="BW62" s="53" t="str">
        <f>IF($A62="-","-",VLOOKUP($A62,[4]Controle!$A$6:$CC$25,BW$48,FALSE))</f>
        <v>-</v>
      </c>
      <c r="BX62" s="53" t="str">
        <f>IF($A62="-","-",VLOOKUP($A62,[4]Controle!$A$6:$CC$25,BX$48,FALSE))</f>
        <v>-</v>
      </c>
      <c r="BY62" s="53" t="str">
        <f>IF($A62="-","-",VLOOKUP($A62,[4]Controle!$A$6:$CC$25,BY$48,FALSE))</f>
        <v>-</v>
      </c>
      <c r="BZ62" s="53" t="str">
        <f>IF($A62="-","-",VLOOKUP($A62,[4]Controle!$A$6:$CC$25,BZ$48,FALSE))</f>
        <v>-</v>
      </c>
      <c r="CA62" s="53" t="str">
        <f>IF($A62="-","-",VLOOKUP($A62,[4]Controle!$A$6:$CC$25,CA$48,FALSE))</f>
        <v>-</v>
      </c>
      <c r="CB62" s="53" t="str">
        <f>IF($A62="-","-",VLOOKUP($A62,[4]Controle!$A$6:$CC$25,CB$48,FALSE))</f>
        <v>-</v>
      </c>
      <c r="CC62" s="53" t="str">
        <f>IF($A62="-","-",VLOOKUP($A62,[4]Controle!$A$6:$CC$25,CC$48,FALSE))</f>
        <v>-</v>
      </c>
      <c r="CT62" s="41">
        <f>IF(CV62="-",0,MAX($CT$51:CT61)+1)</f>
        <v>0</v>
      </c>
      <c r="CU62" s="53" t="str">
        <f t="shared" ref="CU62:CU70" si="28">IF(CW62="-","-",IF($G$1&lt;=H62,"VÁLIDO","VENCIDO"))</f>
        <v>-</v>
      </c>
      <c r="CV62" s="53" t="str">
        <f t="shared" si="23"/>
        <v>-</v>
      </c>
      <c r="CW62" s="53" t="str">
        <f t="shared" ref="CW62:CW70" si="29">A62</f>
        <v>-</v>
      </c>
      <c r="CY62" s="41" t="str">
        <f t="shared" si="25"/>
        <v>-</v>
      </c>
    </row>
    <row r="63" spans="1:103" x14ac:dyDescent="0.3">
      <c r="A63" s="56" t="s">
        <v>54</v>
      </c>
      <c r="B63" s="53" t="str">
        <f>IF($A63="-","-",VLOOKUP($A63,[4]Controle!$A$6:$CC$25,B$48,FALSE))</f>
        <v>-</v>
      </c>
      <c r="C63" s="53" t="str">
        <f>IF($A63="-","-",VLOOKUP($A63,[4]Controle!$A$6:$CC$25,C$48,FALSE))</f>
        <v>-</v>
      </c>
      <c r="D63" s="53" t="str">
        <f>IF($A63="-","-",VLOOKUP($A63,[4]Controle!$A$6:$CC$25,D$48,FALSE))</f>
        <v>-</v>
      </c>
      <c r="E63" s="53" t="str">
        <f>IF($A63="-","-",VLOOKUP($A63,[4]Controle!$A$6:$CC$25,E$48,FALSE))</f>
        <v>-</v>
      </c>
      <c r="F63" s="53" t="str">
        <f>IF($A63="-","-",VLOOKUP($A63,[4]Controle!$A$6:$CC$25,F$48,FALSE))</f>
        <v>-</v>
      </c>
      <c r="G63" s="54" t="str">
        <f>IF($A63="-","-",VLOOKUP($A63,[4]Controle!$A$6:$CC$25,G$48,FALSE))</f>
        <v>-</v>
      </c>
      <c r="H63" s="55" t="str">
        <f>IF($A63="-","-",VLOOKUP($A63,[4]Controle!$A$6:$CC$25,H$48,FALSE))</f>
        <v>-</v>
      </c>
      <c r="I63" s="53" t="str">
        <f>IF($A63="-","-",VLOOKUP($A63,[4]Controle!$A$6:$CC$25,I$48,FALSE))</f>
        <v>-</v>
      </c>
      <c r="J63" s="53" t="str">
        <f>IF($A63="-","-",VLOOKUP($A63,[4]Controle!$A$6:$CC$25,J$48,FALSE))</f>
        <v>-</v>
      </c>
      <c r="K63" s="53" t="str">
        <f>IF($A63="-","-",VLOOKUP($A63,[4]Controle!$A$6:$CC$25,K$48,FALSE))</f>
        <v>-</v>
      </c>
      <c r="L63" s="53" t="str">
        <f>IF($A63="-","-",VLOOKUP($A63,[4]Controle!$A$6:$CC$25,L$48,FALSE))</f>
        <v>-</v>
      </c>
      <c r="M63" s="53" t="str">
        <f>IF($A63="-","-",VLOOKUP($A63,[4]Controle!$A$6:$CC$25,M$48,FALSE))</f>
        <v>-</v>
      </c>
      <c r="N63" s="53" t="str">
        <f>IF($A63="-","-",VLOOKUP($A63,[4]Controle!$A$6:$CC$25,N$48,FALSE))</f>
        <v>-</v>
      </c>
      <c r="O63" s="53" t="str">
        <f>IF($A63="-","-",VLOOKUP($A63,[4]Controle!$A$6:$CC$25,O$48,FALSE))</f>
        <v>-</v>
      </c>
      <c r="P63" s="53" t="str">
        <f>IF($A63="-","-",VLOOKUP($A63,[4]Controle!$A$6:$CC$25,P$48,FALSE))</f>
        <v>-</v>
      </c>
      <c r="Q63" s="53" t="str">
        <f>IF($A63="-","-",VLOOKUP($A63,[4]Controle!$A$6:$CC$25,Q$48,FALSE))</f>
        <v>-</v>
      </c>
      <c r="R63" s="53" t="str">
        <f>IF($A63="-","-",VLOOKUP($A63,[4]Controle!$A$6:$CC$25,R$48,FALSE))</f>
        <v>-</v>
      </c>
      <c r="S63" s="53" t="str">
        <f>IF($A63="-","-",VLOOKUP($A63,[4]Controle!$A$6:$CC$25,S$48,FALSE))</f>
        <v>-</v>
      </c>
      <c r="T63" s="53" t="str">
        <f>IF($A63="-","-",VLOOKUP($A63,[4]Controle!$A$6:$CC$25,T$48,FALSE))</f>
        <v>-</v>
      </c>
      <c r="U63" s="53" t="str">
        <f>IF($A63="-","-",VLOOKUP($A63,[4]Controle!$A$6:$CC$25,U$48,FALSE))</f>
        <v>-</v>
      </c>
      <c r="V63" s="53" t="str">
        <f>IF($A63="-","-",VLOOKUP($A63,[4]Controle!$A$6:$CC$25,V$48,FALSE))</f>
        <v>-</v>
      </c>
      <c r="W63" s="53" t="str">
        <f>IF($A63="-","-",VLOOKUP($A63,[4]Controle!$A$6:$CC$25,W$48,FALSE))</f>
        <v>-</v>
      </c>
      <c r="X63" s="53" t="str">
        <f>IF($A63="-","-",VLOOKUP($A63,[4]Controle!$A$6:$CC$25,X$48,FALSE))</f>
        <v>-</v>
      </c>
      <c r="Y63" s="53" t="str">
        <f>IF($A63="-","-",VLOOKUP($A63,[4]Controle!$A$6:$CC$25,Y$48,FALSE))</f>
        <v>-</v>
      </c>
      <c r="Z63" s="53" t="str">
        <f>IF($A63="-","-",VLOOKUP($A63,[4]Controle!$A$6:$CC$25,Z$48,FALSE))</f>
        <v>-</v>
      </c>
      <c r="AA63" s="53" t="str">
        <f>IF($A63="-","-",VLOOKUP($A63,[4]Controle!$A$6:$CC$25,AA$48,FALSE))</f>
        <v>-</v>
      </c>
      <c r="AB63" s="53" t="str">
        <f>IF($A63="-","-",VLOOKUP($A63,[4]Controle!$A$6:$CC$25,AB$48,FALSE))</f>
        <v>-</v>
      </c>
      <c r="AC63" s="53" t="str">
        <f>IF($A63="-","-",VLOOKUP($A63,[4]Controle!$A$6:$CC$25,AC$48,FALSE))</f>
        <v>-</v>
      </c>
      <c r="AD63" s="53" t="str">
        <f>IF($A63="-","-",VLOOKUP($A63,[4]Controle!$A$6:$CC$25,AD$48,FALSE))</f>
        <v>-</v>
      </c>
      <c r="AE63" s="53" t="str">
        <f>IF($A63="-","-",VLOOKUP($A63,[4]Controle!$A$6:$CC$25,AE$48,FALSE))</f>
        <v>-</v>
      </c>
      <c r="AF63" s="53" t="str">
        <f>IF($A63="-","-",VLOOKUP($A63,[4]Controle!$A$6:$CC$25,AF$48,FALSE))</f>
        <v>-</v>
      </c>
      <c r="AG63" s="53" t="str">
        <f>IF($A63="-","-",VLOOKUP($A63,[4]Controle!$A$6:$CC$25,AG$48,FALSE))</f>
        <v>-</v>
      </c>
      <c r="AH63" s="53" t="str">
        <f>IF($A63="-","-",VLOOKUP($A63,[4]Controle!$A$6:$CC$25,AH$48,FALSE))</f>
        <v>-</v>
      </c>
      <c r="AI63" s="53" t="str">
        <f>IF($A63="-","-",VLOOKUP($A63,[4]Controle!$A$6:$CC$25,AI$48,FALSE))</f>
        <v>-</v>
      </c>
      <c r="AJ63" s="53" t="str">
        <f>IF($A63="-","-",VLOOKUP($A63,[4]Controle!$A$6:$CC$25,AJ$48,FALSE))</f>
        <v>-</v>
      </c>
      <c r="AK63" s="53" t="str">
        <f>IF($A63="-","-",VLOOKUP($A63,[4]Controle!$A$6:$CC$25,AK$48,FALSE))</f>
        <v>-</v>
      </c>
      <c r="AL63" s="53" t="str">
        <f>IF($A63="-","-",VLOOKUP($A63,[4]Controle!$A$6:$CC$25,AL$48,FALSE))</f>
        <v>-</v>
      </c>
      <c r="AM63" s="53" t="str">
        <f>IF($A63="-","-",VLOOKUP($A63,[4]Controle!$A$6:$CC$25,AM$48,FALSE))</f>
        <v>-</v>
      </c>
      <c r="AN63" s="53" t="str">
        <f>IF($A63="-","-",VLOOKUP($A63,[4]Controle!$A$6:$CC$25,AN$48,FALSE))</f>
        <v>-</v>
      </c>
      <c r="AO63" s="53" t="str">
        <f>IF($A63="-","-",VLOOKUP($A63,[4]Controle!$A$6:$CC$25,AO$48,FALSE))</f>
        <v>-</v>
      </c>
      <c r="AP63" s="53" t="str">
        <f>IF($A63="-","-",VLOOKUP($A63,[4]Controle!$A$6:$CC$25,AP$48,FALSE))</f>
        <v>-</v>
      </c>
      <c r="AQ63" s="53" t="str">
        <f>IF($A63="-","-",VLOOKUP($A63,[4]Controle!$A$6:$CC$25,AQ$48,FALSE))</f>
        <v>-</v>
      </c>
      <c r="AR63" s="53" t="str">
        <f>IF($A63="-","-",VLOOKUP($A63,[4]Controle!$A$6:$CC$25,AR$48,FALSE))</f>
        <v>-</v>
      </c>
      <c r="AS63" s="53" t="str">
        <f>IF($A63="-","-",VLOOKUP($A63,[4]Controle!$A$6:$CC$25,AS$48,FALSE))</f>
        <v>-</v>
      </c>
      <c r="AT63" s="53" t="str">
        <f>IF($A63="-","-",VLOOKUP($A63,[4]Controle!$A$6:$CC$25,AT$48,FALSE))</f>
        <v>-</v>
      </c>
      <c r="AU63" s="53" t="str">
        <f>IF($A63="-","-",VLOOKUP($A63,[4]Controle!$A$6:$CC$25,AU$48,FALSE))</f>
        <v>-</v>
      </c>
      <c r="AV63" s="53" t="str">
        <f>IF($A63="-","-",VLOOKUP($A63,[4]Controle!$A$6:$CC$25,AV$48,FALSE))</f>
        <v>-</v>
      </c>
      <c r="AW63" s="53" t="str">
        <f>IF($A63="-","-",VLOOKUP($A63,[4]Controle!$A$6:$CC$25,AW$48,FALSE))</f>
        <v>-</v>
      </c>
      <c r="AX63" s="53" t="str">
        <f>IF($A63="-","-",VLOOKUP($A63,[4]Controle!$A$6:$CC$25,AX$48,FALSE))</f>
        <v>-</v>
      </c>
      <c r="AY63" s="53" t="str">
        <f>IF($A63="-","-",VLOOKUP($A63,[4]Controle!$A$6:$CC$25,AY$48,FALSE))</f>
        <v>-</v>
      </c>
      <c r="AZ63" s="53" t="str">
        <f>IF($A63="-","-",VLOOKUP($A63,[4]Controle!$A$6:$CC$25,AZ$48,FALSE))</f>
        <v>-</v>
      </c>
      <c r="BA63" s="53" t="str">
        <f>IF($A63="-","-",VLOOKUP($A63,[4]Controle!$A$6:$CC$25,BA$48,FALSE))</f>
        <v>-</v>
      </c>
      <c r="BB63" s="53" t="str">
        <f>IF($A63="-","-",VLOOKUP($A63,[4]Controle!$A$6:$CC$25,BB$48,FALSE))</f>
        <v>-</v>
      </c>
      <c r="BC63" s="53" t="str">
        <f>IF($A63="-","-",VLOOKUP($A63,[4]Controle!$A$6:$CC$25,BC$48,FALSE))</f>
        <v>-</v>
      </c>
      <c r="BD63" s="53" t="str">
        <f>IF($A63="-","-",VLOOKUP($A63,[4]Controle!$A$6:$CC$25,BD$48,FALSE))</f>
        <v>-</v>
      </c>
      <c r="BE63" s="53" t="str">
        <f>IF($A63="-","-",VLOOKUP($A63,[4]Controle!$A$6:$CC$25,BE$48,FALSE))</f>
        <v>-</v>
      </c>
      <c r="BF63" s="53" t="str">
        <f>IF($A63="-","-",VLOOKUP($A63,[4]Controle!$A$6:$CC$25,BF$48,FALSE))</f>
        <v>-</v>
      </c>
      <c r="BG63" s="53" t="str">
        <f>IF($A63="-","-",VLOOKUP($A63,[4]Controle!$A$6:$CC$25,BG$48,FALSE))</f>
        <v>-</v>
      </c>
      <c r="BH63" s="53" t="str">
        <f>IF($A63="-","-",VLOOKUP($A63,[4]Controle!$A$6:$CC$25,BH$48,FALSE))</f>
        <v>-</v>
      </c>
      <c r="BI63" s="53" t="str">
        <f>IF($A63="-","-",VLOOKUP($A63,[4]Controle!$A$6:$CC$25,BI$48,FALSE))</f>
        <v>-</v>
      </c>
      <c r="BJ63" s="53" t="str">
        <f>IF($A63="-","-",VLOOKUP($A63,[4]Controle!$A$6:$CC$25,BJ$48,FALSE))</f>
        <v>-</v>
      </c>
      <c r="BK63" s="53" t="str">
        <f>IF($A63="-","-",VLOOKUP($A63,[4]Controle!$A$6:$CC$25,BK$48,FALSE))</f>
        <v>-</v>
      </c>
      <c r="BL63" s="53" t="str">
        <f>IF($A63="-","-",VLOOKUP($A63,[4]Controle!$A$6:$CC$25,BL$48,FALSE))</f>
        <v>-</v>
      </c>
      <c r="BM63" s="53" t="str">
        <f>IF($A63="-","-",VLOOKUP($A63,[4]Controle!$A$6:$CC$25,BM$48,FALSE))</f>
        <v>-</v>
      </c>
      <c r="BN63" s="53" t="str">
        <f>IF($A63="-","-",VLOOKUP($A63,[4]Controle!$A$6:$CC$25,BN$48,FALSE))</f>
        <v>-</v>
      </c>
      <c r="BO63" s="53" t="str">
        <f>IF($A63="-","-",VLOOKUP($A63,[4]Controle!$A$6:$CC$25,BO$48,FALSE))</f>
        <v>-</v>
      </c>
      <c r="BP63" s="53" t="str">
        <f>IF($A63="-","-",VLOOKUP($A63,[4]Controle!$A$6:$CC$25,BP$48,FALSE))</f>
        <v>-</v>
      </c>
      <c r="BQ63" s="53" t="str">
        <f>IF($A63="-","-",VLOOKUP($A63,[4]Controle!$A$6:$CC$25,BQ$48,FALSE))</f>
        <v>-</v>
      </c>
      <c r="BR63" s="53" t="str">
        <f>IF($A63="-","-",VLOOKUP($A63,[4]Controle!$A$6:$CC$25,BR$48,FALSE))</f>
        <v>-</v>
      </c>
      <c r="BS63" s="53" t="str">
        <f>IF($A63="-","-",VLOOKUP($A63,[4]Controle!$A$6:$CC$25,BS$48,FALSE))</f>
        <v>-</v>
      </c>
      <c r="BT63" s="53" t="str">
        <f>IF($A63="-","-",VLOOKUP($A63,[4]Controle!$A$6:$CC$25,BT$48,FALSE))</f>
        <v>-</v>
      </c>
      <c r="BU63" s="53" t="str">
        <f>IF($A63="-","-",VLOOKUP($A63,[4]Controle!$A$6:$CC$25,BU$48,FALSE))</f>
        <v>-</v>
      </c>
      <c r="BV63" s="53" t="str">
        <f>IF($A63="-","-",VLOOKUP($A63,[4]Controle!$A$6:$CC$25,BV$48,FALSE))</f>
        <v>-</v>
      </c>
      <c r="BW63" s="53" t="str">
        <f>IF($A63="-","-",VLOOKUP($A63,[4]Controle!$A$6:$CC$25,BW$48,FALSE))</f>
        <v>-</v>
      </c>
      <c r="BX63" s="53" t="str">
        <f>IF($A63="-","-",VLOOKUP($A63,[4]Controle!$A$6:$CC$25,BX$48,FALSE))</f>
        <v>-</v>
      </c>
      <c r="BY63" s="53" t="str">
        <f>IF($A63="-","-",VLOOKUP($A63,[4]Controle!$A$6:$CC$25,BY$48,FALSE))</f>
        <v>-</v>
      </c>
      <c r="BZ63" s="53" t="str">
        <f>IF($A63="-","-",VLOOKUP($A63,[4]Controle!$A$6:$CC$25,BZ$48,FALSE))</f>
        <v>-</v>
      </c>
      <c r="CA63" s="53" t="str">
        <f>IF($A63="-","-",VLOOKUP($A63,[4]Controle!$A$6:$CC$25,CA$48,FALSE))</f>
        <v>-</v>
      </c>
      <c r="CB63" s="53" t="str">
        <f>IF($A63="-","-",VLOOKUP($A63,[4]Controle!$A$6:$CC$25,CB$48,FALSE))</f>
        <v>-</v>
      </c>
      <c r="CC63" s="53" t="str">
        <f>IF($A63="-","-",VLOOKUP($A63,[4]Controle!$A$6:$CC$25,CC$48,FALSE))</f>
        <v>-</v>
      </c>
      <c r="CT63" s="41">
        <f>IF(CV63="-",0,MAX($CT$51:CT62)+1)</f>
        <v>0</v>
      </c>
      <c r="CU63" s="53" t="str">
        <f t="shared" si="28"/>
        <v>-</v>
      </c>
      <c r="CV63" s="53" t="str">
        <f t="shared" si="23"/>
        <v>-</v>
      </c>
      <c r="CW63" s="53" t="str">
        <f t="shared" si="29"/>
        <v>-</v>
      </c>
      <c r="CY63" s="41" t="str">
        <f t="shared" si="25"/>
        <v>-</v>
      </c>
    </row>
    <row r="64" spans="1:103" x14ac:dyDescent="0.3">
      <c r="A64" s="56" t="s">
        <v>54</v>
      </c>
      <c r="B64" s="53" t="str">
        <f>IF($A64="-","-",VLOOKUP($A64,[4]Controle!$A$6:$CC$25,B$48,FALSE))</f>
        <v>-</v>
      </c>
      <c r="C64" s="53" t="str">
        <f>IF($A64="-","-",VLOOKUP($A64,[4]Controle!$A$6:$CC$25,C$48,FALSE))</f>
        <v>-</v>
      </c>
      <c r="D64" s="53" t="str">
        <f>IF($A64="-","-",VLOOKUP($A64,[4]Controle!$A$6:$CC$25,D$48,FALSE))</f>
        <v>-</v>
      </c>
      <c r="E64" s="53" t="str">
        <f>IF($A64="-","-",VLOOKUP($A64,[4]Controle!$A$6:$CC$25,E$48,FALSE))</f>
        <v>-</v>
      </c>
      <c r="F64" s="53" t="str">
        <f>IF($A64="-","-",VLOOKUP($A64,[4]Controle!$A$6:$CC$25,F$48,FALSE))</f>
        <v>-</v>
      </c>
      <c r="G64" s="54" t="str">
        <f>IF($A64="-","-",VLOOKUP($A64,[4]Controle!$A$6:$CC$25,G$48,FALSE))</f>
        <v>-</v>
      </c>
      <c r="H64" s="55" t="str">
        <f>IF($A64="-","-",VLOOKUP($A64,[4]Controle!$A$6:$CC$25,H$48,FALSE))</f>
        <v>-</v>
      </c>
      <c r="I64" s="53" t="str">
        <f>IF($A64="-","-",VLOOKUP($A64,[4]Controle!$A$6:$CC$25,I$48,FALSE))</f>
        <v>-</v>
      </c>
      <c r="J64" s="53" t="str">
        <f>IF($A64="-","-",VLOOKUP($A64,[4]Controle!$A$6:$CC$25,J$48,FALSE))</f>
        <v>-</v>
      </c>
      <c r="K64" s="53" t="str">
        <f>IF($A64="-","-",VLOOKUP($A64,[4]Controle!$A$6:$CC$25,K$48,FALSE))</f>
        <v>-</v>
      </c>
      <c r="L64" s="53" t="str">
        <f>IF($A64="-","-",VLOOKUP($A64,[4]Controle!$A$6:$CC$25,L$48,FALSE))</f>
        <v>-</v>
      </c>
      <c r="M64" s="53" t="str">
        <f>IF($A64="-","-",VLOOKUP($A64,[4]Controle!$A$6:$CC$25,M$48,FALSE))</f>
        <v>-</v>
      </c>
      <c r="N64" s="53" t="str">
        <f>IF($A64="-","-",VLOOKUP($A64,[4]Controle!$A$6:$CC$25,N$48,FALSE))</f>
        <v>-</v>
      </c>
      <c r="O64" s="53" t="str">
        <f>IF($A64="-","-",VLOOKUP($A64,[4]Controle!$A$6:$CC$25,O$48,FALSE))</f>
        <v>-</v>
      </c>
      <c r="P64" s="53" t="str">
        <f>IF($A64="-","-",VLOOKUP($A64,[4]Controle!$A$6:$CC$25,P$48,FALSE))</f>
        <v>-</v>
      </c>
      <c r="Q64" s="53" t="str">
        <f>IF($A64="-","-",VLOOKUP($A64,[4]Controle!$A$6:$CC$25,Q$48,FALSE))</f>
        <v>-</v>
      </c>
      <c r="R64" s="53" t="str">
        <f>IF($A64="-","-",VLOOKUP($A64,[4]Controle!$A$6:$CC$25,R$48,FALSE))</f>
        <v>-</v>
      </c>
      <c r="S64" s="53" t="str">
        <f>IF($A64="-","-",VLOOKUP($A64,[4]Controle!$A$6:$CC$25,S$48,FALSE))</f>
        <v>-</v>
      </c>
      <c r="T64" s="53" t="str">
        <f>IF($A64="-","-",VLOOKUP($A64,[4]Controle!$A$6:$CC$25,T$48,FALSE))</f>
        <v>-</v>
      </c>
      <c r="U64" s="53" t="str">
        <f>IF($A64="-","-",VLOOKUP($A64,[4]Controle!$A$6:$CC$25,U$48,FALSE))</f>
        <v>-</v>
      </c>
      <c r="V64" s="53" t="str">
        <f>IF($A64="-","-",VLOOKUP($A64,[4]Controle!$A$6:$CC$25,V$48,FALSE))</f>
        <v>-</v>
      </c>
      <c r="W64" s="53" t="str">
        <f>IF($A64="-","-",VLOOKUP($A64,[4]Controle!$A$6:$CC$25,W$48,FALSE))</f>
        <v>-</v>
      </c>
      <c r="X64" s="53" t="str">
        <f>IF($A64="-","-",VLOOKUP($A64,[4]Controle!$A$6:$CC$25,X$48,FALSE))</f>
        <v>-</v>
      </c>
      <c r="Y64" s="53" t="str">
        <f>IF($A64="-","-",VLOOKUP($A64,[4]Controle!$A$6:$CC$25,Y$48,FALSE))</f>
        <v>-</v>
      </c>
      <c r="Z64" s="53" t="str">
        <f>IF($A64="-","-",VLOOKUP($A64,[4]Controle!$A$6:$CC$25,Z$48,FALSE))</f>
        <v>-</v>
      </c>
      <c r="AA64" s="53" t="str">
        <f>IF($A64="-","-",VLOOKUP($A64,[4]Controle!$A$6:$CC$25,AA$48,FALSE))</f>
        <v>-</v>
      </c>
      <c r="AB64" s="53" t="str">
        <f>IF($A64="-","-",VLOOKUP($A64,[4]Controle!$A$6:$CC$25,AB$48,FALSE))</f>
        <v>-</v>
      </c>
      <c r="AC64" s="53" t="str">
        <f>IF($A64="-","-",VLOOKUP($A64,[4]Controle!$A$6:$CC$25,AC$48,FALSE))</f>
        <v>-</v>
      </c>
      <c r="AD64" s="53" t="str">
        <f>IF($A64="-","-",VLOOKUP($A64,[4]Controle!$A$6:$CC$25,AD$48,FALSE))</f>
        <v>-</v>
      </c>
      <c r="AE64" s="53" t="str">
        <f>IF($A64="-","-",VLOOKUP($A64,[4]Controle!$A$6:$CC$25,AE$48,FALSE))</f>
        <v>-</v>
      </c>
      <c r="AF64" s="53" t="str">
        <f>IF($A64="-","-",VLOOKUP($A64,[4]Controle!$A$6:$CC$25,AF$48,FALSE))</f>
        <v>-</v>
      </c>
      <c r="AG64" s="53" t="str">
        <f>IF($A64="-","-",VLOOKUP($A64,[4]Controle!$A$6:$CC$25,AG$48,FALSE))</f>
        <v>-</v>
      </c>
      <c r="AH64" s="53" t="str">
        <f>IF($A64="-","-",VLOOKUP($A64,[4]Controle!$A$6:$CC$25,AH$48,FALSE))</f>
        <v>-</v>
      </c>
      <c r="AI64" s="53" t="str">
        <f>IF($A64="-","-",VLOOKUP($A64,[4]Controle!$A$6:$CC$25,AI$48,FALSE))</f>
        <v>-</v>
      </c>
      <c r="AJ64" s="53" t="str">
        <f>IF($A64="-","-",VLOOKUP($A64,[4]Controle!$A$6:$CC$25,AJ$48,FALSE))</f>
        <v>-</v>
      </c>
      <c r="AK64" s="53" t="str">
        <f>IF($A64="-","-",VLOOKUP($A64,[4]Controle!$A$6:$CC$25,AK$48,FALSE))</f>
        <v>-</v>
      </c>
      <c r="AL64" s="53" t="str">
        <f>IF($A64="-","-",VLOOKUP($A64,[4]Controle!$A$6:$CC$25,AL$48,FALSE))</f>
        <v>-</v>
      </c>
      <c r="AM64" s="53" t="str">
        <f>IF($A64="-","-",VLOOKUP($A64,[4]Controle!$A$6:$CC$25,AM$48,FALSE))</f>
        <v>-</v>
      </c>
      <c r="AN64" s="53" t="str">
        <f>IF($A64="-","-",VLOOKUP($A64,[4]Controle!$A$6:$CC$25,AN$48,FALSE))</f>
        <v>-</v>
      </c>
      <c r="AO64" s="53" t="str">
        <f>IF($A64="-","-",VLOOKUP($A64,[4]Controle!$A$6:$CC$25,AO$48,FALSE))</f>
        <v>-</v>
      </c>
      <c r="AP64" s="53" t="str">
        <f>IF($A64="-","-",VLOOKUP($A64,[4]Controle!$A$6:$CC$25,AP$48,FALSE))</f>
        <v>-</v>
      </c>
      <c r="AQ64" s="53" t="str">
        <f>IF($A64="-","-",VLOOKUP($A64,[4]Controle!$A$6:$CC$25,AQ$48,FALSE))</f>
        <v>-</v>
      </c>
      <c r="AR64" s="53" t="str">
        <f>IF($A64="-","-",VLOOKUP($A64,[4]Controle!$A$6:$CC$25,AR$48,FALSE))</f>
        <v>-</v>
      </c>
      <c r="AS64" s="53" t="str">
        <f>IF($A64="-","-",VLOOKUP($A64,[4]Controle!$A$6:$CC$25,AS$48,FALSE))</f>
        <v>-</v>
      </c>
      <c r="AT64" s="53" t="str">
        <f>IF($A64="-","-",VLOOKUP($A64,[4]Controle!$A$6:$CC$25,AT$48,FALSE))</f>
        <v>-</v>
      </c>
      <c r="AU64" s="53" t="str">
        <f>IF($A64="-","-",VLOOKUP($A64,[4]Controle!$A$6:$CC$25,AU$48,FALSE))</f>
        <v>-</v>
      </c>
      <c r="AV64" s="53" t="str">
        <f>IF($A64="-","-",VLOOKUP($A64,[4]Controle!$A$6:$CC$25,AV$48,FALSE))</f>
        <v>-</v>
      </c>
      <c r="AW64" s="53" t="str">
        <f>IF($A64="-","-",VLOOKUP($A64,[4]Controle!$A$6:$CC$25,AW$48,FALSE))</f>
        <v>-</v>
      </c>
      <c r="AX64" s="53" t="str">
        <f>IF($A64="-","-",VLOOKUP($A64,[4]Controle!$A$6:$CC$25,AX$48,FALSE))</f>
        <v>-</v>
      </c>
      <c r="AY64" s="53" t="str">
        <f>IF($A64="-","-",VLOOKUP($A64,[4]Controle!$A$6:$CC$25,AY$48,FALSE))</f>
        <v>-</v>
      </c>
      <c r="AZ64" s="53" t="str">
        <f>IF($A64="-","-",VLOOKUP($A64,[4]Controle!$A$6:$CC$25,AZ$48,FALSE))</f>
        <v>-</v>
      </c>
      <c r="BA64" s="53" t="str">
        <f>IF($A64="-","-",VLOOKUP($A64,[4]Controle!$A$6:$CC$25,BA$48,FALSE))</f>
        <v>-</v>
      </c>
      <c r="BB64" s="53" t="str">
        <f>IF($A64="-","-",VLOOKUP($A64,[4]Controle!$A$6:$CC$25,BB$48,FALSE))</f>
        <v>-</v>
      </c>
      <c r="BC64" s="53" t="str">
        <f>IF($A64="-","-",VLOOKUP($A64,[4]Controle!$A$6:$CC$25,BC$48,FALSE))</f>
        <v>-</v>
      </c>
      <c r="BD64" s="53" t="str">
        <f>IF($A64="-","-",VLOOKUP($A64,[4]Controle!$A$6:$CC$25,BD$48,FALSE))</f>
        <v>-</v>
      </c>
      <c r="BE64" s="53" t="str">
        <f>IF($A64="-","-",VLOOKUP($A64,[4]Controle!$A$6:$CC$25,BE$48,FALSE))</f>
        <v>-</v>
      </c>
      <c r="BF64" s="53" t="str">
        <f>IF($A64="-","-",VLOOKUP($A64,[4]Controle!$A$6:$CC$25,BF$48,FALSE))</f>
        <v>-</v>
      </c>
      <c r="BG64" s="53" t="str">
        <f>IF($A64="-","-",VLOOKUP($A64,[4]Controle!$A$6:$CC$25,BG$48,FALSE))</f>
        <v>-</v>
      </c>
      <c r="BH64" s="53" t="str">
        <f>IF($A64="-","-",VLOOKUP($A64,[4]Controle!$A$6:$CC$25,BH$48,FALSE))</f>
        <v>-</v>
      </c>
      <c r="BI64" s="53" t="str">
        <f>IF($A64="-","-",VLOOKUP($A64,[4]Controle!$A$6:$CC$25,BI$48,FALSE))</f>
        <v>-</v>
      </c>
      <c r="BJ64" s="53" t="str">
        <f>IF($A64="-","-",VLOOKUP($A64,[4]Controle!$A$6:$CC$25,BJ$48,FALSE))</f>
        <v>-</v>
      </c>
      <c r="BK64" s="53" t="str">
        <f>IF($A64="-","-",VLOOKUP($A64,[4]Controle!$A$6:$CC$25,BK$48,FALSE))</f>
        <v>-</v>
      </c>
      <c r="BL64" s="53" t="str">
        <f>IF($A64="-","-",VLOOKUP($A64,[4]Controle!$A$6:$CC$25,BL$48,FALSE))</f>
        <v>-</v>
      </c>
      <c r="BM64" s="53" t="str">
        <f>IF($A64="-","-",VLOOKUP($A64,[4]Controle!$A$6:$CC$25,BM$48,FALSE))</f>
        <v>-</v>
      </c>
      <c r="BN64" s="53" t="str">
        <f>IF($A64="-","-",VLOOKUP($A64,[4]Controle!$A$6:$CC$25,BN$48,FALSE))</f>
        <v>-</v>
      </c>
      <c r="BO64" s="53" t="str">
        <f>IF($A64="-","-",VLOOKUP($A64,[4]Controle!$A$6:$CC$25,BO$48,FALSE))</f>
        <v>-</v>
      </c>
      <c r="BP64" s="53" t="str">
        <f>IF($A64="-","-",VLOOKUP($A64,[4]Controle!$A$6:$CC$25,BP$48,FALSE))</f>
        <v>-</v>
      </c>
      <c r="BQ64" s="53" t="str">
        <f>IF($A64="-","-",VLOOKUP($A64,[4]Controle!$A$6:$CC$25,BQ$48,FALSE))</f>
        <v>-</v>
      </c>
      <c r="BR64" s="53" t="str">
        <f>IF($A64="-","-",VLOOKUP($A64,[4]Controle!$A$6:$CC$25,BR$48,FALSE))</f>
        <v>-</v>
      </c>
      <c r="BS64" s="53" t="str">
        <f>IF($A64="-","-",VLOOKUP($A64,[4]Controle!$A$6:$CC$25,BS$48,FALSE))</f>
        <v>-</v>
      </c>
      <c r="BT64" s="53" t="str">
        <f>IF($A64="-","-",VLOOKUP($A64,[4]Controle!$A$6:$CC$25,BT$48,FALSE))</f>
        <v>-</v>
      </c>
      <c r="BU64" s="53" t="str">
        <f>IF($A64="-","-",VLOOKUP($A64,[4]Controle!$A$6:$CC$25,BU$48,FALSE))</f>
        <v>-</v>
      </c>
      <c r="BV64" s="53" t="str">
        <f>IF($A64="-","-",VLOOKUP($A64,[4]Controle!$A$6:$CC$25,BV$48,FALSE))</f>
        <v>-</v>
      </c>
      <c r="BW64" s="53" t="str">
        <f>IF($A64="-","-",VLOOKUP($A64,[4]Controle!$A$6:$CC$25,BW$48,FALSE))</f>
        <v>-</v>
      </c>
      <c r="BX64" s="53" t="str">
        <f>IF($A64="-","-",VLOOKUP($A64,[4]Controle!$A$6:$CC$25,BX$48,FALSE))</f>
        <v>-</v>
      </c>
      <c r="BY64" s="53" t="str">
        <f>IF($A64="-","-",VLOOKUP($A64,[4]Controle!$A$6:$CC$25,BY$48,FALSE))</f>
        <v>-</v>
      </c>
      <c r="BZ64" s="53" t="str">
        <f>IF($A64="-","-",VLOOKUP($A64,[4]Controle!$A$6:$CC$25,BZ$48,FALSE))</f>
        <v>-</v>
      </c>
      <c r="CA64" s="53" t="str">
        <f>IF($A64="-","-",VLOOKUP($A64,[4]Controle!$A$6:$CC$25,CA$48,FALSE))</f>
        <v>-</v>
      </c>
      <c r="CB64" s="53" t="str">
        <f>IF($A64="-","-",VLOOKUP($A64,[4]Controle!$A$6:$CC$25,CB$48,FALSE))</f>
        <v>-</v>
      </c>
      <c r="CC64" s="53" t="str">
        <f>IF($A64="-","-",VLOOKUP($A64,[4]Controle!$A$6:$CC$25,CC$48,FALSE))</f>
        <v>-</v>
      </c>
      <c r="CT64" s="41">
        <f>IF(CV64="-",0,MAX($CT$51:CT63)+1)</f>
        <v>0</v>
      </c>
      <c r="CU64" s="53" t="str">
        <f t="shared" si="28"/>
        <v>-</v>
      </c>
      <c r="CV64" s="53" t="str">
        <f t="shared" si="23"/>
        <v>-</v>
      </c>
      <c r="CW64" s="53" t="str">
        <f t="shared" si="29"/>
        <v>-</v>
      </c>
      <c r="CY64" s="41" t="str">
        <f t="shared" si="25"/>
        <v>-</v>
      </c>
    </row>
    <row r="65" spans="1:103" x14ac:dyDescent="0.3">
      <c r="A65" s="56" t="s">
        <v>54</v>
      </c>
      <c r="B65" s="53" t="str">
        <f>IF($A65="-","-",VLOOKUP($A65,[4]Controle!$A$6:$CC$25,B$48,FALSE))</f>
        <v>-</v>
      </c>
      <c r="C65" s="53" t="str">
        <f>IF($A65="-","-",VLOOKUP($A65,[4]Controle!$A$6:$CC$25,C$48,FALSE))</f>
        <v>-</v>
      </c>
      <c r="D65" s="53" t="str">
        <f>IF($A65="-","-",VLOOKUP($A65,[4]Controle!$A$6:$CC$25,D$48,FALSE))</f>
        <v>-</v>
      </c>
      <c r="E65" s="53" t="str">
        <f>IF($A65="-","-",VLOOKUP($A65,[4]Controle!$A$6:$CC$25,E$48,FALSE))</f>
        <v>-</v>
      </c>
      <c r="F65" s="53" t="str">
        <f>IF($A65="-","-",VLOOKUP($A65,[4]Controle!$A$6:$CC$25,F$48,FALSE))</f>
        <v>-</v>
      </c>
      <c r="G65" s="54" t="str">
        <f>IF($A65="-","-",VLOOKUP($A65,[4]Controle!$A$6:$CC$25,G$48,FALSE))</f>
        <v>-</v>
      </c>
      <c r="H65" s="55" t="str">
        <f>IF($A65="-","-",VLOOKUP($A65,[4]Controle!$A$6:$CC$25,H$48,FALSE))</f>
        <v>-</v>
      </c>
      <c r="I65" s="53" t="str">
        <f>IF($A65="-","-",VLOOKUP($A65,[4]Controle!$A$6:$CC$25,I$48,FALSE))</f>
        <v>-</v>
      </c>
      <c r="J65" s="53" t="str">
        <f>IF($A65="-","-",VLOOKUP($A65,[4]Controle!$A$6:$CC$25,J$48,FALSE))</f>
        <v>-</v>
      </c>
      <c r="K65" s="53" t="str">
        <f>IF($A65="-","-",VLOOKUP($A65,[4]Controle!$A$6:$CC$25,K$48,FALSE))</f>
        <v>-</v>
      </c>
      <c r="L65" s="53" t="str">
        <f>IF($A65="-","-",VLOOKUP($A65,[4]Controle!$A$6:$CC$25,L$48,FALSE))</f>
        <v>-</v>
      </c>
      <c r="M65" s="53" t="str">
        <f>IF($A65="-","-",VLOOKUP($A65,[4]Controle!$A$6:$CC$25,M$48,FALSE))</f>
        <v>-</v>
      </c>
      <c r="N65" s="53" t="str">
        <f>IF($A65="-","-",VLOOKUP($A65,[4]Controle!$A$6:$CC$25,N$48,FALSE))</f>
        <v>-</v>
      </c>
      <c r="O65" s="53" t="str">
        <f>IF($A65="-","-",VLOOKUP($A65,[4]Controle!$A$6:$CC$25,O$48,FALSE))</f>
        <v>-</v>
      </c>
      <c r="P65" s="53" t="str">
        <f>IF($A65="-","-",VLOOKUP($A65,[4]Controle!$A$6:$CC$25,P$48,FALSE))</f>
        <v>-</v>
      </c>
      <c r="Q65" s="53" t="str">
        <f>IF($A65="-","-",VLOOKUP($A65,[4]Controle!$A$6:$CC$25,Q$48,FALSE))</f>
        <v>-</v>
      </c>
      <c r="R65" s="53" t="str">
        <f>IF($A65="-","-",VLOOKUP($A65,[4]Controle!$A$6:$CC$25,R$48,FALSE))</f>
        <v>-</v>
      </c>
      <c r="S65" s="53" t="str">
        <f>IF($A65="-","-",VLOOKUP($A65,[4]Controle!$A$6:$CC$25,S$48,FALSE))</f>
        <v>-</v>
      </c>
      <c r="T65" s="53" t="str">
        <f>IF($A65="-","-",VLOOKUP($A65,[4]Controle!$A$6:$CC$25,T$48,FALSE))</f>
        <v>-</v>
      </c>
      <c r="U65" s="53" t="str">
        <f>IF($A65="-","-",VLOOKUP($A65,[4]Controle!$A$6:$CC$25,U$48,FALSE))</f>
        <v>-</v>
      </c>
      <c r="V65" s="53" t="str">
        <f>IF($A65="-","-",VLOOKUP($A65,[4]Controle!$A$6:$CC$25,V$48,FALSE))</f>
        <v>-</v>
      </c>
      <c r="W65" s="53" t="str">
        <f>IF($A65="-","-",VLOOKUP($A65,[4]Controle!$A$6:$CC$25,W$48,FALSE))</f>
        <v>-</v>
      </c>
      <c r="X65" s="53" t="str">
        <f>IF($A65="-","-",VLOOKUP($A65,[4]Controle!$A$6:$CC$25,X$48,FALSE))</f>
        <v>-</v>
      </c>
      <c r="Y65" s="53" t="str">
        <f>IF($A65="-","-",VLOOKUP($A65,[4]Controle!$A$6:$CC$25,Y$48,FALSE))</f>
        <v>-</v>
      </c>
      <c r="Z65" s="53" t="str">
        <f>IF($A65="-","-",VLOOKUP($A65,[4]Controle!$A$6:$CC$25,Z$48,FALSE))</f>
        <v>-</v>
      </c>
      <c r="AA65" s="53" t="str">
        <f>IF($A65="-","-",VLOOKUP($A65,[4]Controle!$A$6:$CC$25,AA$48,FALSE))</f>
        <v>-</v>
      </c>
      <c r="AB65" s="53" t="str">
        <f>IF($A65="-","-",VLOOKUP($A65,[4]Controle!$A$6:$CC$25,AB$48,FALSE))</f>
        <v>-</v>
      </c>
      <c r="AC65" s="53" t="str">
        <f>IF($A65="-","-",VLOOKUP($A65,[4]Controle!$A$6:$CC$25,AC$48,FALSE))</f>
        <v>-</v>
      </c>
      <c r="AD65" s="53" t="str">
        <f>IF($A65="-","-",VLOOKUP($A65,[4]Controle!$A$6:$CC$25,AD$48,FALSE))</f>
        <v>-</v>
      </c>
      <c r="AE65" s="53" t="str">
        <f>IF($A65="-","-",VLOOKUP($A65,[4]Controle!$A$6:$CC$25,AE$48,FALSE))</f>
        <v>-</v>
      </c>
      <c r="AF65" s="53" t="str">
        <f>IF($A65="-","-",VLOOKUP($A65,[4]Controle!$A$6:$CC$25,AF$48,FALSE))</f>
        <v>-</v>
      </c>
      <c r="AG65" s="53" t="str">
        <f>IF($A65="-","-",VLOOKUP($A65,[4]Controle!$A$6:$CC$25,AG$48,FALSE))</f>
        <v>-</v>
      </c>
      <c r="AH65" s="53" t="str">
        <f>IF($A65="-","-",VLOOKUP($A65,[4]Controle!$A$6:$CC$25,AH$48,FALSE))</f>
        <v>-</v>
      </c>
      <c r="AI65" s="53" t="str">
        <f>IF($A65="-","-",VLOOKUP($A65,[4]Controle!$A$6:$CC$25,AI$48,FALSE))</f>
        <v>-</v>
      </c>
      <c r="AJ65" s="53" t="str">
        <f>IF($A65="-","-",VLOOKUP($A65,[4]Controle!$A$6:$CC$25,AJ$48,FALSE))</f>
        <v>-</v>
      </c>
      <c r="AK65" s="53" t="str">
        <f>IF($A65="-","-",VLOOKUP($A65,[4]Controle!$A$6:$CC$25,AK$48,FALSE))</f>
        <v>-</v>
      </c>
      <c r="AL65" s="53" t="str">
        <f>IF($A65="-","-",VLOOKUP($A65,[4]Controle!$A$6:$CC$25,AL$48,FALSE))</f>
        <v>-</v>
      </c>
      <c r="AM65" s="53" t="str">
        <f>IF($A65="-","-",VLOOKUP($A65,[4]Controle!$A$6:$CC$25,AM$48,FALSE))</f>
        <v>-</v>
      </c>
      <c r="AN65" s="53" t="str">
        <f>IF($A65="-","-",VLOOKUP($A65,[4]Controle!$A$6:$CC$25,AN$48,FALSE))</f>
        <v>-</v>
      </c>
      <c r="AO65" s="53" t="str">
        <f>IF($A65="-","-",VLOOKUP($A65,[4]Controle!$A$6:$CC$25,AO$48,FALSE))</f>
        <v>-</v>
      </c>
      <c r="AP65" s="53" t="str">
        <f>IF($A65="-","-",VLOOKUP($A65,[4]Controle!$A$6:$CC$25,AP$48,FALSE))</f>
        <v>-</v>
      </c>
      <c r="AQ65" s="53" t="str">
        <f>IF($A65="-","-",VLOOKUP($A65,[4]Controle!$A$6:$CC$25,AQ$48,FALSE))</f>
        <v>-</v>
      </c>
      <c r="AR65" s="53" t="str">
        <f>IF($A65="-","-",VLOOKUP($A65,[4]Controle!$A$6:$CC$25,AR$48,FALSE))</f>
        <v>-</v>
      </c>
      <c r="AS65" s="53" t="str">
        <f>IF($A65="-","-",VLOOKUP($A65,[4]Controle!$A$6:$CC$25,AS$48,FALSE))</f>
        <v>-</v>
      </c>
      <c r="AT65" s="53" t="str">
        <f>IF($A65="-","-",VLOOKUP($A65,[4]Controle!$A$6:$CC$25,AT$48,FALSE))</f>
        <v>-</v>
      </c>
      <c r="AU65" s="53" t="str">
        <f>IF($A65="-","-",VLOOKUP($A65,[4]Controle!$A$6:$CC$25,AU$48,FALSE))</f>
        <v>-</v>
      </c>
      <c r="AV65" s="53" t="str">
        <f>IF($A65="-","-",VLOOKUP($A65,[4]Controle!$A$6:$CC$25,AV$48,FALSE))</f>
        <v>-</v>
      </c>
      <c r="AW65" s="53" t="str">
        <f>IF($A65="-","-",VLOOKUP($A65,[4]Controle!$A$6:$CC$25,AW$48,FALSE))</f>
        <v>-</v>
      </c>
      <c r="AX65" s="53" t="str">
        <f>IF($A65="-","-",VLOOKUP($A65,[4]Controle!$A$6:$CC$25,AX$48,FALSE))</f>
        <v>-</v>
      </c>
      <c r="AY65" s="53" t="str">
        <f>IF($A65="-","-",VLOOKUP($A65,[4]Controle!$A$6:$CC$25,AY$48,FALSE))</f>
        <v>-</v>
      </c>
      <c r="AZ65" s="53" t="str">
        <f>IF($A65="-","-",VLOOKUP($A65,[4]Controle!$A$6:$CC$25,AZ$48,FALSE))</f>
        <v>-</v>
      </c>
      <c r="BA65" s="53" t="str">
        <f>IF($A65="-","-",VLOOKUP($A65,[4]Controle!$A$6:$CC$25,BA$48,FALSE))</f>
        <v>-</v>
      </c>
      <c r="BB65" s="53" t="str">
        <f>IF($A65="-","-",VLOOKUP($A65,[4]Controle!$A$6:$CC$25,BB$48,FALSE))</f>
        <v>-</v>
      </c>
      <c r="BC65" s="53" t="str">
        <f>IF($A65="-","-",VLOOKUP($A65,[4]Controle!$A$6:$CC$25,BC$48,FALSE))</f>
        <v>-</v>
      </c>
      <c r="BD65" s="53" t="str">
        <f>IF($A65="-","-",VLOOKUP($A65,[4]Controle!$A$6:$CC$25,BD$48,FALSE))</f>
        <v>-</v>
      </c>
      <c r="BE65" s="53" t="str">
        <f>IF($A65="-","-",VLOOKUP($A65,[4]Controle!$A$6:$CC$25,BE$48,FALSE))</f>
        <v>-</v>
      </c>
      <c r="BF65" s="53" t="str">
        <f>IF($A65="-","-",VLOOKUP($A65,[4]Controle!$A$6:$CC$25,BF$48,FALSE))</f>
        <v>-</v>
      </c>
      <c r="BG65" s="53" t="str">
        <f>IF($A65="-","-",VLOOKUP($A65,[4]Controle!$A$6:$CC$25,BG$48,FALSE))</f>
        <v>-</v>
      </c>
      <c r="BH65" s="53" t="str">
        <f>IF($A65="-","-",VLOOKUP($A65,[4]Controle!$A$6:$CC$25,BH$48,FALSE))</f>
        <v>-</v>
      </c>
      <c r="BI65" s="53" t="str">
        <f>IF($A65="-","-",VLOOKUP($A65,[4]Controle!$A$6:$CC$25,BI$48,FALSE))</f>
        <v>-</v>
      </c>
      <c r="BJ65" s="53" t="str">
        <f>IF($A65="-","-",VLOOKUP($A65,[4]Controle!$A$6:$CC$25,BJ$48,FALSE))</f>
        <v>-</v>
      </c>
      <c r="BK65" s="53" t="str">
        <f>IF($A65="-","-",VLOOKUP($A65,[4]Controle!$A$6:$CC$25,BK$48,FALSE))</f>
        <v>-</v>
      </c>
      <c r="BL65" s="53" t="str">
        <f>IF($A65="-","-",VLOOKUP($A65,[4]Controle!$A$6:$CC$25,BL$48,FALSE))</f>
        <v>-</v>
      </c>
      <c r="BM65" s="53" t="str">
        <f>IF($A65="-","-",VLOOKUP($A65,[4]Controle!$A$6:$CC$25,BM$48,FALSE))</f>
        <v>-</v>
      </c>
      <c r="BN65" s="53" t="str">
        <f>IF($A65="-","-",VLOOKUP($A65,[4]Controle!$A$6:$CC$25,BN$48,FALSE))</f>
        <v>-</v>
      </c>
      <c r="BO65" s="53" t="str">
        <f>IF($A65="-","-",VLOOKUP($A65,[4]Controle!$A$6:$CC$25,BO$48,FALSE))</f>
        <v>-</v>
      </c>
      <c r="BP65" s="53" t="str">
        <f>IF($A65="-","-",VLOOKUP($A65,[4]Controle!$A$6:$CC$25,BP$48,FALSE))</f>
        <v>-</v>
      </c>
      <c r="BQ65" s="53" t="str">
        <f>IF($A65="-","-",VLOOKUP($A65,[4]Controle!$A$6:$CC$25,BQ$48,FALSE))</f>
        <v>-</v>
      </c>
      <c r="BR65" s="53" t="str">
        <f>IF($A65="-","-",VLOOKUP($A65,[4]Controle!$A$6:$CC$25,BR$48,FALSE))</f>
        <v>-</v>
      </c>
      <c r="BS65" s="53" t="str">
        <f>IF($A65="-","-",VLOOKUP($A65,[4]Controle!$A$6:$CC$25,BS$48,FALSE))</f>
        <v>-</v>
      </c>
      <c r="BT65" s="53" t="str">
        <f>IF($A65="-","-",VLOOKUP($A65,[4]Controle!$A$6:$CC$25,BT$48,FALSE))</f>
        <v>-</v>
      </c>
      <c r="BU65" s="53" t="str">
        <f>IF($A65="-","-",VLOOKUP($A65,[4]Controle!$A$6:$CC$25,BU$48,FALSE))</f>
        <v>-</v>
      </c>
      <c r="BV65" s="53" t="str">
        <f>IF($A65="-","-",VLOOKUP($A65,[4]Controle!$A$6:$CC$25,BV$48,FALSE))</f>
        <v>-</v>
      </c>
      <c r="BW65" s="53" t="str">
        <f>IF($A65="-","-",VLOOKUP($A65,[4]Controle!$A$6:$CC$25,BW$48,FALSE))</f>
        <v>-</v>
      </c>
      <c r="BX65" s="53" t="str">
        <f>IF($A65="-","-",VLOOKUP($A65,[4]Controle!$A$6:$CC$25,BX$48,FALSE))</f>
        <v>-</v>
      </c>
      <c r="BY65" s="53" t="str">
        <f>IF($A65="-","-",VLOOKUP($A65,[4]Controle!$A$6:$CC$25,BY$48,FALSE))</f>
        <v>-</v>
      </c>
      <c r="BZ65" s="53" t="str">
        <f>IF($A65="-","-",VLOOKUP($A65,[4]Controle!$A$6:$CC$25,BZ$48,FALSE))</f>
        <v>-</v>
      </c>
      <c r="CA65" s="53" t="str">
        <f>IF($A65="-","-",VLOOKUP($A65,[4]Controle!$A$6:$CC$25,CA$48,FALSE))</f>
        <v>-</v>
      </c>
      <c r="CB65" s="53" t="str">
        <f>IF($A65="-","-",VLOOKUP($A65,[4]Controle!$A$6:$CC$25,CB$48,FALSE))</f>
        <v>-</v>
      </c>
      <c r="CC65" s="53" t="str">
        <f>IF($A65="-","-",VLOOKUP($A65,[4]Controle!$A$6:$CC$25,CC$48,FALSE))</f>
        <v>-</v>
      </c>
      <c r="CT65" s="41">
        <f>IF(CV65="-",0,MAX($CT$51:CT64)+1)</f>
        <v>0</v>
      </c>
      <c r="CU65" s="53" t="str">
        <f t="shared" si="28"/>
        <v>-</v>
      </c>
      <c r="CV65" s="53" t="str">
        <f t="shared" si="23"/>
        <v>-</v>
      </c>
      <c r="CW65" s="53" t="str">
        <f t="shared" si="29"/>
        <v>-</v>
      </c>
      <c r="CY65" s="41" t="str">
        <f t="shared" si="25"/>
        <v>-</v>
      </c>
    </row>
    <row r="66" spans="1:103" x14ac:dyDescent="0.3">
      <c r="A66" s="56" t="s">
        <v>54</v>
      </c>
      <c r="B66" s="53" t="str">
        <f>IF($A66="-","-",VLOOKUP($A66,[4]Controle!$A$6:$CC$25,B$48,FALSE))</f>
        <v>-</v>
      </c>
      <c r="C66" s="53" t="str">
        <f>IF($A66="-","-",VLOOKUP($A66,[4]Controle!$A$6:$CC$25,C$48,FALSE))</f>
        <v>-</v>
      </c>
      <c r="D66" s="53" t="str">
        <f>IF($A66="-","-",VLOOKUP($A66,[4]Controle!$A$6:$CC$25,D$48,FALSE))</f>
        <v>-</v>
      </c>
      <c r="E66" s="53" t="str">
        <f>IF($A66="-","-",VLOOKUP($A66,[4]Controle!$A$6:$CC$25,E$48,FALSE))</f>
        <v>-</v>
      </c>
      <c r="F66" s="53" t="str">
        <f>IF($A66="-","-",VLOOKUP($A66,[4]Controle!$A$6:$CC$25,F$48,FALSE))</f>
        <v>-</v>
      </c>
      <c r="G66" s="54" t="str">
        <f>IF($A66="-","-",VLOOKUP($A66,[4]Controle!$A$6:$CC$25,G$48,FALSE))</f>
        <v>-</v>
      </c>
      <c r="H66" s="55" t="str">
        <f>IF($A66="-","-",VLOOKUP($A66,[4]Controle!$A$6:$CC$25,H$48,FALSE))</f>
        <v>-</v>
      </c>
      <c r="I66" s="53" t="str">
        <f>IF($A66="-","-",VLOOKUP($A66,[4]Controle!$A$6:$CC$25,I$48,FALSE))</f>
        <v>-</v>
      </c>
      <c r="J66" s="53" t="str">
        <f>IF($A66="-","-",VLOOKUP($A66,[4]Controle!$A$6:$CC$25,J$48,FALSE))</f>
        <v>-</v>
      </c>
      <c r="K66" s="53" t="str">
        <f>IF($A66="-","-",VLOOKUP($A66,[4]Controle!$A$6:$CC$25,K$48,FALSE))</f>
        <v>-</v>
      </c>
      <c r="L66" s="53" t="str">
        <f>IF($A66="-","-",VLOOKUP($A66,[4]Controle!$A$6:$CC$25,L$48,FALSE))</f>
        <v>-</v>
      </c>
      <c r="M66" s="53" t="str">
        <f>IF($A66="-","-",VLOOKUP($A66,[4]Controle!$A$6:$CC$25,M$48,FALSE))</f>
        <v>-</v>
      </c>
      <c r="N66" s="53" t="str">
        <f>IF($A66="-","-",VLOOKUP($A66,[4]Controle!$A$6:$CC$25,N$48,FALSE))</f>
        <v>-</v>
      </c>
      <c r="O66" s="53" t="str">
        <f>IF($A66="-","-",VLOOKUP($A66,[4]Controle!$A$6:$CC$25,O$48,FALSE))</f>
        <v>-</v>
      </c>
      <c r="P66" s="53" t="str">
        <f>IF($A66="-","-",VLOOKUP($A66,[4]Controle!$A$6:$CC$25,P$48,FALSE))</f>
        <v>-</v>
      </c>
      <c r="Q66" s="53" t="str">
        <f>IF($A66="-","-",VLOOKUP($A66,[4]Controle!$A$6:$CC$25,Q$48,FALSE))</f>
        <v>-</v>
      </c>
      <c r="R66" s="53" t="str">
        <f>IF($A66="-","-",VLOOKUP($A66,[4]Controle!$A$6:$CC$25,R$48,FALSE))</f>
        <v>-</v>
      </c>
      <c r="S66" s="53" t="str">
        <f>IF($A66="-","-",VLOOKUP($A66,[4]Controle!$A$6:$CC$25,S$48,FALSE))</f>
        <v>-</v>
      </c>
      <c r="T66" s="53" t="str">
        <f>IF($A66="-","-",VLOOKUP($A66,[4]Controle!$A$6:$CC$25,T$48,FALSE))</f>
        <v>-</v>
      </c>
      <c r="U66" s="53" t="str">
        <f>IF($A66="-","-",VLOOKUP($A66,[4]Controle!$A$6:$CC$25,U$48,FALSE))</f>
        <v>-</v>
      </c>
      <c r="V66" s="53" t="str">
        <f>IF($A66="-","-",VLOOKUP($A66,[4]Controle!$A$6:$CC$25,V$48,FALSE))</f>
        <v>-</v>
      </c>
      <c r="W66" s="53" t="str">
        <f>IF($A66="-","-",VLOOKUP($A66,[4]Controle!$A$6:$CC$25,W$48,FALSE))</f>
        <v>-</v>
      </c>
      <c r="X66" s="53" t="str">
        <f>IF($A66="-","-",VLOOKUP($A66,[4]Controle!$A$6:$CC$25,X$48,FALSE))</f>
        <v>-</v>
      </c>
      <c r="Y66" s="53" t="str">
        <f>IF($A66="-","-",VLOOKUP($A66,[4]Controle!$A$6:$CC$25,Y$48,FALSE))</f>
        <v>-</v>
      </c>
      <c r="Z66" s="53" t="str">
        <f>IF($A66="-","-",VLOOKUP($A66,[4]Controle!$A$6:$CC$25,Z$48,FALSE))</f>
        <v>-</v>
      </c>
      <c r="AA66" s="53" t="str">
        <f>IF($A66="-","-",VLOOKUP($A66,[4]Controle!$A$6:$CC$25,AA$48,FALSE))</f>
        <v>-</v>
      </c>
      <c r="AB66" s="53" t="str">
        <f>IF($A66="-","-",VLOOKUP($A66,[4]Controle!$A$6:$CC$25,AB$48,FALSE))</f>
        <v>-</v>
      </c>
      <c r="AC66" s="53" t="str">
        <f>IF($A66="-","-",VLOOKUP($A66,[4]Controle!$A$6:$CC$25,AC$48,FALSE))</f>
        <v>-</v>
      </c>
      <c r="AD66" s="53" t="str">
        <f>IF($A66="-","-",VLOOKUP($A66,[4]Controle!$A$6:$CC$25,AD$48,FALSE))</f>
        <v>-</v>
      </c>
      <c r="AE66" s="53" t="str">
        <f>IF($A66="-","-",VLOOKUP($A66,[4]Controle!$A$6:$CC$25,AE$48,FALSE))</f>
        <v>-</v>
      </c>
      <c r="AF66" s="53" t="str">
        <f>IF($A66="-","-",VLOOKUP($A66,[4]Controle!$A$6:$CC$25,AF$48,FALSE))</f>
        <v>-</v>
      </c>
      <c r="AG66" s="53" t="str">
        <f>IF($A66="-","-",VLOOKUP($A66,[4]Controle!$A$6:$CC$25,AG$48,FALSE))</f>
        <v>-</v>
      </c>
      <c r="AH66" s="53" t="str">
        <f>IF($A66="-","-",VLOOKUP($A66,[4]Controle!$A$6:$CC$25,AH$48,FALSE))</f>
        <v>-</v>
      </c>
      <c r="AI66" s="53" t="str">
        <f>IF($A66="-","-",VLOOKUP($A66,[4]Controle!$A$6:$CC$25,AI$48,FALSE))</f>
        <v>-</v>
      </c>
      <c r="AJ66" s="53" t="str">
        <f>IF($A66="-","-",VLOOKUP($A66,[4]Controle!$A$6:$CC$25,AJ$48,FALSE))</f>
        <v>-</v>
      </c>
      <c r="AK66" s="53" t="str">
        <f>IF($A66="-","-",VLOOKUP($A66,[4]Controle!$A$6:$CC$25,AK$48,FALSE))</f>
        <v>-</v>
      </c>
      <c r="AL66" s="53" t="str">
        <f>IF($A66="-","-",VLOOKUP($A66,[4]Controle!$A$6:$CC$25,AL$48,FALSE))</f>
        <v>-</v>
      </c>
      <c r="AM66" s="53" t="str">
        <f>IF($A66="-","-",VLOOKUP($A66,[4]Controle!$A$6:$CC$25,AM$48,FALSE))</f>
        <v>-</v>
      </c>
      <c r="AN66" s="53" t="str">
        <f>IF($A66="-","-",VLOOKUP($A66,[4]Controle!$A$6:$CC$25,AN$48,FALSE))</f>
        <v>-</v>
      </c>
      <c r="AO66" s="53" t="str">
        <f>IF($A66="-","-",VLOOKUP($A66,[4]Controle!$A$6:$CC$25,AO$48,FALSE))</f>
        <v>-</v>
      </c>
      <c r="AP66" s="53" t="str">
        <f>IF($A66="-","-",VLOOKUP($A66,[4]Controle!$A$6:$CC$25,AP$48,FALSE))</f>
        <v>-</v>
      </c>
      <c r="AQ66" s="53" t="str">
        <f>IF($A66="-","-",VLOOKUP($A66,[4]Controle!$A$6:$CC$25,AQ$48,FALSE))</f>
        <v>-</v>
      </c>
      <c r="AR66" s="53" t="str">
        <f>IF($A66="-","-",VLOOKUP($A66,[4]Controle!$A$6:$CC$25,AR$48,FALSE))</f>
        <v>-</v>
      </c>
      <c r="AS66" s="53" t="str">
        <f>IF($A66="-","-",VLOOKUP($A66,[4]Controle!$A$6:$CC$25,AS$48,FALSE))</f>
        <v>-</v>
      </c>
      <c r="AT66" s="53" t="str">
        <f>IF($A66="-","-",VLOOKUP($A66,[4]Controle!$A$6:$CC$25,AT$48,FALSE))</f>
        <v>-</v>
      </c>
      <c r="AU66" s="53" t="str">
        <f>IF($A66="-","-",VLOOKUP($A66,[4]Controle!$A$6:$CC$25,AU$48,FALSE))</f>
        <v>-</v>
      </c>
      <c r="AV66" s="53" t="str">
        <f>IF($A66="-","-",VLOOKUP($A66,[4]Controle!$A$6:$CC$25,AV$48,FALSE))</f>
        <v>-</v>
      </c>
      <c r="AW66" s="53" t="str">
        <f>IF($A66="-","-",VLOOKUP($A66,[4]Controle!$A$6:$CC$25,AW$48,FALSE))</f>
        <v>-</v>
      </c>
      <c r="AX66" s="53" t="str">
        <f>IF($A66="-","-",VLOOKUP($A66,[4]Controle!$A$6:$CC$25,AX$48,FALSE))</f>
        <v>-</v>
      </c>
      <c r="AY66" s="53" t="str">
        <f>IF($A66="-","-",VLOOKUP($A66,[4]Controle!$A$6:$CC$25,AY$48,FALSE))</f>
        <v>-</v>
      </c>
      <c r="AZ66" s="53" t="str">
        <f>IF($A66="-","-",VLOOKUP($A66,[4]Controle!$A$6:$CC$25,AZ$48,FALSE))</f>
        <v>-</v>
      </c>
      <c r="BA66" s="53" t="str">
        <f>IF($A66="-","-",VLOOKUP($A66,[4]Controle!$A$6:$CC$25,BA$48,FALSE))</f>
        <v>-</v>
      </c>
      <c r="BB66" s="53" t="str">
        <f>IF($A66="-","-",VLOOKUP($A66,[4]Controle!$A$6:$CC$25,BB$48,FALSE))</f>
        <v>-</v>
      </c>
      <c r="BC66" s="53" t="str">
        <f>IF($A66="-","-",VLOOKUP($A66,[4]Controle!$A$6:$CC$25,BC$48,FALSE))</f>
        <v>-</v>
      </c>
      <c r="BD66" s="53" t="str">
        <f>IF($A66="-","-",VLOOKUP($A66,[4]Controle!$A$6:$CC$25,BD$48,FALSE))</f>
        <v>-</v>
      </c>
      <c r="BE66" s="53" t="str">
        <f>IF($A66="-","-",VLOOKUP($A66,[4]Controle!$A$6:$CC$25,BE$48,FALSE))</f>
        <v>-</v>
      </c>
      <c r="BF66" s="53" t="str">
        <f>IF($A66="-","-",VLOOKUP($A66,[4]Controle!$A$6:$CC$25,BF$48,FALSE))</f>
        <v>-</v>
      </c>
      <c r="BG66" s="53" t="str">
        <f>IF($A66="-","-",VLOOKUP($A66,[4]Controle!$A$6:$CC$25,BG$48,FALSE))</f>
        <v>-</v>
      </c>
      <c r="BH66" s="53" t="str">
        <f>IF($A66="-","-",VLOOKUP($A66,[4]Controle!$A$6:$CC$25,BH$48,FALSE))</f>
        <v>-</v>
      </c>
      <c r="BI66" s="53" t="str">
        <f>IF($A66="-","-",VLOOKUP($A66,[4]Controle!$A$6:$CC$25,BI$48,FALSE))</f>
        <v>-</v>
      </c>
      <c r="BJ66" s="53" t="str">
        <f>IF($A66="-","-",VLOOKUP($A66,[4]Controle!$A$6:$CC$25,BJ$48,FALSE))</f>
        <v>-</v>
      </c>
      <c r="BK66" s="53" t="str">
        <f>IF($A66="-","-",VLOOKUP($A66,[4]Controle!$A$6:$CC$25,BK$48,FALSE))</f>
        <v>-</v>
      </c>
      <c r="BL66" s="53" t="str">
        <f>IF($A66="-","-",VLOOKUP($A66,[4]Controle!$A$6:$CC$25,BL$48,FALSE))</f>
        <v>-</v>
      </c>
      <c r="BM66" s="53" t="str">
        <f>IF($A66="-","-",VLOOKUP($A66,[4]Controle!$A$6:$CC$25,BM$48,FALSE))</f>
        <v>-</v>
      </c>
      <c r="BN66" s="53" t="str">
        <f>IF($A66="-","-",VLOOKUP($A66,[4]Controle!$A$6:$CC$25,BN$48,FALSE))</f>
        <v>-</v>
      </c>
      <c r="BO66" s="53" t="str">
        <f>IF($A66="-","-",VLOOKUP($A66,[4]Controle!$A$6:$CC$25,BO$48,FALSE))</f>
        <v>-</v>
      </c>
      <c r="BP66" s="53" t="str">
        <f>IF($A66="-","-",VLOOKUP($A66,[4]Controle!$A$6:$CC$25,BP$48,FALSE))</f>
        <v>-</v>
      </c>
      <c r="BQ66" s="53" t="str">
        <f>IF($A66="-","-",VLOOKUP($A66,[4]Controle!$A$6:$CC$25,BQ$48,FALSE))</f>
        <v>-</v>
      </c>
      <c r="BR66" s="53" t="str">
        <f>IF($A66="-","-",VLOOKUP($A66,[4]Controle!$A$6:$CC$25,BR$48,FALSE))</f>
        <v>-</v>
      </c>
      <c r="BS66" s="53" t="str">
        <f>IF($A66="-","-",VLOOKUP($A66,[4]Controle!$A$6:$CC$25,BS$48,FALSE))</f>
        <v>-</v>
      </c>
      <c r="BT66" s="53" t="str">
        <f>IF($A66="-","-",VLOOKUP($A66,[4]Controle!$A$6:$CC$25,BT$48,FALSE))</f>
        <v>-</v>
      </c>
      <c r="BU66" s="53" t="str">
        <f>IF($A66="-","-",VLOOKUP($A66,[4]Controle!$A$6:$CC$25,BU$48,FALSE))</f>
        <v>-</v>
      </c>
      <c r="BV66" s="53" t="str">
        <f>IF($A66="-","-",VLOOKUP($A66,[4]Controle!$A$6:$CC$25,BV$48,FALSE))</f>
        <v>-</v>
      </c>
      <c r="BW66" s="53" t="str">
        <f>IF($A66="-","-",VLOOKUP($A66,[4]Controle!$A$6:$CC$25,BW$48,FALSE))</f>
        <v>-</v>
      </c>
      <c r="BX66" s="53" t="str">
        <f>IF($A66="-","-",VLOOKUP($A66,[4]Controle!$A$6:$CC$25,BX$48,FALSE))</f>
        <v>-</v>
      </c>
      <c r="BY66" s="53" t="str">
        <f>IF($A66="-","-",VLOOKUP($A66,[4]Controle!$A$6:$CC$25,BY$48,FALSE))</f>
        <v>-</v>
      </c>
      <c r="BZ66" s="53" t="str">
        <f>IF($A66="-","-",VLOOKUP($A66,[4]Controle!$A$6:$CC$25,BZ$48,FALSE))</f>
        <v>-</v>
      </c>
      <c r="CA66" s="53" t="str">
        <f>IF($A66="-","-",VLOOKUP($A66,[4]Controle!$A$6:$CC$25,CA$48,FALSE))</f>
        <v>-</v>
      </c>
      <c r="CB66" s="53" t="str">
        <f>IF($A66="-","-",VLOOKUP($A66,[4]Controle!$A$6:$CC$25,CB$48,FALSE))</f>
        <v>-</v>
      </c>
      <c r="CC66" s="53" t="str">
        <f>IF($A66="-","-",VLOOKUP($A66,[4]Controle!$A$6:$CC$25,CC$48,FALSE))</f>
        <v>-</v>
      </c>
      <c r="CT66" s="41">
        <f>IF(CV66="-",0,MAX($CT$51:CT65)+1)</f>
        <v>0</v>
      </c>
      <c r="CU66" s="53" t="str">
        <f t="shared" si="28"/>
        <v>-</v>
      </c>
      <c r="CV66" s="53" t="str">
        <f t="shared" si="23"/>
        <v>-</v>
      </c>
      <c r="CW66" s="53" t="str">
        <f t="shared" si="29"/>
        <v>-</v>
      </c>
      <c r="CY66" s="41" t="str">
        <f t="shared" si="25"/>
        <v>-</v>
      </c>
    </row>
    <row r="67" spans="1:103" x14ac:dyDescent="0.3">
      <c r="A67" s="56" t="s">
        <v>54</v>
      </c>
      <c r="B67" s="53" t="str">
        <f>IF($A67="-","-",VLOOKUP($A67,[4]Controle!$A$6:$CC$25,B$48,FALSE))</f>
        <v>-</v>
      </c>
      <c r="C67" s="53" t="str">
        <f>IF($A67="-","-",VLOOKUP($A67,[4]Controle!$A$6:$CC$25,C$48,FALSE))</f>
        <v>-</v>
      </c>
      <c r="D67" s="53" t="str">
        <f>IF($A67="-","-",VLOOKUP($A67,[4]Controle!$A$6:$CC$25,D$48,FALSE))</f>
        <v>-</v>
      </c>
      <c r="E67" s="53" t="str">
        <f>IF($A67="-","-",VLOOKUP($A67,[4]Controle!$A$6:$CC$25,E$48,FALSE))</f>
        <v>-</v>
      </c>
      <c r="F67" s="53" t="str">
        <f>IF($A67="-","-",VLOOKUP($A67,[4]Controle!$A$6:$CC$25,F$48,FALSE))</f>
        <v>-</v>
      </c>
      <c r="G67" s="54" t="str">
        <f>IF($A67="-","-",VLOOKUP($A67,[4]Controle!$A$6:$CC$25,G$48,FALSE))</f>
        <v>-</v>
      </c>
      <c r="H67" s="55" t="str">
        <f>IF($A67="-","-",VLOOKUP($A67,[4]Controle!$A$6:$CC$25,H$48,FALSE))</f>
        <v>-</v>
      </c>
      <c r="I67" s="53" t="str">
        <f>IF($A67="-","-",VLOOKUP($A67,[4]Controle!$A$6:$CC$25,I$48,FALSE))</f>
        <v>-</v>
      </c>
      <c r="J67" s="53" t="str">
        <f>IF($A67="-","-",VLOOKUP($A67,[4]Controle!$A$6:$CC$25,J$48,FALSE))</f>
        <v>-</v>
      </c>
      <c r="K67" s="53" t="str">
        <f>IF($A67="-","-",VLOOKUP($A67,[4]Controle!$A$6:$CC$25,K$48,FALSE))</f>
        <v>-</v>
      </c>
      <c r="L67" s="53" t="str">
        <f>IF($A67="-","-",VLOOKUP($A67,[4]Controle!$A$6:$CC$25,L$48,FALSE))</f>
        <v>-</v>
      </c>
      <c r="M67" s="53" t="str">
        <f>IF($A67="-","-",VLOOKUP($A67,[4]Controle!$A$6:$CC$25,M$48,FALSE))</f>
        <v>-</v>
      </c>
      <c r="N67" s="53" t="str">
        <f>IF($A67="-","-",VLOOKUP($A67,[4]Controle!$A$6:$CC$25,N$48,FALSE))</f>
        <v>-</v>
      </c>
      <c r="O67" s="53" t="str">
        <f>IF($A67="-","-",VLOOKUP($A67,[4]Controle!$A$6:$CC$25,O$48,FALSE))</f>
        <v>-</v>
      </c>
      <c r="P67" s="53" t="str">
        <f>IF($A67="-","-",VLOOKUP($A67,[4]Controle!$A$6:$CC$25,P$48,FALSE))</f>
        <v>-</v>
      </c>
      <c r="Q67" s="53" t="str">
        <f>IF($A67="-","-",VLOOKUP($A67,[4]Controle!$A$6:$CC$25,Q$48,FALSE))</f>
        <v>-</v>
      </c>
      <c r="R67" s="53" t="str">
        <f>IF($A67="-","-",VLOOKUP($A67,[4]Controle!$A$6:$CC$25,R$48,FALSE))</f>
        <v>-</v>
      </c>
      <c r="S67" s="53" t="str">
        <f>IF($A67="-","-",VLOOKUP($A67,[4]Controle!$A$6:$CC$25,S$48,FALSE))</f>
        <v>-</v>
      </c>
      <c r="T67" s="53" t="str">
        <f>IF($A67="-","-",VLOOKUP($A67,[4]Controle!$A$6:$CC$25,T$48,FALSE))</f>
        <v>-</v>
      </c>
      <c r="U67" s="53" t="str">
        <f>IF($A67="-","-",VLOOKUP($A67,[4]Controle!$A$6:$CC$25,U$48,FALSE))</f>
        <v>-</v>
      </c>
      <c r="V67" s="53" t="str">
        <f>IF($A67="-","-",VLOOKUP($A67,[4]Controle!$A$6:$CC$25,V$48,FALSE))</f>
        <v>-</v>
      </c>
      <c r="W67" s="53" t="str">
        <f>IF($A67="-","-",VLOOKUP($A67,[4]Controle!$A$6:$CC$25,W$48,FALSE))</f>
        <v>-</v>
      </c>
      <c r="X67" s="53" t="str">
        <f>IF($A67="-","-",VLOOKUP($A67,[4]Controle!$A$6:$CC$25,X$48,FALSE))</f>
        <v>-</v>
      </c>
      <c r="Y67" s="53" t="str">
        <f>IF($A67="-","-",VLOOKUP($A67,[4]Controle!$A$6:$CC$25,Y$48,FALSE))</f>
        <v>-</v>
      </c>
      <c r="Z67" s="53" t="str">
        <f>IF($A67="-","-",VLOOKUP($A67,[4]Controle!$A$6:$CC$25,Z$48,FALSE))</f>
        <v>-</v>
      </c>
      <c r="AA67" s="53" t="str">
        <f>IF($A67="-","-",VLOOKUP($A67,[4]Controle!$A$6:$CC$25,AA$48,FALSE))</f>
        <v>-</v>
      </c>
      <c r="AB67" s="53" t="str">
        <f>IF($A67="-","-",VLOOKUP($A67,[4]Controle!$A$6:$CC$25,AB$48,FALSE))</f>
        <v>-</v>
      </c>
      <c r="AC67" s="53" t="str">
        <f>IF($A67="-","-",VLOOKUP($A67,[4]Controle!$A$6:$CC$25,AC$48,FALSE))</f>
        <v>-</v>
      </c>
      <c r="AD67" s="53" t="str">
        <f>IF($A67="-","-",VLOOKUP($A67,[4]Controle!$A$6:$CC$25,AD$48,FALSE))</f>
        <v>-</v>
      </c>
      <c r="AE67" s="53" t="str">
        <f>IF($A67="-","-",VLOOKUP($A67,[4]Controle!$A$6:$CC$25,AE$48,FALSE))</f>
        <v>-</v>
      </c>
      <c r="AF67" s="53" t="str">
        <f>IF($A67="-","-",VLOOKUP($A67,[4]Controle!$A$6:$CC$25,AF$48,FALSE))</f>
        <v>-</v>
      </c>
      <c r="AG67" s="53" t="str">
        <f>IF($A67="-","-",VLOOKUP($A67,[4]Controle!$A$6:$CC$25,AG$48,FALSE))</f>
        <v>-</v>
      </c>
      <c r="AH67" s="53" t="str">
        <f>IF($A67="-","-",VLOOKUP($A67,[4]Controle!$A$6:$CC$25,AH$48,FALSE))</f>
        <v>-</v>
      </c>
      <c r="AI67" s="53" t="str">
        <f>IF($A67="-","-",VLOOKUP($A67,[4]Controle!$A$6:$CC$25,AI$48,FALSE))</f>
        <v>-</v>
      </c>
      <c r="AJ67" s="53" t="str">
        <f>IF($A67="-","-",VLOOKUP($A67,[4]Controle!$A$6:$CC$25,AJ$48,FALSE))</f>
        <v>-</v>
      </c>
      <c r="AK67" s="53" t="str">
        <f>IF($A67="-","-",VLOOKUP($A67,[4]Controle!$A$6:$CC$25,AK$48,FALSE))</f>
        <v>-</v>
      </c>
      <c r="AL67" s="53" t="str">
        <f>IF($A67="-","-",VLOOKUP($A67,[4]Controle!$A$6:$CC$25,AL$48,FALSE))</f>
        <v>-</v>
      </c>
      <c r="AM67" s="53" t="str">
        <f>IF($A67="-","-",VLOOKUP($A67,[4]Controle!$A$6:$CC$25,AM$48,FALSE))</f>
        <v>-</v>
      </c>
      <c r="AN67" s="53" t="str">
        <f>IF($A67="-","-",VLOOKUP($A67,[4]Controle!$A$6:$CC$25,AN$48,FALSE))</f>
        <v>-</v>
      </c>
      <c r="AO67" s="53" t="str">
        <f>IF($A67="-","-",VLOOKUP($A67,[4]Controle!$A$6:$CC$25,AO$48,FALSE))</f>
        <v>-</v>
      </c>
      <c r="AP67" s="53" t="str">
        <f>IF($A67="-","-",VLOOKUP($A67,[4]Controle!$A$6:$CC$25,AP$48,FALSE))</f>
        <v>-</v>
      </c>
      <c r="AQ67" s="53" t="str">
        <f>IF($A67="-","-",VLOOKUP($A67,[4]Controle!$A$6:$CC$25,AQ$48,FALSE))</f>
        <v>-</v>
      </c>
      <c r="AR67" s="53" t="str">
        <f>IF($A67="-","-",VLOOKUP($A67,[4]Controle!$A$6:$CC$25,AR$48,FALSE))</f>
        <v>-</v>
      </c>
      <c r="AS67" s="53" t="str">
        <f>IF($A67="-","-",VLOOKUP($A67,[4]Controle!$A$6:$CC$25,AS$48,FALSE))</f>
        <v>-</v>
      </c>
      <c r="AT67" s="53" t="str">
        <f>IF($A67="-","-",VLOOKUP($A67,[4]Controle!$A$6:$CC$25,AT$48,FALSE))</f>
        <v>-</v>
      </c>
      <c r="AU67" s="53" t="str">
        <f>IF($A67="-","-",VLOOKUP($A67,[4]Controle!$A$6:$CC$25,AU$48,FALSE))</f>
        <v>-</v>
      </c>
      <c r="AV67" s="53" t="str">
        <f>IF($A67="-","-",VLOOKUP($A67,[4]Controle!$A$6:$CC$25,AV$48,FALSE))</f>
        <v>-</v>
      </c>
      <c r="AW67" s="53" t="str">
        <f>IF($A67="-","-",VLOOKUP($A67,[4]Controle!$A$6:$CC$25,AW$48,FALSE))</f>
        <v>-</v>
      </c>
      <c r="AX67" s="53" t="str">
        <f>IF($A67="-","-",VLOOKUP($A67,[4]Controle!$A$6:$CC$25,AX$48,FALSE))</f>
        <v>-</v>
      </c>
      <c r="AY67" s="53" t="str">
        <f>IF($A67="-","-",VLOOKUP($A67,[4]Controle!$A$6:$CC$25,AY$48,FALSE))</f>
        <v>-</v>
      </c>
      <c r="AZ67" s="53" t="str">
        <f>IF($A67="-","-",VLOOKUP($A67,[4]Controle!$A$6:$CC$25,AZ$48,FALSE))</f>
        <v>-</v>
      </c>
      <c r="BA67" s="53" t="str">
        <f>IF($A67="-","-",VLOOKUP($A67,[4]Controle!$A$6:$CC$25,BA$48,FALSE))</f>
        <v>-</v>
      </c>
      <c r="BB67" s="53" t="str">
        <f>IF($A67="-","-",VLOOKUP($A67,[4]Controle!$A$6:$CC$25,BB$48,FALSE))</f>
        <v>-</v>
      </c>
      <c r="BC67" s="53" t="str">
        <f>IF($A67="-","-",VLOOKUP($A67,[4]Controle!$A$6:$CC$25,BC$48,FALSE))</f>
        <v>-</v>
      </c>
      <c r="BD67" s="53" t="str">
        <f>IF($A67="-","-",VLOOKUP($A67,[4]Controle!$A$6:$CC$25,BD$48,FALSE))</f>
        <v>-</v>
      </c>
      <c r="BE67" s="53" t="str">
        <f>IF($A67="-","-",VLOOKUP($A67,[4]Controle!$A$6:$CC$25,BE$48,FALSE))</f>
        <v>-</v>
      </c>
      <c r="BF67" s="53" t="str">
        <f>IF($A67="-","-",VLOOKUP($A67,[4]Controle!$A$6:$CC$25,BF$48,FALSE))</f>
        <v>-</v>
      </c>
      <c r="BG67" s="53" t="str">
        <f>IF($A67="-","-",VLOOKUP($A67,[4]Controle!$A$6:$CC$25,BG$48,FALSE))</f>
        <v>-</v>
      </c>
      <c r="BH67" s="53" t="str">
        <f>IF($A67="-","-",VLOOKUP($A67,[4]Controle!$A$6:$CC$25,BH$48,FALSE))</f>
        <v>-</v>
      </c>
      <c r="BI67" s="53" t="str">
        <f>IF($A67="-","-",VLOOKUP($A67,[4]Controle!$A$6:$CC$25,BI$48,FALSE))</f>
        <v>-</v>
      </c>
      <c r="BJ67" s="53" t="str">
        <f>IF($A67="-","-",VLOOKUP($A67,[4]Controle!$A$6:$CC$25,BJ$48,FALSE))</f>
        <v>-</v>
      </c>
      <c r="BK67" s="53" t="str">
        <f>IF($A67="-","-",VLOOKUP($A67,[4]Controle!$A$6:$CC$25,BK$48,FALSE))</f>
        <v>-</v>
      </c>
      <c r="BL67" s="53" t="str">
        <f>IF($A67="-","-",VLOOKUP($A67,[4]Controle!$A$6:$CC$25,BL$48,FALSE))</f>
        <v>-</v>
      </c>
      <c r="BM67" s="53" t="str">
        <f>IF($A67="-","-",VLOOKUP($A67,[4]Controle!$A$6:$CC$25,BM$48,FALSE))</f>
        <v>-</v>
      </c>
      <c r="BN67" s="53" t="str">
        <f>IF($A67="-","-",VLOOKUP($A67,[4]Controle!$A$6:$CC$25,BN$48,FALSE))</f>
        <v>-</v>
      </c>
      <c r="BO67" s="53" t="str">
        <f>IF($A67="-","-",VLOOKUP($A67,[4]Controle!$A$6:$CC$25,BO$48,FALSE))</f>
        <v>-</v>
      </c>
      <c r="BP67" s="53" t="str">
        <f>IF($A67="-","-",VLOOKUP($A67,[4]Controle!$A$6:$CC$25,BP$48,FALSE))</f>
        <v>-</v>
      </c>
      <c r="BQ67" s="53" t="str">
        <f>IF($A67="-","-",VLOOKUP($A67,[4]Controle!$A$6:$CC$25,BQ$48,FALSE))</f>
        <v>-</v>
      </c>
      <c r="BR67" s="53" t="str">
        <f>IF($A67="-","-",VLOOKUP($A67,[4]Controle!$A$6:$CC$25,BR$48,FALSE))</f>
        <v>-</v>
      </c>
      <c r="BS67" s="53" t="str">
        <f>IF($A67="-","-",VLOOKUP($A67,[4]Controle!$A$6:$CC$25,BS$48,FALSE))</f>
        <v>-</v>
      </c>
      <c r="BT67" s="53" t="str">
        <f>IF($A67="-","-",VLOOKUP($A67,[4]Controle!$A$6:$CC$25,BT$48,FALSE))</f>
        <v>-</v>
      </c>
      <c r="BU67" s="53" t="str">
        <f>IF($A67="-","-",VLOOKUP($A67,[4]Controle!$A$6:$CC$25,BU$48,FALSE))</f>
        <v>-</v>
      </c>
      <c r="BV67" s="53" t="str">
        <f>IF($A67="-","-",VLOOKUP($A67,[4]Controle!$A$6:$CC$25,BV$48,FALSE))</f>
        <v>-</v>
      </c>
      <c r="BW67" s="53" t="str">
        <f>IF($A67="-","-",VLOOKUP($A67,[4]Controle!$A$6:$CC$25,BW$48,FALSE))</f>
        <v>-</v>
      </c>
      <c r="BX67" s="53" t="str">
        <f>IF($A67="-","-",VLOOKUP($A67,[4]Controle!$A$6:$CC$25,BX$48,FALSE))</f>
        <v>-</v>
      </c>
      <c r="BY67" s="53" t="str">
        <f>IF($A67="-","-",VLOOKUP($A67,[4]Controle!$A$6:$CC$25,BY$48,FALSE))</f>
        <v>-</v>
      </c>
      <c r="BZ67" s="53" t="str">
        <f>IF($A67="-","-",VLOOKUP($A67,[4]Controle!$A$6:$CC$25,BZ$48,FALSE))</f>
        <v>-</v>
      </c>
      <c r="CA67" s="53" t="str">
        <f>IF($A67="-","-",VLOOKUP($A67,[4]Controle!$A$6:$CC$25,CA$48,FALSE))</f>
        <v>-</v>
      </c>
      <c r="CB67" s="53" t="str">
        <f>IF($A67="-","-",VLOOKUP($A67,[4]Controle!$A$6:$CC$25,CB$48,FALSE))</f>
        <v>-</v>
      </c>
      <c r="CC67" s="53" t="str">
        <f>IF($A67="-","-",VLOOKUP($A67,[4]Controle!$A$6:$CC$25,CC$48,FALSE))</f>
        <v>-</v>
      </c>
      <c r="CT67" s="41">
        <f>IF(CV67="-",0,MAX($CT$51:CT66)+1)</f>
        <v>0</v>
      </c>
      <c r="CU67" s="53" t="str">
        <f t="shared" si="28"/>
        <v>-</v>
      </c>
      <c r="CV67" s="53" t="str">
        <f t="shared" si="23"/>
        <v>-</v>
      </c>
      <c r="CW67" s="53" t="str">
        <f t="shared" si="29"/>
        <v>-</v>
      </c>
      <c r="CY67" s="41" t="str">
        <f t="shared" si="25"/>
        <v>-</v>
      </c>
    </row>
    <row r="68" spans="1:103" x14ac:dyDescent="0.3">
      <c r="A68" s="56" t="s">
        <v>54</v>
      </c>
      <c r="B68" s="53" t="str">
        <f>IF($A68="-","-",VLOOKUP($A68,[4]Controle!$A$6:$CC$25,B$48,FALSE))</f>
        <v>-</v>
      </c>
      <c r="C68" s="53" t="str">
        <f>IF($A68="-","-",VLOOKUP($A68,[4]Controle!$A$6:$CC$25,C$48,FALSE))</f>
        <v>-</v>
      </c>
      <c r="D68" s="53" t="str">
        <f>IF($A68="-","-",VLOOKUP($A68,[4]Controle!$A$6:$CC$25,D$48,FALSE))</f>
        <v>-</v>
      </c>
      <c r="E68" s="53" t="str">
        <f>IF($A68="-","-",VLOOKUP($A68,[4]Controle!$A$6:$CC$25,E$48,FALSE))</f>
        <v>-</v>
      </c>
      <c r="F68" s="53" t="str">
        <f>IF($A68="-","-",VLOOKUP($A68,[4]Controle!$A$6:$CC$25,F$48,FALSE))</f>
        <v>-</v>
      </c>
      <c r="G68" s="54" t="str">
        <f>IF($A68="-","-",VLOOKUP($A68,[4]Controle!$A$6:$CC$25,G$48,FALSE))</f>
        <v>-</v>
      </c>
      <c r="H68" s="55" t="str">
        <f>IF($A68="-","-",VLOOKUP($A68,[4]Controle!$A$6:$CC$25,H$48,FALSE))</f>
        <v>-</v>
      </c>
      <c r="I68" s="53" t="str">
        <f>IF($A68="-","-",VLOOKUP($A68,[4]Controle!$A$6:$CC$25,I$48,FALSE))</f>
        <v>-</v>
      </c>
      <c r="J68" s="53" t="str">
        <f>IF($A68="-","-",VLOOKUP($A68,[4]Controle!$A$6:$CC$25,J$48,FALSE))</f>
        <v>-</v>
      </c>
      <c r="K68" s="53" t="str">
        <f>IF($A68="-","-",VLOOKUP($A68,[4]Controle!$A$6:$CC$25,K$48,FALSE))</f>
        <v>-</v>
      </c>
      <c r="L68" s="53" t="str">
        <f>IF($A68="-","-",VLOOKUP($A68,[4]Controle!$A$6:$CC$25,L$48,FALSE))</f>
        <v>-</v>
      </c>
      <c r="M68" s="53" t="str">
        <f>IF($A68="-","-",VLOOKUP($A68,[4]Controle!$A$6:$CC$25,M$48,FALSE))</f>
        <v>-</v>
      </c>
      <c r="N68" s="53" t="str">
        <f>IF($A68="-","-",VLOOKUP($A68,[4]Controle!$A$6:$CC$25,N$48,FALSE))</f>
        <v>-</v>
      </c>
      <c r="O68" s="53" t="str">
        <f>IF($A68="-","-",VLOOKUP($A68,[4]Controle!$A$6:$CC$25,O$48,FALSE))</f>
        <v>-</v>
      </c>
      <c r="P68" s="53" t="str">
        <f>IF($A68="-","-",VLOOKUP($A68,[4]Controle!$A$6:$CC$25,P$48,FALSE))</f>
        <v>-</v>
      </c>
      <c r="Q68" s="53" t="str">
        <f>IF($A68="-","-",VLOOKUP($A68,[4]Controle!$A$6:$CC$25,Q$48,FALSE))</f>
        <v>-</v>
      </c>
      <c r="R68" s="53" t="str">
        <f>IF($A68="-","-",VLOOKUP($A68,[4]Controle!$A$6:$CC$25,R$48,FALSE))</f>
        <v>-</v>
      </c>
      <c r="S68" s="53" t="str">
        <f>IF($A68="-","-",VLOOKUP($A68,[4]Controle!$A$6:$CC$25,S$48,FALSE))</f>
        <v>-</v>
      </c>
      <c r="T68" s="53" t="str">
        <f>IF($A68="-","-",VLOOKUP($A68,[4]Controle!$A$6:$CC$25,T$48,FALSE))</f>
        <v>-</v>
      </c>
      <c r="U68" s="53" t="str">
        <f>IF($A68="-","-",VLOOKUP($A68,[4]Controle!$A$6:$CC$25,U$48,FALSE))</f>
        <v>-</v>
      </c>
      <c r="V68" s="53" t="str">
        <f>IF($A68="-","-",VLOOKUP($A68,[4]Controle!$A$6:$CC$25,V$48,FALSE))</f>
        <v>-</v>
      </c>
      <c r="W68" s="53" t="str">
        <f>IF($A68="-","-",VLOOKUP($A68,[4]Controle!$A$6:$CC$25,W$48,FALSE))</f>
        <v>-</v>
      </c>
      <c r="X68" s="53" t="str">
        <f>IF($A68="-","-",VLOOKUP($A68,[4]Controle!$A$6:$CC$25,X$48,FALSE))</f>
        <v>-</v>
      </c>
      <c r="Y68" s="53" t="str">
        <f>IF($A68="-","-",VLOOKUP($A68,[4]Controle!$A$6:$CC$25,Y$48,FALSE))</f>
        <v>-</v>
      </c>
      <c r="Z68" s="53" t="str">
        <f>IF($A68="-","-",VLOOKUP($A68,[4]Controle!$A$6:$CC$25,Z$48,FALSE))</f>
        <v>-</v>
      </c>
      <c r="AA68" s="53" t="str">
        <f>IF($A68="-","-",VLOOKUP($A68,[4]Controle!$A$6:$CC$25,AA$48,FALSE))</f>
        <v>-</v>
      </c>
      <c r="AB68" s="53" t="str">
        <f>IF($A68="-","-",VLOOKUP($A68,[4]Controle!$A$6:$CC$25,AB$48,FALSE))</f>
        <v>-</v>
      </c>
      <c r="AC68" s="53" t="str">
        <f>IF($A68="-","-",VLOOKUP($A68,[4]Controle!$A$6:$CC$25,AC$48,FALSE))</f>
        <v>-</v>
      </c>
      <c r="AD68" s="53" t="str">
        <f>IF($A68="-","-",VLOOKUP($A68,[4]Controle!$A$6:$CC$25,AD$48,FALSE))</f>
        <v>-</v>
      </c>
      <c r="AE68" s="53" t="str">
        <f>IF($A68="-","-",VLOOKUP($A68,[4]Controle!$A$6:$CC$25,AE$48,FALSE))</f>
        <v>-</v>
      </c>
      <c r="AF68" s="53" t="str">
        <f>IF($A68="-","-",VLOOKUP($A68,[4]Controle!$A$6:$CC$25,AF$48,FALSE))</f>
        <v>-</v>
      </c>
      <c r="AG68" s="53" t="str">
        <f>IF($A68="-","-",VLOOKUP($A68,[4]Controle!$A$6:$CC$25,AG$48,FALSE))</f>
        <v>-</v>
      </c>
      <c r="AH68" s="53" t="str">
        <f>IF($A68="-","-",VLOOKUP($A68,[4]Controle!$A$6:$CC$25,AH$48,FALSE))</f>
        <v>-</v>
      </c>
      <c r="AI68" s="53" t="str">
        <f>IF($A68="-","-",VLOOKUP($A68,[4]Controle!$A$6:$CC$25,AI$48,FALSE))</f>
        <v>-</v>
      </c>
      <c r="AJ68" s="53" t="str">
        <f>IF($A68="-","-",VLOOKUP($A68,[4]Controle!$A$6:$CC$25,AJ$48,FALSE))</f>
        <v>-</v>
      </c>
      <c r="AK68" s="53" t="str">
        <f>IF($A68="-","-",VLOOKUP($A68,[4]Controle!$A$6:$CC$25,AK$48,FALSE))</f>
        <v>-</v>
      </c>
      <c r="AL68" s="53" t="str">
        <f>IF($A68="-","-",VLOOKUP($A68,[4]Controle!$A$6:$CC$25,AL$48,FALSE))</f>
        <v>-</v>
      </c>
      <c r="AM68" s="53" t="str">
        <f>IF($A68="-","-",VLOOKUP($A68,[4]Controle!$A$6:$CC$25,AM$48,FALSE))</f>
        <v>-</v>
      </c>
      <c r="AN68" s="53" t="str">
        <f>IF($A68="-","-",VLOOKUP($A68,[4]Controle!$A$6:$CC$25,AN$48,FALSE))</f>
        <v>-</v>
      </c>
      <c r="AO68" s="53" t="str">
        <f>IF($A68="-","-",VLOOKUP($A68,[4]Controle!$A$6:$CC$25,AO$48,FALSE))</f>
        <v>-</v>
      </c>
      <c r="AP68" s="53" t="str">
        <f>IF($A68="-","-",VLOOKUP($A68,[4]Controle!$A$6:$CC$25,AP$48,FALSE))</f>
        <v>-</v>
      </c>
      <c r="AQ68" s="53" t="str">
        <f>IF($A68="-","-",VLOOKUP($A68,[4]Controle!$A$6:$CC$25,AQ$48,FALSE))</f>
        <v>-</v>
      </c>
      <c r="AR68" s="53" t="str">
        <f>IF($A68="-","-",VLOOKUP($A68,[4]Controle!$A$6:$CC$25,AR$48,FALSE))</f>
        <v>-</v>
      </c>
      <c r="AS68" s="53" t="str">
        <f>IF($A68="-","-",VLOOKUP($A68,[4]Controle!$A$6:$CC$25,AS$48,FALSE))</f>
        <v>-</v>
      </c>
      <c r="AT68" s="53" t="str">
        <f>IF($A68="-","-",VLOOKUP($A68,[4]Controle!$A$6:$CC$25,AT$48,FALSE))</f>
        <v>-</v>
      </c>
      <c r="AU68" s="53" t="str">
        <f>IF($A68="-","-",VLOOKUP($A68,[4]Controle!$A$6:$CC$25,AU$48,FALSE))</f>
        <v>-</v>
      </c>
      <c r="AV68" s="53" t="str">
        <f>IF($A68="-","-",VLOOKUP($A68,[4]Controle!$A$6:$CC$25,AV$48,FALSE))</f>
        <v>-</v>
      </c>
      <c r="AW68" s="53" t="str">
        <f>IF($A68="-","-",VLOOKUP($A68,[4]Controle!$A$6:$CC$25,AW$48,FALSE))</f>
        <v>-</v>
      </c>
      <c r="AX68" s="53" t="str">
        <f>IF($A68="-","-",VLOOKUP($A68,[4]Controle!$A$6:$CC$25,AX$48,FALSE))</f>
        <v>-</v>
      </c>
      <c r="AY68" s="53" t="str">
        <f>IF($A68="-","-",VLOOKUP($A68,[4]Controle!$A$6:$CC$25,AY$48,FALSE))</f>
        <v>-</v>
      </c>
      <c r="AZ68" s="53" t="str">
        <f>IF($A68="-","-",VLOOKUP($A68,[4]Controle!$A$6:$CC$25,AZ$48,FALSE))</f>
        <v>-</v>
      </c>
      <c r="BA68" s="53" t="str">
        <f>IF($A68="-","-",VLOOKUP($A68,[4]Controle!$A$6:$CC$25,BA$48,FALSE))</f>
        <v>-</v>
      </c>
      <c r="BB68" s="53" t="str">
        <f>IF($A68="-","-",VLOOKUP($A68,[4]Controle!$A$6:$CC$25,BB$48,FALSE))</f>
        <v>-</v>
      </c>
      <c r="BC68" s="53" t="str">
        <f>IF($A68="-","-",VLOOKUP($A68,[4]Controle!$A$6:$CC$25,BC$48,FALSE))</f>
        <v>-</v>
      </c>
      <c r="BD68" s="53" t="str">
        <f>IF($A68="-","-",VLOOKUP($A68,[4]Controle!$A$6:$CC$25,BD$48,FALSE))</f>
        <v>-</v>
      </c>
      <c r="BE68" s="53" t="str">
        <f>IF($A68="-","-",VLOOKUP($A68,[4]Controle!$A$6:$CC$25,BE$48,FALSE))</f>
        <v>-</v>
      </c>
      <c r="BF68" s="53" t="str">
        <f>IF($A68="-","-",VLOOKUP($A68,[4]Controle!$A$6:$CC$25,BF$48,FALSE))</f>
        <v>-</v>
      </c>
      <c r="BG68" s="53" t="str">
        <f>IF($A68="-","-",VLOOKUP($A68,[4]Controle!$A$6:$CC$25,BG$48,FALSE))</f>
        <v>-</v>
      </c>
      <c r="BH68" s="53" t="str">
        <f>IF($A68="-","-",VLOOKUP($A68,[4]Controle!$A$6:$CC$25,BH$48,FALSE))</f>
        <v>-</v>
      </c>
      <c r="BI68" s="53" t="str">
        <f>IF($A68="-","-",VLOOKUP($A68,[4]Controle!$A$6:$CC$25,BI$48,FALSE))</f>
        <v>-</v>
      </c>
      <c r="BJ68" s="53" t="str">
        <f>IF($A68="-","-",VLOOKUP($A68,[4]Controle!$A$6:$CC$25,BJ$48,FALSE))</f>
        <v>-</v>
      </c>
      <c r="BK68" s="53" t="str">
        <f>IF($A68="-","-",VLOOKUP($A68,[4]Controle!$A$6:$CC$25,BK$48,FALSE))</f>
        <v>-</v>
      </c>
      <c r="BL68" s="53" t="str">
        <f>IF($A68="-","-",VLOOKUP($A68,[4]Controle!$A$6:$CC$25,BL$48,FALSE))</f>
        <v>-</v>
      </c>
      <c r="BM68" s="53" t="str">
        <f>IF($A68="-","-",VLOOKUP($A68,[4]Controle!$A$6:$CC$25,BM$48,FALSE))</f>
        <v>-</v>
      </c>
      <c r="BN68" s="53" t="str">
        <f>IF($A68="-","-",VLOOKUP($A68,[4]Controle!$A$6:$CC$25,BN$48,FALSE))</f>
        <v>-</v>
      </c>
      <c r="BO68" s="53" t="str">
        <f>IF($A68="-","-",VLOOKUP($A68,[4]Controle!$A$6:$CC$25,BO$48,FALSE))</f>
        <v>-</v>
      </c>
      <c r="BP68" s="53" t="str">
        <f>IF($A68="-","-",VLOOKUP($A68,[4]Controle!$A$6:$CC$25,BP$48,FALSE))</f>
        <v>-</v>
      </c>
      <c r="BQ68" s="53" t="str">
        <f>IF($A68="-","-",VLOOKUP($A68,[4]Controle!$A$6:$CC$25,BQ$48,FALSE))</f>
        <v>-</v>
      </c>
      <c r="BR68" s="53" t="str">
        <f>IF($A68="-","-",VLOOKUP($A68,[4]Controle!$A$6:$CC$25,BR$48,FALSE))</f>
        <v>-</v>
      </c>
      <c r="BS68" s="53" t="str">
        <f>IF($A68="-","-",VLOOKUP($A68,[4]Controle!$A$6:$CC$25,BS$48,FALSE))</f>
        <v>-</v>
      </c>
      <c r="BT68" s="53" t="str">
        <f>IF($A68="-","-",VLOOKUP($A68,[4]Controle!$A$6:$CC$25,BT$48,FALSE))</f>
        <v>-</v>
      </c>
      <c r="BU68" s="53" t="str">
        <f>IF($A68="-","-",VLOOKUP($A68,[4]Controle!$A$6:$CC$25,BU$48,FALSE))</f>
        <v>-</v>
      </c>
      <c r="BV68" s="53" t="str">
        <f>IF($A68="-","-",VLOOKUP($A68,[4]Controle!$A$6:$CC$25,BV$48,FALSE))</f>
        <v>-</v>
      </c>
      <c r="BW68" s="53" t="str">
        <f>IF($A68="-","-",VLOOKUP($A68,[4]Controle!$A$6:$CC$25,BW$48,FALSE))</f>
        <v>-</v>
      </c>
      <c r="BX68" s="53" t="str">
        <f>IF($A68="-","-",VLOOKUP($A68,[4]Controle!$A$6:$CC$25,BX$48,FALSE))</f>
        <v>-</v>
      </c>
      <c r="BY68" s="53" t="str">
        <f>IF($A68="-","-",VLOOKUP($A68,[4]Controle!$A$6:$CC$25,BY$48,FALSE))</f>
        <v>-</v>
      </c>
      <c r="BZ68" s="53" t="str">
        <f>IF($A68="-","-",VLOOKUP($A68,[4]Controle!$A$6:$CC$25,BZ$48,FALSE))</f>
        <v>-</v>
      </c>
      <c r="CA68" s="53" t="str">
        <f>IF($A68="-","-",VLOOKUP($A68,[4]Controle!$A$6:$CC$25,CA$48,FALSE))</f>
        <v>-</v>
      </c>
      <c r="CB68" s="53" t="str">
        <f>IF($A68="-","-",VLOOKUP($A68,[4]Controle!$A$6:$CC$25,CB$48,FALSE))</f>
        <v>-</v>
      </c>
      <c r="CC68" s="53" t="str">
        <f>IF($A68="-","-",VLOOKUP($A68,[4]Controle!$A$6:$CC$25,CC$48,FALSE))</f>
        <v>-</v>
      </c>
      <c r="CT68" s="41">
        <f>IF(CV68="-",0,MAX($CT$51:CT67)+1)</f>
        <v>0</v>
      </c>
      <c r="CU68" s="53" t="str">
        <f t="shared" si="28"/>
        <v>-</v>
      </c>
      <c r="CV68" s="53" t="str">
        <f t="shared" si="23"/>
        <v>-</v>
      </c>
      <c r="CW68" s="53" t="str">
        <f t="shared" si="29"/>
        <v>-</v>
      </c>
      <c r="CY68" s="41" t="str">
        <f t="shared" si="25"/>
        <v>-</v>
      </c>
    </row>
    <row r="69" spans="1:103" x14ac:dyDescent="0.3">
      <c r="A69" s="56" t="s">
        <v>54</v>
      </c>
      <c r="B69" s="53" t="str">
        <f>IF($A69="-","-",VLOOKUP($A69,[4]Controle!$A$6:$CC$25,B$48,FALSE))</f>
        <v>-</v>
      </c>
      <c r="C69" s="53" t="str">
        <f>IF($A69="-","-",VLOOKUP($A69,[4]Controle!$A$6:$CC$25,C$48,FALSE))</f>
        <v>-</v>
      </c>
      <c r="D69" s="53" t="str">
        <f>IF($A69="-","-",VLOOKUP($A69,[4]Controle!$A$6:$CC$25,D$48,FALSE))</f>
        <v>-</v>
      </c>
      <c r="E69" s="53" t="str">
        <f>IF($A69="-","-",VLOOKUP($A69,[4]Controle!$A$6:$CC$25,E$48,FALSE))</f>
        <v>-</v>
      </c>
      <c r="F69" s="53" t="str">
        <f>IF($A69="-","-",VLOOKUP($A69,[4]Controle!$A$6:$CC$25,F$48,FALSE))</f>
        <v>-</v>
      </c>
      <c r="G69" s="54" t="str">
        <f>IF($A69="-","-",VLOOKUP($A69,[4]Controle!$A$6:$CC$25,G$48,FALSE))</f>
        <v>-</v>
      </c>
      <c r="H69" s="55" t="str">
        <f>IF($A69="-","-",VLOOKUP($A69,[4]Controle!$A$6:$CC$25,H$48,FALSE))</f>
        <v>-</v>
      </c>
      <c r="I69" s="53" t="str">
        <f>IF($A69="-","-",VLOOKUP($A69,[4]Controle!$A$6:$CC$25,I$48,FALSE))</f>
        <v>-</v>
      </c>
      <c r="J69" s="53" t="str">
        <f>IF($A69="-","-",VLOOKUP($A69,[4]Controle!$A$6:$CC$25,J$48,FALSE))</f>
        <v>-</v>
      </c>
      <c r="K69" s="53" t="str">
        <f>IF($A69="-","-",VLOOKUP($A69,[4]Controle!$A$6:$CC$25,K$48,FALSE))</f>
        <v>-</v>
      </c>
      <c r="L69" s="53" t="str">
        <f>IF($A69="-","-",VLOOKUP($A69,[4]Controle!$A$6:$CC$25,L$48,FALSE))</f>
        <v>-</v>
      </c>
      <c r="M69" s="53" t="str">
        <f>IF($A69="-","-",VLOOKUP($A69,[4]Controle!$A$6:$CC$25,M$48,FALSE))</f>
        <v>-</v>
      </c>
      <c r="N69" s="53" t="str">
        <f>IF($A69="-","-",VLOOKUP($A69,[4]Controle!$A$6:$CC$25,N$48,FALSE))</f>
        <v>-</v>
      </c>
      <c r="O69" s="53" t="str">
        <f>IF($A69="-","-",VLOOKUP($A69,[4]Controle!$A$6:$CC$25,O$48,FALSE))</f>
        <v>-</v>
      </c>
      <c r="P69" s="53" t="str">
        <f>IF($A69="-","-",VLOOKUP($A69,[4]Controle!$A$6:$CC$25,P$48,FALSE))</f>
        <v>-</v>
      </c>
      <c r="Q69" s="53" t="str">
        <f>IF($A69="-","-",VLOOKUP($A69,[4]Controle!$A$6:$CC$25,Q$48,FALSE))</f>
        <v>-</v>
      </c>
      <c r="R69" s="53" t="str">
        <f>IF($A69="-","-",VLOOKUP($A69,[4]Controle!$A$6:$CC$25,R$48,FALSE))</f>
        <v>-</v>
      </c>
      <c r="S69" s="53" t="str">
        <f>IF($A69="-","-",VLOOKUP($A69,[4]Controle!$A$6:$CC$25,S$48,FALSE))</f>
        <v>-</v>
      </c>
      <c r="T69" s="53" t="str">
        <f>IF($A69="-","-",VLOOKUP($A69,[4]Controle!$A$6:$CC$25,T$48,FALSE))</f>
        <v>-</v>
      </c>
      <c r="U69" s="53" t="str">
        <f>IF($A69="-","-",VLOOKUP($A69,[4]Controle!$A$6:$CC$25,U$48,FALSE))</f>
        <v>-</v>
      </c>
      <c r="V69" s="53" t="str">
        <f>IF($A69="-","-",VLOOKUP($A69,[4]Controle!$A$6:$CC$25,V$48,FALSE))</f>
        <v>-</v>
      </c>
      <c r="W69" s="53" t="str">
        <f>IF($A69="-","-",VLOOKUP($A69,[4]Controle!$A$6:$CC$25,W$48,FALSE))</f>
        <v>-</v>
      </c>
      <c r="X69" s="53" t="str">
        <f>IF($A69="-","-",VLOOKUP($A69,[4]Controle!$A$6:$CC$25,X$48,FALSE))</f>
        <v>-</v>
      </c>
      <c r="Y69" s="53" t="str">
        <f>IF($A69="-","-",VLOOKUP($A69,[4]Controle!$A$6:$CC$25,Y$48,FALSE))</f>
        <v>-</v>
      </c>
      <c r="Z69" s="53" t="str">
        <f>IF($A69="-","-",VLOOKUP($A69,[4]Controle!$A$6:$CC$25,Z$48,FALSE))</f>
        <v>-</v>
      </c>
      <c r="AA69" s="53" t="str">
        <f>IF($A69="-","-",VLOOKUP($A69,[4]Controle!$A$6:$CC$25,AA$48,FALSE))</f>
        <v>-</v>
      </c>
      <c r="AB69" s="53" t="str">
        <f>IF($A69="-","-",VLOOKUP($A69,[4]Controle!$A$6:$CC$25,AB$48,FALSE))</f>
        <v>-</v>
      </c>
      <c r="AC69" s="53" t="str">
        <f>IF($A69="-","-",VLOOKUP($A69,[4]Controle!$A$6:$CC$25,AC$48,FALSE))</f>
        <v>-</v>
      </c>
      <c r="AD69" s="53" t="str">
        <f>IF($A69="-","-",VLOOKUP($A69,[4]Controle!$A$6:$CC$25,AD$48,FALSE))</f>
        <v>-</v>
      </c>
      <c r="AE69" s="53" t="str">
        <f>IF($A69="-","-",VLOOKUP($A69,[4]Controle!$A$6:$CC$25,AE$48,FALSE))</f>
        <v>-</v>
      </c>
      <c r="AF69" s="53" t="str">
        <f>IF($A69="-","-",VLOOKUP($A69,[4]Controle!$A$6:$CC$25,AF$48,FALSE))</f>
        <v>-</v>
      </c>
      <c r="AG69" s="53" t="str">
        <f>IF($A69="-","-",VLOOKUP($A69,[4]Controle!$A$6:$CC$25,AG$48,FALSE))</f>
        <v>-</v>
      </c>
      <c r="AH69" s="53" t="str">
        <f>IF($A69="-","-",VLOOKUP($A69,[4]Controle!$A$6:$CC$25,AH$48,FALSE))</f>
        <v>-</v>
      </c>
      <c r="AI69" s="53" t="str">
        <f>IF($A69="-","-",VLOOKUP($A69,[4]Controle!$A$6:$CC$25,AI$48,FALSE))</f>
        <v>-</v>
      </c>
      <c r="AJ69" s="53" t="str">
        <f>IF($A69="-","-",VLOOKUP($A69,[4]Controle!$A$6:$CC$25,AJ$48,FALSE))</f>
        <v>-</v>
      </c>
      <c r="AK69" s="53" t="str">
        <f>IF($A69="-","-",VLOOKUP($A69,[4]Controle!$A$6:$CC$25,AK$48,FALSE))</f>
        <v>-</v>
      </c>
      <c r="AL69" s="53" t="str">
        <f>IF($A69="-","-",VLOOKUP($A69,[4]Controle!$A$6:$CC$25,AL$48,FALSE))</f>
        <v>-</v>
      </c>
      <c r="AM69" s="53" t="str">
        <f>IF($A69="-","-",VLOOKUP($A69,[4]Controle!$A$6:$CC$25,AM$48,FALSE))</f>
        <v>-</v>
      </c>
      <c r="AN69" s="53" t="str">
        <f>IF($A69="-","-",VLOOKUP($A69,[4]Controle!$A$6:$CC$25,AN$48,FALSE))</f>
        <v>-</v>
      </c>
      <c r="AO69" s="53" t="str">
        <f>IF($A69="-","-",VLOOKUP($A69,[4]Controle!$A$6:$CC$25,AO$48,FALSE))</f>
        <v>-</v>
      </c>
      <c r="AP69" s="53" t="str">
        <f>IF($A69="-","-",VLOOKUP($A69,[4]Controle!$A$6:$CC$25,AP$48,FALSE))</f>
        <v>-</v>
      </c>
      <c r="AQ69" s="53" t="str">
        <f>IF($A69="-","-",VLOOKUP($A69,[4]Controle!$A$6:$CC$25,AQ$48,FALSE))</f>
        <v>-</v>
      </c>
      <c r="AR69" s="53" t="str">
        <f>IF($A69="-","-",VLOOKUP($A69,[4]Controle!$A$6:$CC$25,AR$48,FALSE))</f>
        <v>-</v>
      </c>
      <c r="AS69" s="53" t="str">
        <f>IF($A69="-","-",VLOOKUP($A69,[4]Controle!$A$6:$CC$25,AS$48,FALSE))</f>
        <v>-</v>
      </c>
      <c r="AT69" s="53" t="str">
        <f>IF($A69="-","-",VLOOKUP($A69,[4]Controle!$A$6:$CC$25,AT$48,FALSE))</f>
        <v>-</v>
      </c>
      <c r="AU69" s="53" t="str">
        <f>IF($A69="-","-",VLOOKUP($A69,[4]Controle!$A$6:$CC$25,AU$48,FALSE))</f>
        <v>-</v>
      </c>
      <c r="AV69" s="53" t="str">
        <f>IF($A69="-","-",VLOOKUP($A69,[4]Controle!$A$6:$CC$25,AV$48,FALSE))</f>
        <v>-</v>
      </c>
      <c r="AW69" s="53" t="str">
        <f>IF($A69="-","-",VLOOKUP($A69,[4]Controle!$A$6:$CC$25,AW$48,FALSE))</f>
        <v>-</v>
      </c>
      <c r="AX69" s="53" t="str">
        <f>IF($A69="-","-",VLOOKUP($A69,[4]Controle!$A$6:$CC$25,AX$48,FALSE))</f>
        <v>-</v>
      </c>
      <c r="AY69" s="53" t="str">
        <f>IF($A69="-","-",VLOOKUP($A69,[4]Controle!$A$6:$CC$25,AY$48,FALSE))</f>
        <v>-</v>
      </c>
      <c r="AZ69" s="53" t="str">
        <f>IF($A69="-","-",VLOOKUP($A69,[4]Controle!$A$6:$CC$25,AZ$48,FALSE))</f>
        <v>-</v>
      </c>
      <c r="BA69" s="53" t="str">
        <f>IF($A69="-","-",VLOOKUP($A69,[4]Controle!$A$6:$CC$25,BA$48,FALSE))</f>
        <v>-</v>
      </c>
      <c r="BB69" s="53" t="str">
        <f>IF($A69="-","-",VLOOKUP($A69,[4]Controle!$A$6:$CC$25,BB$48,FALSE))</f>
        <v>-</v>
      </c>
      <c r="BC69" s="53" t="str">
        <f>IF($A69="-","-",VLOOKUP($A69,[4]Controle!$A$6:$CC$25,BC$48,FALSE))</f>
        <v>-</v>
      </c>
      <c r="BD69" s="53" t="str">
        <f>IF($A69="-","-",VLOOKUP($A69,[4]Controle!$A$6:$CC$25,BD$48,FALSE))</f>
        <v>-</v>
      </c>
      <c r="BE69" s="53" t="str">
        <f>IF($A69="-","-",VLOOKUP($A69,[4]Controle!$A$6:$CC$25,BE$48,FALSE))</f>
        <v>-</v>
      </c>
      <c r="BF69" s="53" t="str">
        <f>IF($A69="-","-",VLOOKUP($A69,[4]Controle!$A$6:$CC$25,BF$48,FALSE))</f>
        <v>-</v>
      </c>
      <c r="BG69" s="53" t="str">
        <f>IF($A69="-","-",VLOOKUP($A69,[4]Controle!$A$6:$CC$25,BG$48,FALSE))</f>
        <v>-</v>
      </c>
      <c r="BH69" s="53" t="str">
        <f>IF($A69="-","-",VLOOKUP($A69,[4]Controle!$A$6:$CC$25,BH$48,FALSE))</f>
        <v>-</v>
      </c>
      <c r="BI69" s="53" t="str">
        <f>IF($A69="-","-",VLOOKUP($A69,[4]Controle!$A$6:$CC$25,BI$48,FALSE))</f>
        <v>-</v>
      </c>
      <c r="BJ69" s="53" t="str">
        <f>IF($A69="-","-",VLOOKUP($A69,[4]Controle!$A$6:$CC$25,BJ$48,FALSE))</f>
        <v>-</v>
      </c>
      <c r="BK69" s="53" t="str">
        <f>IF($A69="-","-",VLOOKUP($A69,[4]Controle!$A$6:$CC$25,BK$48,FALSE))</f>
        <v>-</v>
      </c>
      <c r="BL69" s="53" t="str">
        <f>IF($A69="-","-",VLOOKUP($A69,[4]Controle!$A$6:$CC$25,BL$48,FALSE))</f>
        <v>-</v>
      </c>
      <c r="BM69" s="53" t="str">
        <f>IF($A69="-","-",VLOOKUP($A69,[4]Controle!$A$6:$CC$25,BM$48,FALSE))</f>
        <v>-</v>
      </c>
      <c r="BN69" s="53" t="str">
        <f>IF($A69="-","-",VLOOKUP($A69,[4]Controle!$A$6:$CC$25,BN$48,FALSE))</f>
        <v>-</v>
      </c>
      <c r="BO69" s="53" t="str">
        <f>IF($A69="-","-",VLOOKUP($A69,[4]Controle!$A$6:$CC$25,BO$48,FALSE))</f>
        <v>-</v>
      </c>
      <c r="BP69" s="53" t="str">
        <f>IF($A69="-","-",VLOOKUP($A69,[4]Controle!$A$6:$CC$25,BP$48,FALSE))</f>
        <v>-</v>
      </c>
      <c r="BQ69" s="53" t="str">
        <f>IF($A69="-","-",VLOOKUP($A69,[4]Controle!$A$6:$CC$25,BQ$48,FALSE))</f>
        <v>-</v>
      </c>
      <c r="BR69" s="53" t="str">
        <f>IF($A69="-","-",VLOOKUP($A69,[4]Controle!$A$6:$CC$25,BR$48,FALSE))</f>
        <v>-</v>
      </c>
      <c r="BS69" s="53" t="str">
        <f>IF($A69="-","-",VLOOKUP($A69,[4]Controle!$A$6:$CC$25,BS$48,FALSE))</f>
        <v>-</v>
      </c>
      <c r="BT69" s="53" t="str">
        <f>IF($A69="-","-",VLOOKUP($A69,[4]Controle!$A$6:$CC$25,BT$48,FALSE))</f>
        <v>-</v>
      </c>
      <c r="BU69" s="53" t="str">
        <f>IF($A69="-","-",VLOOKUP($A69,[4]Controle!$A$6:$CC$25,BU$48,FALSE))</f>
        <v>-</v>
      </c>
      <c r="BV69" s="53" t="str">
        <f>IF($A69="-","-",VLOOKUP($A69,[4]Controle!$A$6:$CC$25,BV$48,FALSE))</f>
        <v>-</v>
      </c>
      <c r="BW69" s="53" t="str">
        <f>IF($A69="-","-",VLOOKUP($A69,[4]Controle!$A$6:$CC$25,BW$48,FALSE))</f>
        <v>-</v>
      </c>
      <c r="BX69" s="53" t="str">
        <f>IF($A69="-","-",VLOOKUP($A69,[4]Controle!$A$6:$CC$25,BX$48,FALSE))</f>
        <v>-</v>
      </c>
      <c r="BY69" s="53" t="str">
        <f>IF($A69="-","-",VLOOKUP($A69,[4]Controle!$A$6:$CC$25,BY$48,FALSE))</f>
        <v>-</v>
      </c>
      <c r="BZ69" s="53" t="str">
        <f>IF($A69="-","-",VLOOKUP($A69,[4]Controle!$A$6:$CC$25,BZ$48,FALSE))</f>
        <v>-</v>
      </c>
      <c r="CA69" s="53" t="str">
        <f>IF($A69="-","-",VLOOKUP($A69,[4]Controle!$A$6:$CC$25,CA$48,FALSE))</f>
        <v>-</v>
      </c>
      <c r="CB69" s="53" t="str">
        <f>IF($A69="-","-",VLOOKUP($A69,[4]Controle!$A$6:$CC$25,CB$48,FALSE))</f>
        <v>-</v>
      </c>
      <c r="CC69" s="53" t="str">
        <f>IF($A69="-","-",VLOOKUP($A69,[4]Controle!$A$6:$CC$25,CC$48,FALSE))</f>
        <v>-</v>
      </c>
      <c r="CT69" s="41">
        <f>IF(CV69="-",0,MAX($CT$51:CT68)+1)</f>
        <v>0</v>
      </c>
      <c r="CU69" s="53" t="str">
        <f t="shared" si="28"/>
        <v>-</v>
      </c>
      <c r="CV69" s="53" t="str">
        <f t="shared" si="23"/>
        <v>-</v>
      </c>
      <c r="CW69" s="53" t="str">
        <f t="shared" si="29"/>
        <v>-</v>
      </c>
      <c r="CY69" s="41" t="str">
        <f t="shared" si="25"/>
        <v>-</v>
      </c>
    </row>
    <row r="70" spans="1:103" x14ac:dyDescent="0.3">
      <c r="A70" s="56" t="s">
        <v>54</v>
      </c>
      <c r="B70" s="53" t="str">
        <f>IF($A70="-","-",VLOOKUP($A70,[4]Controle!$A$6:$CC$25,B$48,FALSE))</f>
        <v>-</v>
      </c>
      <c r="C70" s="53" t="str">
        <f>IF($A70="-","-",VLOOKUP($A70,[4]Controle!$A$6:$CC$25,C$48,FALSE))</f>
        <v>-</v>
      </c>
      <c r="D70" s="53" t="str">
        <f>IF($A70="-","-",VLOOKUP($A70,[4]Controle!$A$6:$CC$25,D$48,FALSE))</f>
        <v>-</v>
      </c>
      <c r="E70" s="53" t="str">
        <f>IF($A70="-","-",VLOOKUP($A70,[4]Controle!$A$6:$CC$25,E$48,FALSE))</f>
        <v>-</v>
      </c>
      <c r="F70" s="53" t="str">
        <f>IF($A70="-","-",VLOOKUP($A70,[4]Controle!$A$6:$CC$25,F$48,FALSE))</f>
        <v>-</v>
      </c>
      <c r="G70" s="54" t="str">
        <f>IF($A70="-","-",VLOOKUP($A70,[4]Controle!$A$6:$CC$25,G$48,FALSE))</f>
        <v>-</v>
      </c>
      <c r="H70" s="55" t="str">
        <f>IF($A70="-","-",VLOOKUP($A70,[4]Controle!$A$6:$CC$25,H$48,FALSE))</f>
        <v>-</v>
      </c>
      <c r="I70" s="53" t="str">
        <f>IF($A70="-","-",VLOOKUP($A70,[4]Controle!$A$6:$CC$25,I$48,FALSE))</f>
        <v>-</v>
      </c>
      <c r="J70" s="53" t="str">
        <f>IF($A70="-","-",VLOOKUP($A70,[4]Controle!$A$6:$CC$25,J$48,FALSE))</f>
        <v>-</v>
      </c>
      <c r="K70" s="53" t="str">
        <f>IF($A70="-","-",VLOOKUP($A70,[4]Controle!$A$6:$CC$25,K$48,FALSE))</f>
        <v>-</v>
      </c>
      <c r="L70" s="53" t="str">
        <f>IF($A70="-","-",VLOOKUP($A70,[4]Controle!$A$6:$CC$25,L$48,FALSE))</f>
        <v>-</v>
      </c>
      <c r="M70" s="53" t="str">
        <f>IF($A70="-","-",VLOOKUP($A70,[4]Controle!$A$6:$CC$25,M$48,FALSE))</f>
        <v>-</v>
      </c>
      <c r="N70" s="53" t="str">
        <f>IF($A70="-","-",VLOOKUP($A70,[4]Controle!$A$6:$CC$25,N$48,FALSE))</f>
        <v>-</v>
      </c>
      <c r="O70" s="53" t="str">
        <f>IF($A70="-","-",VLOOKUP($A70,[4]Controle!$A$6:$CC$25,O$48,FALSE))</f>
        <v>-</v>
      </c>
      <c r="P70" s="53" t="str">
        <f>IF($A70="-","-",VLOOKUP($A70,[4]Controle!$A$6:$CC$25,P$48,FALSE))</f>
        <v>-</v>
      </c>
      <c r="Q70" s="53" t="str">
        <f>IF($A70="-","-",VLOOKUP($A70,[4]Controle!$A$6:$CC$25,Q$48,FALSE))</f>
        <v>-</v>
      </c>
      <c r="R70" s="53" t="str">
        <f>IF($A70="-","-",VLOOKUP($A70,[4]Controle!$A$6:$CC$25,R$48,FALSE))</f>
        <v>-</v>
      </c>
      <c r="S70" s="53" t="str">
        <f>IF($A70="-","-",VLOOKUP($A70,[4]Controle!$A$6:$CC$25,S$48,FALSE))</f>
        <v>-</v>
      </c>
      <c r="T70" s="53" t="str">
        <f>IF($A70="-","-",VLOOKUP($A70,[4]Controle!$A$6:$CC$25,T$48,FALSE))</f>
        <v>-</v>
      </c>
      <c r="U70" s="53" t="str">
        <f>IF($A70="-","-",VLOOKUP($A70,[4]Controle!$A$6:$CC$25,U$48,FALSE))</f>
        <v>-</v>
      </c>
      <c r="V70" s="53" t="str">
        <f>IF($A70="-","-",VLOOKUP($A70,[4]Controle!$A$6:$CC$25,V$48,FALSE))</f>
        <v>-</v>
      </c>
      <c r="W70" s="53" t="str">
        <f>IF($A70="-","-",VLOOKUP($A70,[4]Controle!$A$6:$CC$25,W$48,FALSE))</f>
        <v>-</v>
      </c>
      <c r="X70" s="53" t="str">
        <f>IF($A70="-","-",VLOOKUP($A70,[4]Controle!$A$6:$CC$25,X$48,FALSE))</f>
        <v>-</v>
      </c>
      <c r="Y70" s="53" t="str">
        <f>IF($A70="-","-",VLOOKUP($A70,[4]Controle!$A$6:$CC$25,Y$48,FALSE))</f>
        <v>-</v>
      </c>
      <c r="Z70" s="53" t="str">
        <f>IF($A70="-","-",VLOOKUP($A70,[4]Controle!$A$6:$CC$25,Z$48,FALSE))</f>
        <v>-</v>
      </c>
      <c r="AA70" s="53" t="str">
        <f>IF($A70="-","-",VLOOKUP($A70,[4]Controle!$A$6:$CC$25,AA$48,FALSE))</f>
        <v>-</v>
      </c>
      <c r="AB70" s="53" t="str">
        <f>IF($A70="-","-",VLOOKUP($A70,[4]Controle!$A$6:$CC$25,AB$48,FALSE))</f>
        <v>-</v>
      </c>
      <c r="AC70" s="53" t="str">
        <f>IF($A70="-","-",VLOOKUP($A70,[4]Controle!$A$6:$CC$25,AC$48,FALSE))</f>
        <v>-</v>
      </c>
      <c r="AD70" s="53" t="str">
        <f>IF($A70="-","-",VLOOKUP($A70,[4]Controle!$A$6:$CC$25,AD$48,FALSE))</f>
        <v>-</v>
      </c>
      <c r="AE70" s="53" t="str">
        <f>IF($A70="-","-",VLOOKUP($A70,[4]Controle!$A$6:$CC$25,AE$48,FALSE))</f>
        <v>-</v>
      </c>
      <c r="AF70" s="53" t="str">
        <f>IF($A70="-","-",VLOOKUP($A70,[4]Controle!$A$6:$CC$25,AF$48,FALSE))</f>
        <v>-</v>
      </c>
      <c r="AG70" s="53" t="str">
        <f>IF($A70="-","-",VLOOKUP($A70,[4]Controle!$A$6:$CC$25,AG$48,FALSE))</f>
        <v>-</v>
      </c>
      <c r="AH70" s="53" t="str">
        <f>IF($A70="-","-",VLOOKUP($A70,[4]Controle!$A$6:$CC$25,AH$48,FALSE))</f>
        <v>-</v>
      </c>
      <c r="AI70" s="53" t="str">
        <f>IF($A70="-","-",VLOOKUP($A70,[4]Controle!$A$6:$CC$25,AI$48,FALSE))</f>
        <v>-</v>
      </c>
      <c r="AJ70" s="53" t="str">
        <f>IF($A70="-","-",VLOOKUP($A70,[4]Controle!$A$6:$CC$25,AJ$48,FALSE))</f>
        <v>-</v>
      </c>
      <c r="AK70" s="53" t="str">
        <f>IF($A70="-","-",VLOOKUP($A70,[4]Controle!$A$6:$CC$25,AK$48,FALSE))</f>
        <v>-</v>
      </c>
      <c r="AL70" s="53" t="str">
        <f>IF($A70="-","-",VLOOKUP($A70,[4]Controle!$A$6:$CC$25,AL$48,FALSE))</f>
        <v>-</v>
      </c>
      <c r="AM70" s="53" t="str">
        <f>IF($A70="-","-",VLOOKUP($A70,[4]Controle!$A$6:$CC$25,AM$48,FALSE))</f>
        <v>-</v>
      </c>
      <c r="AN70" s="53" t="str">
        <f>IF($A70="-","-",VLOOKUP($A70,[4]Controle!$A$6:$CC$25,AN$48,FALSE))</f>
        <v>-</v>
      </c>
      <c r="AO70" s="53" t="str">
        <f>IF($A70="-","-",VLOOKUP($A70,[4]Controle!$A$6:$CC$25,AO$48,FALSE))</f>
        <v>-</v>
      </c>
      <c r="AP70" s="53" t="str">
        <f>IF($A70="-","-",VLOOKUP($A70,[4]Controle!$A$6:$CC$25,AP$48,FALSE))</f>
        <v>-</v>
      </c>
      <c r="AQ70" s="53" t="str">
        <f>IF($A70="-","-",VLOOKUP($A70,[4]Controle!$A$6:$CC$25,AQ$48,FALSE))</f>
        <v>-</v>
      </c>
      <c r="AR70" s="53" t="str">
        <f>IF($A70="-","-",VLOOKUP($A70,[4]Controle!$A$6:$CC$25,AR$48,FALSE))</f>
        <v>-</v>
      </c>
      <c r="AS70" s="53" t="str">
        <f>IF($A70="-","-",VLOOKUP($A70,[4]Controle!$A$6:$CC$25,AS$48,FALSE))</f>
        <v>-</v>
      </c>
      <c r="AT70" s="53" t="str">
        <f>IF($A70="-","-",VLOOKUP($A70,[4]Controle!$A$6:$CC$25,AT$48,FALSE))</f>
        <v>-</v>
      </c>
      <c r="AU70" s="53" t="str">
        <f>IF($A70="-","-",VLOOKUP($A70,[4]Controle!$A$6:$CC$25,AU$48,FALSE))</f>
        <v>-</v>
      </c>
      <c r="AV70" s="53" t="str">
        <f>IF($A70="-","-",VLOOKUP($A70,[4]Controle!$A$6:$CC$25,AV$48,FALSE))</f>
        <v>-</v>
      </c>
      <c r="AW70" s="53" t="str">
        <f>IF($A70="-","-",VLOOKUP($A70,[4]Controle!$A$6:$CC$25,AW$48,FALSE))</f>
        <v>-</v>
      </c>
      <c r="AX70" s="53" t="str">
        <f>IF($A70="-","-",VLOOKUP($A70,[4]Controle!$A$6:$CC$25,AX$48,FALSE))</f>
        <v>-</v>
      </c>
      <c r="AY70" s="53" t="str">
        <f>IF($A70="-","-",VLOOKUP($A70,[4]Controle!$A$6:$CC$25,AY$48,FALSE))</f>
        <v>-</v>
      </c>
      <c r="AZ70" s="53" t="str">
        <f>IF($A70="-","-",VLOOKUP($A70,[4]Controle!$A$6:$CC$25,AZ$48,FALSE))</f>
        <v>-</v>
      </c>
      <c r="BA70" s="53" t="str">
        <f>IF($A70="-","-",VLOOKUP($A70,[4]Controle!$A$6:$CC$25,BA$48,FALSE))</f>
        <v>-</v>
      </c>
      <c r="BB70" s="53" t="str">
        <f>IF($A70="-","-",VLOOKUP($A70,[4]Controle!$A$6:$CC$25,BB$48,FALSE))</f>
        <v>-</v>
      </c>
      <c r="BC70" s="53" t="str">
        <f>IF($A70="-","-",VLOOKUP($A70,[4]Controle!$A$6:$CC$25,BC$48,FALSE))</f>
        <v>-</v>
      </c>
      <c r="BD70" s="53" t="str">
        <f>IF($A70="-","-",VLOOKUP($A70,[4]Controle!$A$6:$CC$25,BD$48,FALSE))</f>
        <v>-</v>
      </c>
      <c r="BE70" s="53" t="str">
        <f>IF($A70="-","-",VLOOKUP($A70,[4]Controle!$A$6:$CC$25,BE$48,FALSE))</f>
        <v>-</v>
      </c>
      <c r="BF70" s="53" t="str">
        <f>IF($A70="-","-",VLOOKUP($A70,[4]Controle!$A$6:$CC$25,BF$48,FALSE))</f>
        <v>-</v>
      </c>
      <c r="BG70" s="53" t="str">
        <f>IF($A70="-","-",VLOOKUP($A70,[4]Controle!$A$6:$CC$25,BG$48,FALSE))</f>
        <v>-</v>
      </c>
      <c r="BH70" s="53" t="str">
        <f>IF($A70="-","-",VLOOKUP($A70,[4]Controle!$A$6:$CC$25,BH$48,FALSE))</f>
        <v>-</v>
      </c>
      <c r="BI70" s="53" t="str">
        <f>IF($A70="-","-",VLOOKUP($A70,[4]Controle!$A$6:$CC$25,BI$48,FALSE))</f>
        <v>-</v>
      </c>
      <c r="BJ70" s="53" t="str">
        <f>IF($A70="-","-",VLOOKUP($A70,[4]Controle!$A$6:$CC$25,BJ$48,FALSE))</f>
        <v>-</v>
      </c>
      <c r="BK70" s="53" t="str">
        <f>IF($A70="-","-",VLOOKUP($A70,[4]Controle!$A$6:$CC$25,BK$48,FALSE))</f>
        <v>-</v>
      </c>
      <c r="BL70" s="53" t="str">
        <f>IF($A70="-","-",VLOOKUP($A70,[4]Controle!$A$6:$CC$25,BL$48,FALSE))</f>
        <v>-</v>
      </c>
      <c r="BM70" s="53" t="str">
        <f>IF($A70="-","-",VLOOKUP($A70,[4]Controle!$A$6:$CC$25,BM$48,FALSE))</f>
        <v>-</v>
      </c>
      <c r="BN70" s="53" t="str">
        <f>IF($A70="-","-",VLOOKUP($A70,[4]Controle!$A$6:$CC$25,BN$48,FALSE))</f>
        <v>-</v>
      </c>
      <c r="BO70" s="53" t="str">
        <f>IF($A70="-","-",VLOOKUP($A70,[4]Controle!$A$6:$CC$25,BO$48,FALSE))</f>
        <v>-</v>
      </c>
      <c r="BP70" s="53" t="str">
        <f>IF($A70="-","-",VLOOKUP($A70,[4]Controle!$A$6:$CC$25,BP$48,FALSE))</f>
        <v>-</v>
      </c>
      <c r="BQ70" s="53" t="str">
        <f>IF($A70="-","-",VLOOKUP($A70,[4]Controle!$A$6:$CC$25,BQ$48,FALSE))</f>
        <v>-</v>
      </c>
      <c r="BR70" s="53" t="str">
        <f>IF($A70="-","-",VLOOKUP($A70,[4]Controle!$A$6:$CC$25,BR$48,FALSE))</f>
        <v>-</v>
      </c>
      <c r="BS70" s="53" t="str">
        <f>IF($A70="-","-",VLOOKUP($A70,[4]Controle!$A$6:$CC$25,BS$48,FALSE))</f>
        <v>-</v>
      </c>
      <c r="BT70" s="53" t="str">
        <f>IF($A70="-","-",VLOOKUP($A70,[4]Controle!$A$6:$CC$25,BT$48,FALSE))</f>
        <v>-</v>
      </c>
      <c r="BU70" s="53" t="str">
        <f>IF($A70="-","-",VLOOKUP($A70,[4]Controle!$A$6:$CC$25,BU$48,FALSE))</f>
        <v>-</v>
      </c>
      <c r="BV70" s="53" t="str">
        <f>IF($A70="-","-",VLOOKUP($A70,[4]Controle!$A$6:$CC$25,BV$48,FALSE))</f>
        <v>-</v>
      </c>
      <c r="BW70" s="53" t="str">
        <f>IF($A70="-","-",VLOOKUP($A70,[4]Controle!$A$6:$CC$25,BW$48,FALSE))</f>
        <v>-</v>
      </c>
      <c r="BX70" s="53" t="str">
        <f>IF($A70="-","-",VLOOKUP($A70,[4]Controle!$A$6:$CC$25,BX$48,FALSE))</f>
        <v>-</v>
      </c>
      <c r="BY70" s="53" t="str">
        <f>IF($A70="-","-",VLOOKUP($A70,[4]Controle!$A$6:$CC$25,BY$48,FALSE))</f>
        <v>-</v>
      </c>
      <c r="BZ70" s="53" t="str">
        <f>IF($A70="-","-",VLOOKUP($A70,[4]Controle!$A$6:$CC$25,BZ$48,FALSE))</f>
        <v>-</v>
      </c>
      <c r="CA70" s="53" t="str">
        <f>IF($A70="-","-",VLOOKUP($A70,[4]Controle!$A$6:$CC$25,CA$48,FALSE))</f>
        <v>-</v>
      </c>
      <c r="CB70" s="53" t="str">
        <f>IF($A70="-","-",VLOOKUP($A70,[4]Controle!$A$6:$CC$25,CB$48,FALSE))</f>
        <v>-</v>
      </c>
      <c r="CC70" s="53" t="str">
        <f>IF($A70="-","-",VLOOKUP($A70,[4]Controle!$A$6:$CC$25,CC$48,FALSE))</f>
        <v>-</v>
      </c>
      <c r="CT70" s="41">
        <f>IF(CV70="-",0,MAX($CT$51:CT69)+1)</f>
        <v>0</v>
      </c>
      <c r="CU70" s="53" t="str">
        <f t="shared" si="28"/>
        <v>-</v>
      </c>
      <c r="CV70" s="53" t="str">
        <f t="shared" si="23"/>
        <v>-</v>
      </c>
      <c r="CW70" s="53" t="str">
        <f t="shared" si="29"/>
        <v>-</v>
      </c>
      <c r="CY70" s="41" t="str">
        <f t="shared" si="25"/>
        <v>-</v>
      </c>
    </row>
    <row r="71" spans="1:103" s="44" customFormat="1" x14ac:dyDescent="0.3">
      <c r="A71" s="43">
        <v>1</v>
      </c>
      <c r="B71" s="44">
        <f t="shared" ref="B71:BM71" si="30">A71+1</f>
        <v>2</v>
      </c>
      <c r="C71" s="44">
        <f t="shared" si="30"/>
        <v>3</v>
      </c>
      <c r="D71" s="44">
        <f t="shared" si="30"/>
        <v>4</v>
      </c>
      <c r="E71" s="44">
        <f t="shared" si="30"/>
        <v>5</v>
      </c>
      <c r="F71" s="44">
        <f t="shared" si="30"/>
        <v>6</v>
      </c>
      <c r="G71" s="44">
        <f t="shared" si="30"/>
        <v>7</v>
      </c>
      <c r="H71" s="44">
        <f t="shared" si="30"/>
        <v>8</v>
      </c>
      <c r="I71" s="44">
        <f t="shared" si="30"/>
        <v>9</v>
      </c>
      <c r="J71" s="44">
        <f t="shared" si="30"/>
        <v>10</v>
      </c>
      <c r="K71" s="44">
        <f t="shared" si="30"/>
        <v>11</v>
      </c>
      <c r="L71" s="44">
        <f t="shared" si="30"/>
        <v>12</v>
      </c>
      <c r="M71" s="44">
        <f t="shared" si="30"/>
        <v>13</v>
      </c>
      <c r="N71" s="44">
        <f t="shared" si="30"/>
        <v>14</v>
      </c>
      <c r="O71" s="44">
        <f t="shared" si="30"/>
        <v>15</v>
      </c>
      <c r="P71" s="44">
        <f t="shared" si="30"/>
        <v>16</v>
      </c>
      <c r="Q71" s="44">
        <f t="shared" si="30"/>
        <v>17</v>
      </c>
      <c r="R71" s="44">
        <f t="shared" si="30"/>
        <v>18</v>
      </c>
      <c r="S71" s="44">
        <f t="shared" si="30"/>
        <v>19</v>
      </c>
      <c r="T71" s="44">
        <f t="shared" si="30"/>
        <v>20</v>
      </c>
      <c r="U71" s="44">
        <f t="shared" si="30"/>
        <v>21</v>
      </c>
      <c r="V71" s="44">
        <f t="shared" si="30"/>
        <v>22</v>
      </c>
      <c r="W71" s="44">
        <f t="shared" si="30"/>
        <v>23</v>
      </c>
      <c r="X71" s="44">
        <f t="shared" si="30"/>
        <v>24</v>
      </c>
      <c r="Y71" s="44">
        <f t="shared" si="30"/>
        <v>25</v>
      </c>
      <c r="Z71" s="44">
        <f t="shared" si="30"/>
        <v>26</v>
      </c>
      <c r="AA71" s="44">
        <f t="shared" si="30"/>
        <v>27</v>
      </c>
      <c r="AB71" s="44">
        <f t="shared" si="30"/>
        <v>28</v>
      </c>
      <c r="AC71" s="44">
        <f t="shared" si="30"/>
        <v>29</v>
      </c>
      <c r="AD71" s="44">
        <f t="shared" si="30"/>
        <v>30</v>
      </c>
      <c r="AE71" s="44">
        <f t="shared" si="30"/>
        <v>31</v>
      </c>
      <c r="AF71" s="44">
        <f t="shared" si="30"/>
        <v>32</v>
      </c>
      <c r="AG71" s="44">
        <f t="shared" si="30"/>
        <v>33</v>
      </c>
      <c r="AH71" s="44">
        <f t="shared" si="30"/>
        <v>34</v>
      </c>
      <c r="AI71" s="44">
        <f t="shared" si="30"/>
        <v>35</v>
      </c>
      <c r="AJ71" s="44">
        <f t="shared" si="30"/>
        <v>36</v>
      </c>
      <c r="AK71" s="44">
        <f t="shared" si="30"/>
        <v>37</v>
      </c>
      <c r="AL71" s="44">
        <f t="shared" si="30"/>
        <v>38</v>
      </c>
      <c r="AM71" s="44">
        <f t="shared" si="30"/>
        <v>39</v>
      </c>
      <c r="AN71" s="44">
        <f t="shared" si="30"/>
        <v>40</v>
      </c>
      <c r="AO71" s="44">
        <f t="shared" si="30"/>
        <v>41</v>
      </c>
      <c r="AP71" s="44">
        <f t="shared" si="30"/>
        <v>42</v>
      </c>
      <c r="AQ71" s="44">
        <f t="shared" si="30"/>
        <v>43</v>
      </c>
      <c r="AR71" s="44">
        <f t="shared" si="30"/>
        <v>44</v>
      </c>
      <c r="AS71" s="44">
        <f t="shared" si="30"/>
        <v>45</v>
      </c>
      <c r="AT71" s="44">
        <f t="shared" si="30"/>
        <v>46</v>
      </c>
      <c r="AU71" s="44">
        <f t="shared" si="30"/>
        <v>47</v>
      </c>
      <c r="AV71" s="44">
        <f t="shared" si="30"/>
        <v>48</v>
      </c>
      <c r="AW71" s="44">
        <f t="shared" si="30"/>
        <v>49</v>
      </c>
      <c r="AX71" s="44">
        <f t="shared" si="30"/>
        <v>50</v>
      </c>
      <c r="AY71" s="44">
        <f t="shared" si="30"/>
        <v>51</v>
      </c>
      <c r="AZ71" s="44">
        <f t="shared" si="30"/>
        <v>52</v>
      </c>
      <c r="BA71" s="44">
        <f t="shared" si="30"/>
        <v>53</v>
      </c>
      <c r="BB71" s="44">
        <f t="shared" si="30"/>
        <v>54</v>
      </c>
      <c r="BC71" s="44">
        <f t="shared" si="30"/>
        <v>55</v>
      </c>
      <c r="BD71" s="44">
        <f t="shared" si="30"/>
        <v>56</v>
      </c>
      <c r="BE71" s="44">
        <f t="shared" si="30"/>
        <v>57</v>
      </c>
      <c r="BF71" s="44">
        <f t="shared" si="30"/>
        <v>58</v>
      </c>
      <c r="BG71" s="44">
        <f t="shared" si="30"/>
        <v>59</v>
      </c>
      <c r="BH71" s="44">
        <f t="shared" si="30"/>
        <v>60</v>
      </c>
      <c r="BI71" s="44">
        <f t="shared" si="30"/>
        <v>61</v>
      </c>
      <c r="BJ71" s="44">
        <f t="shared" si="30"/>
        <v>62</v>
      </c>
      <c r="BK71" s="44">
        <f t="shared" si="30"/>
        <v>63</v>
      </c>
      <c r="BL71" s="44">
        <f t="shared" si="30"/>
        <v>64</v>
      </c>
      <c r="BM71" s="44">
        <f t="shared" si="30"/>
        <v>65</v>
      </c>
      <c r="BN71" s="44">
        <f t="shared" ref="BN71:CV71" si="31">BM71+1</f>
        <v>66</v>
      </c>
      <c r="BO71" s="44">
        <f t="shared" si="31"/>
        <v>67</v>
      </c>
      <c r="BP71" s="44">
        <f t="shared" si="31"/>
        <v>68</v>
      </c>
      <c r="BQ71" s="44">
        <f t="shared" si="31"/>
        <v>69</v>
      </c>
      <c r="BR71" s="44">
        <f t="shared" si="31"/>
        <v>70</v>
      </c>
      <c r="BS71" s="44">
        <f t="shared" si="31"/>
        <v>71</v>
      </c>
      <c r="BT71" s="44">
        <f t="shared" si="31"/>
        <v>72</v>
      </c>
      <c r="BU71" s="44">
        <f t="shared" si="31"/>
        <v>73</v>
      </c>
      <c r="BV71" s="44">
        <f t="shared" si="31"/>
        <v>74</v>
      </c>
      <c r="BW71" s="44">
        <f t="shared" si="31"/>
        <v>75</v>
      </c>
      <c r="BX71" s="44">
        <f t="shared" si="31"/>
        <v>76</v>
      </c>
      <c r="BY71" s="44">
        <f t="shared" si="31"/>
        <v>77</v>
      </c>
      <c r="BZ71" s="44">
        <f t="shared" si="31"/>
        <v>78</v>
      </c>
      <c r="CA71" s="44">
        <f t="shared" si="31"/>
        <v>79</v>
      </c>
      <c r="CB71" s="44">
        <f t="shared" si="31"/>
        <v>80</v>
      </c>
      <c r="CC71" s="44">
        <f t="shared" si="31"/>
        <v>81</v>
      </c>
      <c r="CD71" s="44">
        <f t="shared" si="31"/>
        <v>82</v>
      </c>
      <c r="CE71" s="44">
        <f t="shared" si="31"/>
        <v>83</v>
      </c>
      <c r="CF71" s="44">
        <f t="shared" si="31"/>
        <v>84</v>
      </c>
      <c r="CG71" s="44">
        <f t="shared" si="31"/>
        <v>85</v>
      </c>
      <c r="CH71" s="44">
        <f t="shared" si="31"/>
        <v>86</v>
      </c>
      <c r="CI71" s="44">
        <f t="shared" si="31"/>
        <v>87</v>
      </c>
      <c r="CJ71" s="44">
        <f t="shared" si="31"/>
        <v>88</v>
      </c>
      <c r="CK71" s="44">
        <f t="shared" si="31"/>
        <v>89</v>
      </c>
      <c r="CL71" s="44">
        <f t="shared" si="31"/>
        <v>90</v>
      </c>
      <c r="CM71" s="44">
        <f t="shared" si="31"/>
        <v>91</v>
      </c>
      <c r="CN71" s="44">
        <f t="shared" si="31"/>
        <v>92</v>
      </c>
      <c r="CO71" s="44">
        <f t="shared" si="31"/>
        <v>93</v>
      </c>
      <c r="CP71" s="44">
        <f t="shared" si="31"/>
        <v>94</v>
      </c>
      <c r="CQ71" s="44">
        <f t="shared" si="31"/>
        <v>95</v>
      </c>
      <c r="CR71" s="44">
        <f t="shared" si="31"/>
        <v>96</v>
      </c>
      <c r="CS71" s="44">
        <f t="shared" si="31"/>
        <v>97</v>
      </c>
      <c r="CT71" s="44">
        <f t="shared" si="31"/>
        <v>98</v>
      </c>
      <c r="CU71" s="44">
        <f t="shared" si="31"/>
        <v>99</v>
      </c>
      <c r="CV71" s="44">
        <f t="shared" si="31"/>
        <v>100</v>
      </c>
    </row>
    <row r="72" spans="1:103" s="28" customFormat="1" ht="21" x14ac:dyDescent="0.3">
      <c r="A72" s="45"/>
      <c r="B72" s="40" t="s">
        <v>252</v>
      </c>
      <c r="R72" s="515" t="s">
        <v>141</v>
      </c>
      <c r="S72" s="516"/>
      <c r="T72" s="516"/>
      <c r="U72" s="516"/>
      <c r="V72" s="516"/>
      <c r="W72" s="516"/>
      <c r="X72" s="516"/>
      <c r="Y72" s="516"/>
      <c r="Z72" s="516"/>
      <c r="AA72" s="516"/>
      <c r="AB72" s="517"/>
      <c r="AC72" s="518" t="s">
        <v>142</v>
      </c>
      <c r="AD72" s="519"/>
      <c r="AE72" s="519"/>
      <c r="AF72" s="520"/>
      <c r="AG72" s="511" t="s">
        <v>143</v>
      </c>
      <c r="AH72" s="512"/>
      <c r="AI72" s="512"/>
      <c r="AJ72" s="513"/>
      <c r="AK72" s="518" t="s">
        <v>144</v>
      </c>
      <c r="AL72" s="519"/>
      <c r="AM72" s="519"/>
      <c r="AN72" s="520"/>
      <c r="AO72" s="511" t="s">
        <v>145</v>
      </c>
      <c r="AP72" s="512"/>
      <c r="AQ72" s="512"/>
      <c r="AR72" s="513"/>
      <c r="AS72" s="518" t="s">
        <v>146</v>
      </c>
      <c r="AT72" s="519"/>
      <c r="AU72" s="519"/>
      <c r="AV72" s="520"/>
      <c r="AW72" s="511" t="s">
        <v>147</v>
      </c>
      <c r="AX72" s="512"/>
      <c r="AY72" s="512"/>
      <c r="AZ72" s="513"/>
      <c r="BA72" s="518" t="s">
        <v>148</v>
      </c>
      <c r="BB72" s="519"/>
      <c r="BC72" s="519"/>
      <c r="BD72" s="520"/>
      <c r="BE72" s="511" t="s">
        <v>149</v>
      </c>
      <c r="BF72" s="512"/>
      <c r="BG72" s="512"/>
      <c r="BH72" s="513"/>
      <c r="BI72" s="518" t="s">
        <v>150</v>
      </c>
      <c r="BJ72" s="519"/>
      <c r="BK72" s="519"/>
      <c r="BL72" s="520"/>
      <c r="BM72" s="511" t="s">
        <v>151</v>
      </c>
      <c r="BN72" s="512"/>
      <c r="BO72" s="512"/>
      <c r="BP72" s="513"/>
      <c r="CU72" s="46"/>
    </row>
    <row r="73" spans="1:103" s="28" customFormat="1" x14ac:dyDescent="0.3">
      <c r="A73" s="45"/>
      <c r="B73" s="47" t="s">
        <v>152</v>
      </c>
      <c r="C73" s="47" t="s">
        <v>153</v>
      </c>
      <c r="D73" s="47" t="s">
        <v>154</v>
      </c>
      <c r="E73" s="47" t="s">
        <v>155</v>
      </c>
      <c r="F73" s="47" t="s">
        <v>156</v>
      </c>
      <c r="G73" s="47" t="s">
        <v>157</v>
      </c>
      <c r="H73" s="47" t="s">
        <v>158</v>
      </c>
      <c r="I73" s="47" t="s">
        <v>159</v>
      </c>
      <c r="J73" s="47" t="s">
        <v>160</v>
      </c>
      <c r="K73" s="47" t="s">
        <v>161</v>
      </c>
      <c r="L73" s="47" t="s">
        <v>162</v>
      </c>
      <c r="M73" s="47" t="s">
        <v>163</v>
      </c>
      <c r="N73" s="47" t="s">
        <v>134</v>
      </c>
      <c r="O73" s="47" t="s">
        <v>164</v>
      </c>
      <c r="P73" s="47" t="s">
        <v>165</v>
      </c>
      <c r="Q73" s="47" t="s">
        <v>135</v>
      </c>
      <c r="R73" s="48" t="s">
        <v>166</v>
      </c>
      <c r="S73" s="48" t="s">
        <v>167</v>
      </c>
      <c r="T73" s="48" t="s">
        <v>168</v>
      </c>
      <c r="U73" s="48" t="s">
        <v>169</v>
      </c>
      <c r="V73" s="48" t="s">
        <v>170</v>
      </c>
      <c r="W73" s="48" t="s">
        <v>171</v>
      </c>
      <c r="X73" s="48" t="s">
        <v>172</v>
      </c>
      <c r="Y73" s="48" t="s">
        <v>173</v>
      </c>
      <c r="Z73" s="48" t="s">
        <v>174</v>
      </c>
      <c r="AA73" s="48" t="s">
        <v>175</v>
      </c>
      <c r="AB73" s="48" t="s">
        <v>176</v>
      </c>
      <c r="AC73" s="49" t="s">
        <v>177</v>
      </c>
      <c r="AD73" s="49" t="s">
        <v>178</v>
      </c>
      <c r="AE73" s="49" t="s">
        <v>179</v>
      </c>
      <c r="AF73" s="49" t="s">
        <v>180</v>
      </c>
      <c r="AG73" s="50" t="s">
        <v>181</v>
      </c>
      <c r="AH73" s="50" t="s">
        <v>182</v>
      </c>
      <c r="AI73" s="50" t="s">
        <v>183</v>
      </c>
      <c r="AJ73" s="50" t="s">
        <v>184</v>
      </c>
      <c r="AK73" s="49" t="s">
        <v>185</v>
      </c>
      <c r="AL73" s="49" t="s">
        <v>186</v>
      </c>
      <c r="AM73" s="49" t="s">
        <v>187</v>
      </c>
      <c r="AN73" s="49" t="s">
        <v>188</v>
      </c>
      <c r="AO73" s="50" t="s">
        <v>189</v>
      </c>
      <c r="AP73" s="50" t="s">
        <v>190</v>
      </c>
      <c r="AQ73" s="50" t="s">
        <v>191</v>
      </c>
      <c r="AR73" s="50" t="s">
        <v>192</v>
      </c>
      <c r="AS73" s="49" t="s">
        <v>193</v>
      </c>
      <c r="AT73" s="49" t="s">
        <v>194</v>
      </c>
      <c r="AU73" s="49" t="s">
        <v>195</v>
      </c>
      <c r="AV73" s="49" t="s">
        <v>196</v>
      </c>
      <c r="AW73" s="50" t="s">
        <v>197</v>
      </c>
      <c r="AX73" s="50" t="s">
        <v>198</v>
      </c>
      <c r="AY73" s="50" t="s">
        <v>199</v>
      </c>
      <c r="AZ73" s="50" t="s">
        <v>200</v>
      </c>
      <c r="BA73" s="49" t="s">
        <v>201</v>
      </c>
      <c r="BB73" s="49" t="s">
        <v>202</v>
      </c>
      <c r="BC73" s="49" t="s">
        <v>203</v>
      </c>
      <c r="BD73" s="49" t="s">
        <v>204</v>
      </c>
      <c r="BE73" s="50" t="s">
        <v>205</v>
      </c>
      <c r="BF73" s="50" t="s">
        <v>206</v>
      </c>
      <c r="BG73" s="50" t="s">
        <v>207</v>
      </c>
      <c r="BH73" s="50" t="s">
        <v>208</v>
      </c>
      <c r="BI73" s="49" t="s">
        <v>209</v>
      </c>
      <c r="BJ73" s="49" t="s">
        <v>210</v>
      </c>
      <c r="BK73" s="49" t="s">
        <v>211</v>
      </c>
      <c r="BL73" s="49" t="s">
        <v>212</v>
      </c>
      <c r="BM73" s="50" t="s">
        <v>213</v>
      </c>
      <c r="BN73" s="50" t="s">
        <v>214</v>
      </c>
      <c r="BO73" s="50" t="s">
        <v>215</v>
      </c>
      <c r="BP73" s="50" t="s">
        <v>216</v>
      </c>
      <c r="CT73" s="28">
        <f ca="1">MAX(CT74:CT93)</f>
        <v>6</v>
      </c>
      <c r="CU73" s="51" t="s">
        <v>217</v>
      </c>
      <c r="CV73" s="51" t="s">
        <v>253</v>
      </c>
    </row>
    <row r="74" spans="1:103" x14ac:dyDescent="0.3">
      <c r="A74" s="52">
        <v>93</v>
      </c>
      <c r="B74" s="53" t="str">
        <f>IF($A74="-","-",VLOOKUP($A74,[2]Controle!$A$6:$BP$215,B$71,FALSE))</f>
        <v>E.TH.LQ-008</v>
      </c>
      <c r="C74" s="53" t="str">
        <f>IF($A74="-","-",VLOOKUP($A74,[2]Controle!$A$6:$BP$215,C$71,FALSE))</f>
        <v>Termômetro Digital</v>
      </c>
      <c r="D74" s="53" t="str">
        <f>IF($A74="-","-",VLOOKUP($A74,[2]Controle!$A$6:$BP$215,D$71,FALSE))</f>
        <v>Elus</v>
      </c>
      <c r="E74" s="53" t="str">
        <f>IF($A74="-","-",VLOOKUP($A74,[2]Controle!$A$6:$BP$215,E$71,FALSE))</f>
        <v>RBC - CAL 0439</v>
      </c>
      <c r="F74" s="53" t="str">
        <f>IF($A74="-","-",VLOOKUP($A74,[2]Controle!$A$6:$BP$215,F$71,FALSE))</f>
        <v>E0528/25</v>
      </c>
      <c r="G74" s="54">
        <f>IF($A74="-","-",VLOOKUP($A74,[2]Controle!$A$6:$BP$215,G$71,FALSE))</f>
        <v>45884</v>
      </c>
      <c r="H74" s="55">
        <f>IF($A74="-","-",VLOOKUP($A74,[2]Controle!$A$6:$BP$215,H$71,FALSE))</f>
        <v>46265</v>
      </c>
      <c r="I74" s="53" t="str">
        <f>IF($A74="-","-",VLOOKUP($A74,[2]Controle!$A$6:$BP$215,I$71,FALSE))</f>
        <v>°C</v>
      </c>
      <c r="J74" s="53" t="str">
        <f>IF($A74="-","-",VLOOKUP($A74,[2]Controle!$A$6:$BP$215,J$71,FALSE))</f>
        <v>Contato</v>
      </c>
      <c r="K74" s="53" t="str">
        <f>IF($A74="-","-",VLOOKUP($A74,[2]Controle!$A$6:$BP$215,K$71,FALSE))</f>
        <v>Termoresisitivo</v>
      </c>
      <c r="L74" s="53">
        <f>IF($A74="-","-",VLOOKUP($A74,[2]Controle!$A$6:$BP$215,L$71,FALSE))</f>
        <v>15</v>
      </c>
      <c r="M74" s="53">
        <f>IF($A74="-","-",VLOOKUP($A74,[2]Controle!$A$6:$BP$215,M$71,FALSE))</f>
        <v>35</v>
      </c>
      <c r="N74" s="53">
        <f>IF($A74="-","-",VLOOKUP($A74,[2]Controle!$A$6:$BP$215,N$71,FALSE))</f>
        <v>0.1</v>
      </c>
      <c r="O74" s="53">
        <f>IF($A74="-","-",VLOOKUP($A74,[2]Controle!$A$6:$BP$215,O$71,FALSE))</f>
        <v>0.19999999999999929</v>
      </c>
      <c r="P74" s="53">
        <f>IF($A74="-","-",VLOOKUP($A74,[2]Controle!$A$6:$BP$215,P$71,FALSE))</f>
        <v>0.1</v>
      </c>
      <c r="Q74" s="53">
        <f>IF($A74="-","-",VLOOKUP($A74,[2]Controle!$A$6:$BP$215,Q$71,FALSE))</f>
        <v>0.19999999999999929</v>
      </c>
      <c r="R74" s="53">
        <f>IF($A74="-","-",VLOOKUP($A74,[2]Controle!$A$6:$BP$215,R$71,FALSE))</f>
        <v>6.9799837106463758E-2</v>
      </c>
      <c r="S74" s="53">
        <f>IF($A74="-","-",VLOOKUP($A74,[2]Controle!$A$6:$BP$215,S$71,FALSE))</f>
        <v>3</v>
      </c>
      <c r="T74" s="53">
        <f>IF($A74="-","-",VLOOKUP($A74,[2]Controle!$A$6:$BP$215,T$71,FALSE))</f>
        <v>0</v>
      </c>
      <c r="U74" s="53">
        <f>IF($A74="-","-",VLOOKUP($A74,[2]Controle!$A$6:$BP$215,U$71,FALSE))</f>
        <v>0</v>
      </c>
      <c r="V74" s="53">
        <f>IF($A74="-","-",VLOOKUP($A74,[2]Controle!$A$6:$BP$215,V$71,FALSE))</f>
        <v>0</v>
      </c>
      <c r="W74" s="53">
        <f>IF($A74="-","-",VLOOKUP($A74,[2]Controle!$A$6:$BP$215,W$71,FALSE))</f>
        <v>0</v>
      </c>
      <c r="X74" s="53">
        <f>IF($A74="-","-",VLOOKUP($A74,[2]Controle!$A$6:$BP$215,X$71,FALSE))</f>
        <v>0</v>
      </c>
      <c r="Y74" s="53">
        <f>IF($A74="-","-",VLOOKUP($A74,[2]Controle!$A$6:$BP$215,Y$71,FALSE))</f>
        <v>1.2952448666119875E-4</v>
      </c>
      <c r="Z74" s="53">
        <f>IF($A74="-","-",VLOOKUP($A74,[2]Controle!$A$6:$BP$215,Z$71,FALSE))</f>
        <v>-9.1229753015000352E-3</v>
      </c>
      <c r="AA74" s="53">
        <f>IF($A74="-","-",VLOOKUP($A74,[2]Controle!$A$6:$BP$215,AA$71,FALSE))</f>
        <v>1.1902993173246932</v>
      </c>
      <c r="AB74" s="53">
        <f>IF($A74="-","-",VLOOKUP($A74,[2]Controle!$A$6:$BP$215,AB$71,FALSE))</f>
        <v>-1.0295800011097782</v>
      </c>
      <c r="AC74" s="53">
        <f>IF($A74="-","-",VLOOKUP($A74,[2]Controle!$A$6:$BP$215,AC$71,FALSE))</f>
        <v>15</v>
      </c>
      <c r="AD74" s="53">
        <f>IF($A74="-","-",VLOOKUP($A74,[2]Controle!$A$6:$BP$215,AD$71,FALSE))</f>
        <v>0.1</v>
      </c>
      <c r="AE74" s="53">
        <f>IF($A74="-","-",VLOOKUP($A74,[2]Controle!$A$6:$BP$215,AE$71,FALSE))</f>
        <v>2</v>
      </c>
      <c r="AF74" s="53">
        <f>IF($A74="-","-",VLOOKUP($A74,[2]Controle!$A$6:$BP$215,AF$71,FALSE))</f>
        <v>1000000</v>
      </c>
      <c r="AG74" s="53">
        <f>IF($A74="-","-",VLOOKUP($A74,[2]Controle!$A$6:$BP$215,AG$71,FALSE))</f>
        <v>20</v>
      </c>
      <c r="AH74" s="53">
        <f>IF($A74="-","-",VLOOKUP($A74,[2]Controle!$A$6:$BP$215,AH$71,FALSE))</f>
        <v>0.1</v>
      </c>
      <c r="AI74" s="53">
        <f>IF($A74="-","-",VLOOKUP($A74,[2]Controle!$A$6:$BP$215,AI$71,FALSE))</f>
        <v>2</v>
      </c>
      <c r="AJ74" s="53">
        <f>IF($A74="-","-",VLOOKUP($A74,[2]Controle!$A$6:$BP$215,AJ$71,FALSE))</f>
        <v>1000000</v>
      </c>
      <c r="AK74" s="53">
        <f>IF($A74="-","-",VLOOKUP($A74,[2]Controle!$A$6:$BP$215,AK$71,FALSE))</f>
        <v>25</v>
      </c>
      <c r="AL74" s="53">
        <f>IF($A74="-","-",VLOOKUP($A74,[2]Controle!$A$6:$BP$215,AL$71,FALSE))</f>
        <v>0.1</v>
      </c>
      <c r="AM74" s="53">
        <f>IF($A74="-","-",VLOOKUP($A74,[2]Controle!$A$6:$BP$215,AM$71,FALSE))</f>
        <v>2</v>
      </c>
      <c r="AN74" s="53">
        <f>IF($A74="-","-",VLOOKUP($A74,[2]Controle!$A$6:$BP$215,AN$71,FALSE))</f>
        <v>1000000</v>
      </c>
      <c r="AO74" s="53">
        <f>IF($A74="-","-",VLOOKUP($A74,[2]Controle!$A$6:$BP$215,AO$71,FALSE))</f>
        <v>30</v>
      </c>
      <c r="AP74" s="53">
        <f>IF($A74="-","-",VLOOKUP($A74,[2]Controle!$A$6:$BP$215,AP$71,FALSE))</f>
        <v>0.1</v>
      </c>
      <c r="AQ74" s="53">
        <f>IF($A74="-","-",VLOOKUP($A74,[2]Controle!$A$6:$BP$215,AQ$71,FALSE))</f>
        <v>2</v>
      </c>
      <c r="AR74" s="53">
        <f>IF($A74="-","-",VLOOKUP($A74,[2]Controle!$A$6:$BP$215,AR$71,FALSE))</f>
        <v>1000000</v>
      </c>
      <c r="AS74" s="53">
        <f>IF($A74="-","-",VLOOKUP($A74,[2]Controle!$A$6:$BP$215,AS$71,FALSE))</f>
        <v>35</v>
      </c>
      <c r="AT74" s="53">
        <f>IF($A74="-","-",VLOOKUP($A74,[2]Controle!$A$6:$BP$215,AT$71,FALSE))</f>
        <v>0.1</v>
      </c>
      <c r="AU74" s="53">
        <f>IF($A74="-","-",VLOOKUP($A74,[2]Controle!$A$6:$BP$215,AU$71,FALSE))</f>
        <v>2</v>
      </c>
      <c r="AV74" s="53">
        <f>IF($A74="-","-",VLOOKUP($A74,[2]Controle!$A$6:$BP$215,AV$71,FALSE))</f>
        <v>1000000</v>
      </c>
      <c r="AW74" s="53" t="str">
        <f>IF($A74="-","-",VLOOKUP($A74,[2]Controle!$A$6:$BP$215,AW$71,FALSE))</f>
        <v>-</v>
      </c>
      <c r="AX74" s="53" t="str">
        <f>IF($A74="-","-",VLOOKUP($A74,[2]Controle!$A$6:$BP$215,AX$71,FALSE))</f>
        <v>-</v>
      </c>
      <c r="AY74" s="53" t="str">
        <f>IF($A74="-","-",VLOOKUP($A74,[2]Controle!$A$6:$BP$215,AY$71,FALSE))</f>
        <v>-</v>
      </c>
      <c r="AZ74" s="53" t="str">
        <f>IF($A74="-","-",VLOOKUP($A74,[2]Controle!$A$6:$BP$215,AZ$71,FALSE))</f>
        <v>-</v>
      </c>
      <c r="BA74" s="53" t="str">
        <f>IF($A74="-","-",VLOOKUP($A74,[2]Controle!$A$6:$BP$215,BA$71,FALSE))</f>
        <v>-</v>
      </c>
      <c r="BB74" s="53" t="str">
        <f>IF($A74="-","-",VLOOKUP($A74,[2]Controle!$A$6:$BP$215,BB$71,FALSE))</f>
        <v>-</v>
      </c>
      <c r="BC74" s="53" t="str">
        <f>IF($A74="-","-",VLOOKUP($A74,[2]Controle!$A$6:$BP$215,BC$71,FALSE))</f>
        <v>-</v>
      </c>
      <c r="BD74" s="53" t="str">
        <f>IF($A74="-","-",VLOOKUP($A74,[2]Controle!$A$6:$BP$215,BD$71,FALSE))</f>
        <v>-</v>
      </c>
      <c r="BE74" s="53" t="str">
        <f>IF($A74="-","-",VLOOKUP($A74,[2]Controle!$A$6:$BP$215,BE$71,FALSE))</f>
        <v>-</v>
      </c>
      <c r="BF74" s="53" t="str">
        <f>IF($A74="-","-",VLOOKUP($A74,[2]Controle!$A$6:$BP$215,BF$71,FALSE))</f>
        <v>-</v>
      </c>
      <c r="BG74" s="53" t="str">
        <f>IF($A74="-","-",VLOOKUP($A74,[2]Controle!$A$6:$BP$215,BG$71,FALSE))</f>
        <v>-</v>
      </c>
      <c r="BH74" s="53" t="str">
        <f>IF($A74="-","-",VLOOKUP($A74,[2]Controle!$A$6:$BP$215,BH$71,FALSE))</f>
        <v>-</v>
      </c>
      <c r="BI74" s="53" t="str">
        <f>IF($A74="-","-",VLOOKUP($A74,[2]Controle!$A$6:$BP$215,BI$71,FALSE))</f>
        <v>-</v>
      </c>
      <c r="BJ74" s="53" t="str">
        <f>IF($A74="-","-",VLOOKUP($A74,[2]Controle!$A$6:$BP$215,BJ$71,FALSE))</f>
        <v>-</v>
      </c>
      <c r="BK74" s="53" t="str">
        <f>IF($A74="-","-",VLOOKUP($A74,[2]Controle!$A$6:$BP$215,BK$71,FALSE))</f>
        <v>-</v>
      </c>
      <c r="BL74" s="53" t="str">
        <f>IF($A74="-","-",VLOOKUP($A74,[2]Controle!$A$6:$BP$215,BL$71,FALSE))</f>
        <v>-</v>
      </c>
      <c r="BM74" s="53" t="str">
        <f>IF($A74="-","-",VLOOKUP($A74,[2]Controle!$A$6:$BP$215,BM$71,FALSE))</f>
        <v>-</v>
      </c>
      <c r="BN74" s="53" t="str">
        <f>IF($A74="-","-",VLOOKUP($A74,[2]Controle!$A$6:$BP$215,BN$71,FALSE))</f>
        <v>-</v>
      </c>
      <c r="BO74" s="53" t="str">
        <f>IF($A74="-","-",VLOOKUP($A74,[2]Controle!$A$6:$BP$215,BO$71,FALSE))</f>
        <v>-</v>
      </c>
      <c r="BP74" s="53" t="str">
        <f>IF($A74="-","-",VLOOKUP($A74,[2]Controle!$A$6:$BP$215,BP$71,FALSE))</f>
        <v>-</v>
      </c>
      <c r="CT74" s="41">
        <f ca="1">IF(CV74="-",0,1)</f>
        <v>1</v>
      </c>
      <c r="CU74" s="53" t="str">
        <f ca="1">IF(CW74="-","-",IF($G$1&lt;=H74,"VÁLIDO","VENCIDO"))</f>
        <v>VÁLIDO</v>
      </c>
      <c r="CV74" s="53" t="str">
        <f ca="1">IF(CW74="-","-",IF(CY74=$CY$1,IF(CU74="VENCIDO","-",IF(OR(J74="IN",J74="OUT"),CONCATENATE(B74," (",J74,")"),B74)),"-"))</f>
        <v>E.TH.LQ-008</v>
      </c>
      <c r="CW74" s="53">
        <f>A74</f>
        <v>93</v>
      </c>
      <c r="CY74" s="41" t="str">
        <f>LEFT(B74,1)</f>
        <v>E</v>
      </c>
    </row>
    <row r="75" spans="1:103" x14ac:dyDescent="0.3">
      <c r="A75" s="56">
        <v>96</v>
      </c>
      <c r="B75" s="53" t="str">
        <f>IF($A75="-","-",VLOOKUP($A75,[2]Controle!$A$6:$BP$215,B$71,FALSE))</f>
        <v>E.TH.LQ-009</v>
      </c>
      <c r="C75" s="53" t="str">
        <f>IF($A75="-","-",VLOOKUP($A75,[2]Controle!$A$6:$BP$215,C$71,FALSE))</f>
        <v>Termômetro Digital</v>
      </c>
      <c r="D75" s="53" t="str">
        <f>IF($A75="-","-",VLOOKUP($A75,[2]Controle!$A$6:$BP$215,D$71,FALSE))</f>
        <v>Elus</v>
      </c>
      <c r="E75" s="53" t="str">
        <f>IF($A75="-","-",VLOOKUP($A75,[2]Controle!$A$6:$BP$215,E$71,FALSE))</f>
        <v>RBC - CAL 0439</v>
      </c>
      <c r="F75" s="53" t="str">
        <f>IF($A75="-","-",VLOOKUP($A75,[2]Controle!$A$6:$BP$215,F$71,FALSE))</f>
        <v>E0529/25</v>
      </c>
      <c r="G75" s="54">
        <f>IF($A75="-","-",VLOOKUP($A75,[2]Controle!$A$6:$BP$215,G$71,FALSE))</f>
        <v>45884</v>
      </c>
      <c r="H75" s="55">
        <f>IF($A75="-","-",VLOOKUP($A75,[2]Controle!$A$6:$BP$215,H$71,FALSE))</f>
        <v>46265</v>
      </c>
      <c r="I75" s="53" t="str">
        <f>IF($A75="-","-",VLOOKUP($A75,[2]Controle!$A$6:$BP$215,I$71,FALSE))</f>
        <v>°C</v>
      </c>
      <c r="J75" s="53" t="str">
        <f>IF($A75="-","-",VLOOKUP($A75,[2]Controle!$A$6:$BP$215,J$71,FALSE))</f>
        <v>Contato</v>
      </c>
      <c r="K75" s="53" t="str">
        <f>IF($A75="-","-",VLOOKUP($A75,[2]Controle!$A$6:$BP$215,K$71,FALSE))</f>
        <v>Termoresisitivo</v>
      </c>
      <c r="L75" s="53">
        <f>IF($A75="-","-",VLOOKUP($A75,[2]Controle!$A$6:$BP$215,L$71,FALSE))</f>
        <v>15</v>
      </c>
      <c r="M75" s="53">
        <f>IF($A75="-","-",VLOOKUP($A75,[2]Controle!$A$6:$BP$215,M$71,FALSE))</f>
        <v>35</v>
      </c>
      <c r="N75" s="53">
        <f>IF($A75="-","-",VLOOKUP($A75,[2]Controle!$A$6:$BP$215,N$71,FALSE))</f>
        <v>0.1</v>
      </c>
      <c r="O75" s="53">
        <f>IF($A75="-","-",VLOOKUP($A75,[2]Controle!$A$6:$BP$215,O$71,FALSE))</f>
        <v>0.20000000000000284</v>
      </c>
      <c r="P75" s="53">
        <f>IF($A75="-","-",VLOOKUP($A75,[2]Controle!$A$6:$BP$215,P$71,FALSE))</f>
        <v>0.1</v>
      </c>
      <c r="Q75" s="53">
        <f>IF($A75="-","-",VLOOKUP($A75,[2]Controle!$A$6:$BP$215,Q$71,FALSE))</f>
        <v>0.20000000000000284</v>
      </c>
      <c r="R75" s="53">
        <f>IF($A75="-","-",VLOOKUP($A75,[2]Controle!$A$6:$BP$215,R$71,FALSE))</f>
        <v>4.7335771774996427E-2</v>
      </c>
      <c r="S75" s="53">
        <f>IF($A75="-","-",VLOOKUP($A75,[2]Controle!$A$6:$BP$215,S$71,FALSE))</f>
        <v>3</v>
      </c>
      <c r="T75" s="53">
        <f>IF($A75="-","-",VLOOKUP($A75,[2]Controle!$A$6:$BP$215,T$71,FALSE))</f>
        <v>0</v>
      </c>
      <c r="U75" s="53">
        <f>IF($A75="-","-",VLOOKUP($A75,[2]Controle!$A$6:$BP$215,U$71,FALSE))</f>
        <v>0</v>
      </c>
      <c r="V75" s="53">
        <f>IF($A75="-","-",VLOOKUP($A75,[2]Controle!$A$6:$BP$215,V$71,FALSE))</f>
        <v>0</v>
      </c>
      <c r="W75" s="53">
        <f>IF($A75="-","-",VLOOKUP($A75,[2]Controle!$A$6:$BP$215,W$71,FALSE))</f>
        <v>0</v>
      </c>
      <c r="X75" s="53">
        <f>IF($A75="-","-",VLOOKUP($A75,[2]Controle!$A$6:$BP$215,X$71,FALSE))</f>
        <v>0</v>
      </c>
      <c r="Y75" s="53">
        <f>IF($A75="-","-",VLOOKUP($A75,[2]Controle!$A$6:$BP$215,Y$71,FALSE))</f>
        <v>4.5915756965973529E-7</v>
      </c>
      <c r="Z75" s="53">
        <f>IF($A75="-","-",VLOOKUP($A75,[2]Controle!$A$6:$BP$215,Z$71,FALSE))</f>
        <v>-3.1188042626169277E-4</v>
      </c>
      <c r="AA75" s="53">
        <f>IF($A75="-","-",VLOOKUP($A75,[2]Controle!$A$6:$BP$215,AA$71,FALSE))</f>
        <v>1.0048333520863095</v>
      </c>
      <c r="AB75" s="53">
        <f>IF($A75="-","-",VLOOKUP($A75,[2]Controle!$A$6:$BP$215,AB$71,FALSE))</f>
        <v>1.8557369732273028E-3</v>
      </c>
      <c r="AC75" s="53">
        <f>IF($A75="-","-",VLOOKUP($A75,[2]Controle!$A$6:$BP$215,AC$71,FALSE))</f>
        <v>15</v>
      </c>
      <c r="AD75" s="53">
        <f>IF($A75="-","-",VLOOKUP($A75,[2]Controle!$A$6:$BP$215,AD$71,FALSE))</f>
        <v>0.1</v>
      </c>
      <c r="AE75" s="53">
        <f>IF($A75="-","-",VLOOKUP($A75,[2]Controle!$A$6:$BP$215,AE$71,FALSE))</f>
        <v>2</v>
      </c>
      <c r="AF75" s="53">
        <f>IF($A75="-","-",VLOOKUP($A75,[2]Controle!$A$6:$BP$215,AF$71,FALSE))</f>
        <v>1000000</v>
      </c>
      <c r="AG75" s="53">
        <f>IF($A75="-","-",VLOOKUP($A75,[2]Controle!$A$6:$BP$215,AG$71,FALSE))</f>
        <v>20</v>
      </c>
      <c r="AH75" s="53">
        <f>IF($A75="-","-",VLOOKUP($A75,[2]Controle!$A$6:$BP$215,AH$71,FALSE))</f>
        <v>0.1</v>
      </c>
      <c r="AI75" s="53">
        <f>IF($A75="-","-",VLOOKUP($A75,[2]Controle!$A$6:$BP$215,AI$71,FALSE))</f>
        <v>2</v>
      </c>
      <c r="AJ75" s="53">
        <f>IF($A75="-","-",VLOOKUP($A75,[2]Controle!$A$6:$BP$215,AJ$71,FALSE))</f>
        <v>1000000</v>
      </c>
      <c r="AK75" s="53">
        <f>IF($A75="-","-",VLOOKUP($A75,[2]Controle!$A$6:$BP$215,AK$71,FALSE))</f>
        <v>25</v>
      </c>
      <c r="AL75" s="53">
        <f>IF($A75="-","-",VLOOKUP($A75,[2]Controle!$A$6:$BP$215,AL$71,FALSE))</f>
        <v>0.1</v>
      </c>
      <c r="AM75" s="53">
        <f>IF($A75="-","-",VLOOKUP($A75,[2]Controle!$A$6:$BP$215,AM$71,FALSE))</f>
        <v>2</v>
      </c>
      <c r="AN75" s="53">
        <f>IF($A75="-","-",VLOOKUP($A75,[2]Controle!$A$6:$BP$215,AN$71,FALSE))</f>
        <v>1000000</v>
      </c>
      <c r="AO75" s="53">
        <f>IF($A75="-","-",VLOOKUP($A75,[2]Controle!$A$6:$BP$215,AO$71,FALSE))</f>
        <v>30</v>
      </c>
      <c r="AP75" s="53">
        <f>IF($A75="-","-",VLOOKUP($A75,[2]Controle!$A$6:$BP$215,AP$71,FALSE))</f>
        <v>0.1</v>
      </c>
      <c r="AQ75" s="53">
        <f>IF($A75="-","-",VLOOKUP($A75,[2]Controle!$A$6:$BP$215,AQ$71,FALSE))</f>
        <v>2</v>
      </c>
      <c r="AR75" s="53">
        <f>IF($A75="-","-",VLOOKUP($A75,[2]Controle!$A$6:$BP$215,AR$71,FALSE))</f>
        <v>1000000</v>
      </c>
      <c r="AS75" s="53">
        <f>IF($A75="-","-",VLOOKUP($A75,[2]Controle!$A$6:$BP$215,AS$71,FALSE))</f>
        <v>35</v>
      </c>
      <c r="AT75" s="53">
        <f>IF($A75="-","-",VLOOKUP($A75,[2]Controle!$A$6:$BP$215,AT$71,FALSE))</f>
        <v>0.1</v>
      </c>
      <c r="AU75" s="53">
        <f>IF($A75="-","-",VLOOKUP($A75,[2]Controle!$A$6:$BP$215,AU$71,FALSE))</f>
        <v>2</v>
      </c>
      <c r="AV75" s="53">
        <f>IF($A75="-","-",VLOOKUP($A75,[2]Controle!$A$6:$BP$215,AV$71,FALSE))</f>
        <v>1000000</v>
      </c>
      <c r="AW75" s="53" t="str">
        <f>IF($A75="-","-",VLOOKUP($A75,[2]Controle!$A$6:$BP$215,AW$71,FALSE))</f>
        <v>-</v>
      </c>
      <c r="AX75" s="53" t="str">
        <f>IF($A75="-","-",VLOOKUP($A75,[2]Controle!$A$6:$BP$215,AX$71,FALSE))</f>
        <v>-</v>
      </c>
      <c r="AY75" s="53" t="str">
        <f>IF($A75="-","-",VLOOKUP($A75,[2]Controle!$A$6:$BP$215,AY$71,FALSE))</f>
        <v>-</v>
      </c>
      <c r="AZ75" s="53" t="str">
        <f>IF($A75="-","-",VLOOKUP($A75,[2]Controle!$A$6:$BP$215,AZ$71,FALSE))</f>
        <v>-</v>
      </c>
      <c r="BA75" s="53" t="str">
        <f>IF($A75="-","-",VLOOKUP($A75,[2]Controle!$A$6:$BP$215,BA$71,FALSE))</f>
        <v>-</v>
      </c>
      <c r="BB75" s="53" t="str">
        <f>IF($A75="-","-",VLOOKUP($A75,[2]Controle!$A$6:$BP$215,BB$71,FALSE))</f>
        <v>-</v>
      </c>
      <c r="BC75" s="53" t="str">
        <f>IF($A75="-","-",VLOOKUP($A75,[2]Controle!$A$6:$BP$215,BC$71,FALSE))</f>
        <v>-</v>
      </c>
      <c r="BD75" s="53" t="str">
        <f>IF($A75="-","-",VLOOKUP($A75,[2]Controle!$A$6:$BP$215,BD$71,FALSE))</f>
        <v>-</v>
      </c>
      <c r="BE75" s="53" t="str">
        <f>IF($A75="-","-",VLOOKUP($A75,[2]Controle!$A$6:$BP$215,BE$71,FALSE))</f>
        <v>-</v>
      </c>
      <c r="BF75" s="53" t="str">
        <f>IF($A75="-","-",VLOOKUP($A75,[2]Controle!$A$6:$BP$215,BF$71,FALSE))</f>
        <v>-</v>
      </c>
      <c r="BG75" s="53" t="str">
        <f>IF($A75="-","-",VLOOKUP($A75,[2]Controle!$A$6:$BP$215,BG$71,FALSE))</f>
        <v>-</v>
      </c>
      <c r="BH75" s="53" t="str">
        <f>IF($A75="-","-",VLOOKUP($A75,[2]Controle!$A$6:$BP$215,BH$71,FALSE))</f>
        <v>-</v>
      </c>
      <c r="BI75" s="53" t="str">
        <f>IF($A75="-","-",VLOOKUP($A75,[2]Controle!$A$6:$BP$215,BI$71,FALSE))</f>
        <v>-</v>
      </c>
      <c r="BJ75" s="53" t="str">
        <f>IF($A75="-","-",VLOOKUP($A75,[2]Controle!$A$6:$BP$215,BJ$71,FALSE))</f>
        <v>-</v>
      </c>
      <c r="BK75" s="53" t="str">
        <f>IF($A75="-","-",VLOOKUP($A75,[2]Controle!$A$6:$BP$215,BK$71,FALSE))</f>
        <v>-</v>
      </c>
      <c r="BL75" s="53" t="str">
        <f>IF($A75="-","-",VLOOKUP($A75,[2]Controle!$A$6:$BP$215,BL$71,FALSE))</f>
        <v>-</v>
      </c>
      <c r="BM75" s="53" t="str">
        <f>IF($A75="-","-",VLOOKUP($A75,[2]Controle!$A$6:$BP$215,BM$71,FALSE))</f>
        <v>-</v>
      </c>
      <c r="BN75" s="53" t="str">
        <f>IF($A75="-","-",VLOOKUP($A75,[2]Controle!$A$6:$BP$215,BN$71,FALSE))</f>
        <v>-</v>
      </c>
      <c r="BO75" s="53" t="str">
        <f>IF($A75="-","-",VLOOKUP($A75,[2]Controle!$A$6:$BP$215,BO$71,FALSE))</f>
        <v>-</v>
      </c>
      <c r="BP75" s="53" t="str">
        <f>IF($A75="-","-",VLOOKUP($A75,[2]Controle!$A$6:$BP$215,BP$71,FALSE))</f>
        <v>-</v>
      </c>
      <c r="CT75" s="41">
        <f ca="1">IF(CV75="-",0,MAX($CT$74:CT74)+1)</f>
        <v>2</v>
      </c>
      <c r="CU75" s="53" t="str">
        <f t="shared" ref="CU75:CU84" ca="1" si="32">IF(CW75="-","-",IF($G$1&lt;=H75,"VÁLIDO","VENCIDO"))</f>
        <v>VÁLIDO</v>
      </c>
      <c r="CV75" s="53" t="str">
        <f t="shared" ref="CV75:CV93" ca="1" si="33">IF(CW75="-","-",IF(CY75=$CY$1,IF(CU75="VENCIDO","-",IF(OR(J75="IN",J75="OUT"),CONCATENATE(B75," (",J75,")"),B75)),"-"))</f>
        <v>E.TH.LQ-009</v>
      </c>
      <c r="CW75" s="53">
        <f t="shared" ref="CW75:CW84" si="34">A75</f>
        <v>96</v>
      </c>
      <c r="CY75" s="41" t="str">
        <f t="shared" ref="CY75:CY93" si="35">LEFT(B75,1)</f>
        <v>E</v>
      </c>
    </row>
    <row r="76" spans="1:103" x14ac:dyDescent="0.3">
      <c r="A76" s="56">
        <v>97</v>
      </c>
      <c r="B76" s="53" t="str">
        <f>IF($A76="-","-",VLOOKUP($A76,[2]Controle!$A$6:$BP$215,B$71,FALSE))</f>
        <v>E.TH.LQ-010</v>
      </c>
      <c r="C76" s="53" t="str">
        <f>IF($A76="-","-",VLOOKUP($A76,[2]Controle!$A$6:$BP$215,C$71,FALSE))</f>
        <v>Termômetro Digital</v>
      </c>
      <c r="D76" s="53" t="str">
        <f>IF($A76="-","-",VLOOKUP($A76,[2]Controle!$A$6:$BP$215,D$71,FALSE))</f>
        <v>Elus</v>
      </c>
      <c r="E76" s="53" t="str">
        <f>IF($A76="-","-",VLOOKUP($A76,[2]Controle!$A$6:$BP$215,E$71,FALSE))</f>
        <v>RBC - CAL 0439</v>
      </c>
      <c r="F76" s="53" t="str">
        <f>IF($A76="-","-",VLOOKUP($A76,[2]Controle!$A$6:$BP$215,F$71,FALSE))</f>
        <v>E0530/25</v>
      </c>
      <c r="G76" s="54">
        <f>IF($A76="-","-",VLOOKUP($A76,[2]Controle!$A$6:$BP$215,G$71,FALSE))</f>
        <v>45884</v>
      </c>
      <c r="H76" s="55">
        <f>IF($A76="-","-",VLOOKUP($A76,[2]Controle!$A$6:$BP$215,H$71,FALSE))</f>
        <v>46265</v>
      </c>
      <c r="I76" s="53" t="str">
        <f>IF($A76="-","-",VLOOKUP($A76,[2]Controle!$A$6:$BP$215,I$71,FALSE))</f>
        <v>°C</v>
      </c>
      <c r="J76" s="53" t="str">
        <f>IF($A76="-","-",VLOOKUP($A76,[2]Controle!$A$6:$BP$215,J$71,FALSE))</f>
        <v>Contato</v>
      </c>
      <c r="K76" s="53" t="str">
        <f>IF($A76="-","-",VLOOKUP($A76,[2]Controle!$A$6:$BP$215,K$71,FALSE))</f>
        <v>Termoresisitivo</v>
      </c>
      <c r="L76" s="53">
        <f>IF($A76="-","-",VLOOKUP($A76,[2]Controle!$A$6:$BP$215,L$71,FALSE))</f>
        <v>15</v>
      </c>
      <c r="M76" s="53">
        <f>IF($A76="-","-",VLOOKUP($A76,[2]Controle!$A$6:$BP$215,M$71,FALSE))</f>
        <v>35</v>
      </c>
      <c r="N76" s="53">
        <f>IF($A76="-","-",VLOOKUP($A76,[2]Controle!$A$6:$BP$215,N$71,FALSE))</f>
        <v>0.1</v>
      </c>
      <c r="O76" s="53">
        <f>IF($A76="-","-",VLOOKUP($A76,[2]Controle!$A$6:$BP$215,O$71,FALSE))</f>
        <v>0.10000000000000142</v>
      </c>
      <c r="P76" s="53">
        <f>IF($A76="-","-",VLOOKUP($A76,[2]Controle!$A$6:$BP$215,P$71,FALSE))</f>
        <v>0.1</v>
      </c>
      <c r="Q76" s="53">
        <f>IF($A76="-","-",VLOOKUP($A76,[2]Controle!$A$6:$BP$215,Q$71,FALSE))</f>
        <v>0.10000000000000142</v>
      </c>
      <c r="R76" s="53">
        <f>IF($A76="-","-",VLOOKUP($A76,[2]Controle!$A$6:$BP$215,R$71,FALSE))</f>
        <v>3.5374328320040616E-2</v>
      </c>
      <c r="S76" s="53">
        <f>IF($A76="-","-",VLOOKUP($A76,[2]Controle!$A$6:$BP$215,S$71,FALSE))</f>
        <v>3</v>
      </c>
      <c r="T76" s="53">
        <f>IF($A76="-","-",VLOOKUP($A76,[2]Controle!$A$6:$BP$215,T$71,FALSE))</f>
        <v>0</v>
      </c>
      <c r="U76" s="53">
        <f>IF($A76="-","-",VLOOKUP($A76,[2]Controle!$A$6:$BP$215,U$71,FALSE))</f>
        <v>0</v>
      </c>
      <c r="V76" s="53">
        <f>IF($A76="-","-",VLOOKUP($A76,[2]Controle!$A$6:$BP$215,V$71,FALSE))</f>
        <v>0</v>
      </c>
      <c r="W76" s="53">
        <f>IF($A76="-","-",VLOOKUP($A76,[2]Controle!$A$6:$BP$215,W$71,FALSE))</f>
        <v>0</v>
      </c>
      <c r="X76" s="53">
        <f>IF($A76="-","-",VLOOKUP($A76,[2]Controle!$A$6:$BP$215,X$71,FALSE))</f>
        <v>0</v>
      </c>
      <c r="Y76" s="53">
        <f>IF($A76="-","-",VLOOKUP($A76,[2]Controle!$A$6:$BP$215,Y$71,FALSE))</f>
        <v>6.5711077831950271E-5</v>
      </c>
      <c r="Z76" s="53">
        <f>IF($A76="-","-",VLOOKUP($A76,[2]Controle!$A$6:$BP$215,Z$71,FALSE))</f>
        <v>-4.6375269312513749E-3</v>
      </c>
      <c r="AA76" s="53">
        <f>IF($A76="-","-",VLOOKUP($A76,[2]Controle!$A$6:$BP$215,AA$71,FALSE))</f>
        <v>1.0970866723681396</v>
      </c>
      <c r="AB76" s="53">
        <f>IF($A76="-","-",VLOOKUP($A76,[2]Controle!$A$6:$BP$215,AB$71,FALSE))</f>
        <v>-0.53012839192736561</v>
      </c>
      <c r="AC76" s="53">
        <f>IF($A76="-","-",VLOOKUP($A76,[2]Controle!$A$6:$BP$215,AC$71,FALSE))</f>
        <v>15</v>
      </c>
      <c r="AD76" s="53">
        <f>IF($A76="-","-",VLOOKUP($A76,[2]Controle!$A$6:$BP$215,AD$71,FALSE))</f>
        <v>0.1</v>
      </c>
      <c r="AE76" s="53">
        <f>IF($A76="-","-",VLOOKUP($A76,[2]Controle!$A$6:$BP$215,AE$71,FALSE))</f>
        <v>2</v>
      </c>
      <c r="AF76" s="53">
        <f>IF($A76="-","-",VLOOKUP($A76,[2]Controle!$A$6:$BP$215,AF$71,FALSE))</f>
        <v>1000000</v>
      </c>
      <c r="AG76" s="53">
        <f>IF($A76="-","-",VLOOKUP($A76,[2]Controle!$A$6:$BP$215,AG$71,FALSE))</f>
        <v>20</v>
      </c>
      <c r="AH76" s="53">
        <f>IF($A76="-","-",VLOOKUP($A76,[2]Controle!$A$6:$BP$215,AH$71,FALSE))</f>
        <v>0.1</v>
      </c>
      <c r="AI76" s="53">
        <f>IF($A76="-","-",VLOOKUP($A76,[2]Controle!$A$6:$BP$215,AI$71,FALSE))</f>
        <v>2</v>
      </c>
      <c r="AJ76" s="53">
        <f>IF($A76="-","-",VLOOKUP($A76,[2]Controle!$A$6:$BP$215,AJ$71,FALSE))</f>
        <v>1000000</v>
      </c>
      <c r="AK76" s="53">
        <f>IF($A76="-","-",VLOOKUP($A76,[2]Controle!$A$6:$BP$215,AK$71,FALSE))</f>
        <v>25</v>
      </c>
      <c r="AL76" s="53">
        <f>IF($A76="-","-",VLOOKUP($A76,[2]Controle!$A$6:$BP$215,AL$71,FALSE))</f>
        <v>0.1</v>
      </c>
      <c r="AM76" s="53">
        <f>IF($A76="-","-",VLOOKUP($A76,[2]Controle!$A$6:$BP$215,AM$71,FALSE))</f>
        <v>2</v>
      </c>
      <c r="AN76" s="53">
        <f>IF($A76="-","-",VLOOKUP($A76,[2]Controle!$A$6:$BP$215,AN$71,FALSE))</f>
        <v>1000000</v>
      </c>
      <c r="AO76" s="53">
        <f>IF($A76="-","-",VLOOKUP($A76,[2]Controle!$A$6:$BP$215,AO$71,FALSE))</f>
        <v>30</v>
      </c>
      <c r="AP76" s="53">
        <f>IF($A76="-","-",VLOOKUP($A76,[2]Controle!$A$6:$BP$215,AP$71,FALSE))</f>
        <v>0.1</v>
      </c>
      <c r="AQ76" s="53">
        <f>IF($A76="-","-",VLOOKUP($A76,[2]Controle!$A$6:$BP$215,AQ$71,FALSE))</f>
        <v>2</v>
      </c>
      <c r="AR76" s="53">
        <f>IF($A76="-","-",VLOOKUP($A76,[2]Controle!$A$6:$BP$215,AR$71,FALSE))</f>
        <v>1000000</v>
      </c>
      <c r="AS76" s="53">
        <f>IF($A76="-","-",VLOOKUP($A76,[2]Controle!$A$6:$BP$215,AS$71,FALSE))</f>
        <v>35</v>
      </c>
      <c r="AT76" s="53">
        <f>IF($A76="-","-",VLOOKUP($A76,[2]Controle!$A$6:$BP$215,AT$71,FALSE))</f>
        <v>0.1</v>
      </c>
      <c r="AU76" s="53">
        <f>IF($A76="-","-",VLOOKUP($A76,[2]Controle!$A$6:$BP$215,AU$71,FALSE))</f>
        <v>2</v>
      </c>
      <c r="AV76" s="53">
        <f>IF($A76="-","-",VLOOKUP($A76,[2]Controle!$A$6:$BP$215,AV$71,FALSE))</f>
        <v>1000000</v>
      </c>
      <c r="AW76" s="53" t="str">
        <f>IF($A76="-","-",VLOOKUP($A76,[2]Controle!$A$6:$BP$215,AW$71,FALSE))</f>
        <v>-</v>
      </c>
      <c r="AX76" s="53" t="str">
        <f>IF($A76="-","-",VLOOKUP($A76,[2]Controle!$A$6:$BP$215,AX$71,FALSE))</f>
        <v>-</v>
      </c>
      <c r="AY76" s="53" t="str">
        <f>IF($A76="-","-",VLOOKUP($A76,[2]Controle!$A$6:$BP$215,AY$71,FALSE))</f>
        <v>-</v>
      </c>
      <c r="AZ76" s="53" t="str">
        <f>IF($A76="-","-",VLOOKUP($A76,[2]Controle!$A$6:$BP$215,AZ$71,FALSE))</f>
        <v>-</v>
      </c>
      <c r="BA76" s="53" t="str">
        <f>IF($A76="-","-",VLOOKUP($A76,[2]Controle!$A$6:$BP$215,BA$71,FALSE))</f>
        <v>-</v>
      </c>
      <c r="BB76" s="53" t="str">
        <f>IF($A76="-","-",VLOOKUP($A76,[2]Controle!$A$6:$BP$215,BB$71,FALSE))</f>
        <v>-</v>
      </c>
      <c r="BC76" s="53" t="str">
        <f>IF($A76="-","-",VLOOKUP($A76,[2]Controle!$A$6:$BP$215,BC$71,FALSE))</f>
        <v>-</v>
      </c>
      <c r="BD76" s="53" t="str">
        <f>IF($A76="-","-",VLOOKUP($A76,[2]Controle!$A$6:$BP$215,BD$71,FALSE))</f>
        <v>-</v>
      </c>
      <c r="BE76" s="53" t="str">
        <f>IF($A76="-","-",VLOOKUP($A76,[2]Controle!$A$6:$BP$215,BE$71,FALSE))</f>
        <v>-</v>
      </c>
      <c r="BF76" s="53" t="str">
        <f>IF($A76="-","-",VLOOKUP($A76,[2]Controle!$A$6:$BP$215,BF$71,FALSE))</f>
        <v>-</v>
      </c>
      <c r="BG76" s="53" t="str">
        <f>IF($A76="-","-",VLOOKUP($A76,[2]Controle!$A$6:$BP$215,BG$71,FALSE))</f>
        <v>-</v>
      </c>
      <c r="BH76" s="53" t="str">
        <f>IF($A76="-","-",VLOOKUP($A76,[2]Controle!$A$6:$BP$215,BH$71,FALSE))</f>
        <v>-</v>
      </c>
      <c r="BI76" s="53" t="str">
        <f>IF($A76="-","-",VLOOKUP($A76,[2]Controle!$A$6:$BP$215,BI$71,FALSE))</f>
        <v>-</v>
      </c>
      <c r="BJ76" s="53" t="str">
        <f>IF($A76="-","-",VLOOKUP($A76,[2]Controle!$A$6:$BP$215,BJ$71,FALSE))</f>
        <v>-</v>
      </c>
      <c r="BK76" s="53" t="str">
        <f>IF($A76="-","-",VLOOKUP($A76,[2]Controle!$A$6:$BP$215,BK$71,FALSE))</f>
        <v>-</v>
      </c>
      <c r="BL76" s="53" t="str">
        <f>IF($A76="-","-",VLOOKUP($A76,[2]Controle!$A$6:$BP$215,BL$71,FALSE))</f>
        <v>-</v>
      </c>
      <c r="BM76" s="53" t="str">
        <f>IF($A76="-","-",VLOOKUP($A76,[2]Controle!$A$6:$BP$215,BM$71,FALSE))</f>
        <v>-</v>
      </c>
      <c r="BN76" s="53" t="str">
        <f>IF($A76="-","-",VLOOKUP($A76,[2]Controle!$A$6:$BP$215,BN$71,FALSE))</f>
        <v>-</v>
      </c>
      <c r="BO76" s="53" t="str">
        <f>IF($A76="-","-",VLOOKUP($A76,[2]Controle!$A$6:$BP$215,BO$71,FALSE))</f>
        <v>-</v>
      </c>
      <c r="BP76" s="53" t="str">
        <f>IF($A76="-","-",VLOOKUP($A76,[2]Controle!$A$6:$BP$215,BP$71,FALSE))</f>
        <v>-</v>
      </c>
      <c r="CT76" s="41">
        <f ca="1">IF(CV76="-",0,MAX($CT$74:CT75)+1)</f>
        <v>3</v>
      </c>
      <c r="CU76" s="53" t="str">
        <f t="shared" ca="1" si="32"/>
        <v>VÁLIDO</v>
      </c>
      <c r="CV76" s="53" t="str">
        <f t="shared" ca="1" si="33"/>
        <v>E.TH.LQ-010</v>
      </c>
      <c r="CW76" s="53">
        <f t="shared" si="34"/>
        <v>97</v>
      </c>
      <c r="CY76" s="41" t="str">
        <f t="shared" si="35"/>
        <v>E</v>
      </c>
    </row>
    <row r="77" spans="1:103" x14ac:dyDescent="0.3">
      <c r="A77" s="56">
        <v>98</v>
      </c>
      <c r="B77" s="53" t="str">
        <f>IF($A77="-","-",VLOOKUP($A77,[2]Controle!$A$6:$BP$215,B$71,FALSE))</f>
        <v>E.TH.LQ-011</v>
      </c>
      <c r="C77" s="53" t="str">
        <f>IF($A77="-","-",VLOOKUP($A77,[2]Controle!$A$6:$BP$215,C$71,FALSE))</f>
        <v>Termômetro Digital</v>
      </c>
      <c r="D77" s="53" t="str">
        <f>IF($A77="-","-",VLOOKUP($A77,[2]Controle!$A$6:$BP$215,D$71,FALSE))</f>
        <v>Elus</v>
      </c>
      <c r="E77" s="53" t="str">
        <f>IF($A77="-","-",VLOOKUP($A77,[2]Controle!$A$6:$BP$215,E$71,FALSE))</f>
        <v>RBC - CAL 0439</v>
      </c>
      <c r="F77" s="53" t="str">
        <f>IF($A77="-","-",VLOOKUP($A77,[2]Controle!$A$6:$BP$215,F$71,FALSE))</f>
        <v>E0531/25</v>
      </c>
      <c r="G77" s="54">
        <f>IF($A77="-","-",VLOOKUP($A77,[2]Controle!$A$6:$BP$215,G$71,FALSE))</f>
        <v>45884</v>
      </c>
      <c r="H77" s="55">
        <f>IF($A77="-","-",VLOOKUP($A77,[2]Controle!$A$6:$BP$215,H$71,FALSE))</f>
        <v>46265</v>
      </c>
      <c r="I77" s="53" t="str">
        <f>IF($A77="-","-",VLOOKUP($A77,[2]Controle!$A$6:$BP$215,I$71,FALSE))</f>
        <v>°C</v>
      </c>
      <c r="J77" s="53" t="str">
        <f>IF($A77="-","-",VLOOKUP($A77,[2]Controle!$A$6:$BP$215,J$71,FALSE))</f>
        <v>Contato</v>
      </c>
      <c r="K77" s="53" t="str">
        <f>IF($A77="-","-",VLOOKUP($A77,[2]Controle!$A$6:$BP$215,K$71,FALSE))</f>
        <v>Termoresisitivo</v>
      </c>
      <c r="L77" s="53">
        <f>IF($A77="-","-",VLOOKUP($A77,[2]Controle!$A$6:$BP$215,L$71,FALSE))</f>
        <v>15</v>
      </c>
      <c r="M77" s="53">
        <f>IF($A77="-","-",VLOOKUP($A77,[2]Controle!$A$6:$BP$215,M$71,FALSE))</f>
        <v>35</v>
      </c>
      <c r="N77" s="53">
        <f>IF($A77="-","-",VLOOKUP($A77,[2]Controle!$A$6:$BP$215,N$71,FALSE))</f>
        <v>0.1</v>
      </c>
      <c r="O77" s="53">
        <f>IF($A77="-","-",VLOOKUP($A77,[2]Controle!$A$6:$BP$215,O$71,FALSE))</f>
        <v>0</v>
      </c>
      <c r="P77" s="53">
        <f>IF($A77="-","-",VLOOKUP($A77,[2]Controle!$A$6:$BP$215,P$71,FALSE))</f>
        <v>0.1</v>
      </c>
      <c r="Q77" s="53">
        <f>IF($A77="-","-",VLOOKUP($A77,[2]Controle!$A$6:$BP$215,Q$71,FALSE))</f>
        <v>0</v>
      </c>
      <c r="R77" s="53">
        <f>IF($A77="-","-",VLOOKUP($A77,[2]Controle!$A$6:$BP$215,R$71,FALSE))</f>
        <v>0</v>
      </c>
      <c r="S77" s="53">
        <f>IF($A77="-","-",VLOOKUP($A77,[2]Controle!$A$6:$BP$215,S$71,FALSE))</f>
        <v>3</v>
      </c>
      <c r="T77" s="53">
        <f>IF($A77="-","-",VLOOKUP($A77,[2]Controle!$A$6:$BP$215,T$71,FALSE))</f>
        <v>0</v>
      </c>
      <c r="U77" s="53">
        <f>IF($A77="-","-",VLOOKUP($A77,[2]Controle!$A$6:$BP$215,U$71,FALSE))</f>
        <v>0</v>
      </c>
      <c r="V77" s="53">
        <f>IF($A77="-","-",VLOOKUP($A77,[2]Controle!$A$6:$BP$215,V$71,FALSE))</f>
        <v>0</v>
      </c>
      <c r="W77" s="53">
        <f>IF($A77="-","-",VLOOKUP($A77,[2]Controle!$A$6:$BP$215,W$71,FALSE))</f>
        <v>0</v>
      </c>
      <c r="X77" s="53">
        <f>IF($A77="-","-",VLOOKUP($A77,[2]Controle!$A$6:$BP$215,X$71,FALSE))</f>
        <v>0</v>
      </c>
      <c r="Y77" s="53">
        <f>IF($A77="-","-",VLOOKUP($A77,[2]Controle!$A$6:$BP$215,Y$71,FALSE))</f>
        <v>0</v>
      </c>
      <c r="Z77" s="53">
        <f>IF($A77="-","-",VLOOKUP($A77,[2]Controle!$A$6:$BP$215,Z$71,FALSE))</f>
        <v>0</v>
      </c>
      <c r="AA77" s="53">
        <f>IF($A77="-","-",VLOOKUP($A77,[2]Controle!$A$6:$BP$215,AA$71,FALSE))</f>
        <v>1</v>
      </c>
      <c r="AB77" s="53">
        <f>IF($A77="-","-",VLOOKUP($A77,[2]Controle!$A$6:$BP$215,AB$71,FALSE))</f>
        <v>0</v>
      </c>
      <c r="AC77" s="53">
        <f>IF($A77="-","-",VLOOKUP($A77,[2]Controle!$A$6:$BP$215,AC$71,FALSE))</f>
        <v>15</v>
      </c>
      <c r="AD77" s="53">
        <f>IF($A77="-","-",VLOOKUP($A77,[2]Controle!$A$6:$BP$215,AD$71,FALSE))</f>
        <v>0.1</v>
      </c>
      <c r="AE77" s="53">
        <f>IF($A77="-","-",VLOOKUP($A77,[2]Controle!$A$6:$BP$215,AE$71,FALSE))</f>
        <v>2</v>
      </c>
      <c r="AF77" s="53">
        <f>IF($A77="-","-",VLOOKUP($A77,[2]Controle!$A$6:$BP$215,AF$71,FALSE))</f>
        <v>1000000</v>
      </c>
      <c r="AG77" s="53">
        <f>IF($A77="-","-",VLOOKUP($A77,[2]Controle!$A$6:$BP$215,AG$71,FALSE))</f>
        <v>20</v>
      </c>
      <c r="AH77" s="53">
        <f>IF($A77="-","-",VLOOKUP($A77,[2]Controle!$A$6:$BP$215,AH$71,FALSE))</f>
        <v>0.1</v>
      </c>
      <c r="AI77" s="53">
        <f>IF($A77="-","-",VLOOKUP($A77,[2]Controle!$A$6:$BP$215,AI$71,FALSE))</f>
        <v>2</v>
      </c>
      <c r="AJ77" s="53">
        <f>IF($A77="-","-",VLOOKUP($A77,[2]Controle!$A$6:$BP$215,AJ$71,FALSE))</f>
        <v>1000000</v>
      </c>
      <c r="AK77" s="53">
        <f>IF($A77="-","-",VLOOKUP($A77,[2]Controle!$A$6:$BP$215,AK$71,FALSE))</f>
        <v>25</v>
      </c>
      <c r="AL77" s="53">
        <f>IF($A77="-","-",VLOOKUP($A77,[2]Controle!$A$6:$BP$215,AL$71,FALSE))</f>
        <v>0.1</v>
      </c>
      <c r="AM77" s="53">
        <f>IF($A77="-","-",VLOOKUP($A77,[2]Controle!$A$6:$BP$215,AM$71,FALSE))</f>
        <v>2</v>
      </c>
      <c r="AN77" s="53">
        <f>IF($A77="-","-",VLOOKUP($A77,[2]Controle!$A$6:$BP$215,AN$71,FALSE))</f>
        <v>1000000</v>
      </c>
      <c r="AO77" s="53">
        <f>IF($A77="-","-",VLOOKUP($A77,[2]Controle!$A$6:$BP$215,AO$71,FALSE))</f>
        <v>30</v>
      </c>
      <c r="AP77" s="53">
        <f>IF($A77="-","-",VLOOKUP($A77,[2]Controle!$A$6:$BP$215,AP$71,FALSE))</f>
        <v>0.1</v>
      </c>
      <c r="AQ77" s="53">
        <f>IF($A77="-","-",VLOOKUP($A77,[2]Controle!$A$6:$BP$215,AQ$71,FALSE))</f>
        <v>2</v>
      </c>
      <c r="AR77" s="53">
        <f>IF($A77="-","-",VLOOKUP($A77,[2]Controle!$A$6:$BP$215,AR$71,FALSE))</f>
        <v>1000000</v>
      </c>
      <c r="AS77" s="53">
        <f>IF($A77="-","-",VLOOKUP($A77,[2]Controle!$A$6:$BP$215,AS$71,FALSE))</f>
        <v>35</v>
      </c>
      <c r="AT77" s="53">
        <f>IF($A77="-","-",VLOOKUP($A77,[2]Controle!$A$6:$BP$215,AT$71,FALSE))</f>
        <v>0.1</v>
      </c>
      <c r="AU77" s="53">
        <f>IF($A77="-","-",VLOOKUP($A77,[2]Controle!$A$6:$BP$215,AU$71,FALSE))</f>
        <v>2</v>
      </c>
      <c r="AV77" s="53">
        <f>IF($A77="-","-",VLOOKUP($A77,[2]Controle!$A$6:$BP$215,AV$71,FALSE))</f>
        <v>1000000</v>
      </c>
      <c r="AW77" s="53" t="str">
        <f>IF($A77="-","-",VLOOKUP($A77,[2]Controle!$A$6:$BP$215,AW$71,FALSE))</f>
        <v>-</v>
      </c>
      <c r="AX77" s="53" t="str">
        <f>IF($A77="-","-",VLOOKUP($A77,[2]Controle!$A$6:$BP$215,AX$71,FALSE))</f>
        <v>-</v>
      </c>
      <c r="AY77" s="53" t="str">
        <f>IF($A77="-","-",VLOOKUP($A77,[2]Controle!$A$6:$BP$215,AY$71,FALSE))</f>
        <v>-</v>
      </c>
      <c r="AZ77" s="53" t="str">
        <f>IF($A77="-","-",VLOOKUP($A77,[2]Controle!$A$6:$BP$215,AZ$71,FALSE))</f>
        <v>-</v>
      </c>
      <c r="BA77" s="53" t="str">
        <f>IF($A77="-","-",VLOOKUP($A77,[2]Controle!$A$6:$BP$215,BA$71,FALSE))</f>
        <v>-</v>
      </c>
      <c r="BB77" s="53" t="str">
        <f>IF($A77="-","-",VLOOKUP($A77,[2]Controle!$A$6:$BP$215,BB$71,FALSE))</f>
        <v>-</v>
      </c>
      <c r="BC77" s="53" t="str">
        <f>IF($A77="-","-",VLOOKUP($A77,[2]Controle!$A$6:$BP$215,BC$71,FALSE))</f>
        <v>-</v>
      </c>
      <c r="BD77" s="53" t="str">
        <f>IF($A77="-","-",VLOOKUP($A77,[2]Controle!$A$6:$BP$215,BD$71,FALSE))</f>
        <v>-</v>
      </c>
      <c r="BE77" s="53" t="str">
        <f>IF($A77="-","-",VLOOKUP($A77,[2]Controle!$A$6:$BP$215,BE$71,FALSE))</f>
        <v>-</v>
      </c>
      <c r="BF77" s="53" t="str">
        <f>IF($A77="-","-",VLOOKUP($A77,[2]Controle!$A$6:$BP$215,BF$71,FALSE))</f>
        <v>-</v>
      </c>
      <c r="BG77" s="53" t="str">
        <f>IF($A77="-","-",VLOOKUP($A77,[2]Controle!$A$6:$BP$215,BG$71,FALSE))</f>
        <v>-</v>
      </c>
      <c r="BH77" s="53" t="str">
        <f>IF($A77="-","-",VLOOKUP($A77,[2]Controle!$A$6:$BP$215,BH$71,FALSE))</f>
        <v>-</v>
      </c>
      <c r="BI77" s="53" t="str">
        <f>IF($A77="-","-",VLOOKUP($A77,[2]Controle!$A$6:$BP$215,BI$71,FALSE))</f>
        <v>-</v>
      </c>
      <c r="BJ77" s="53" t="str">
        <f>IF($A77="-","-",VLOOKUP($A77,[2]Controle!$A$6:$BP$215,BJ$71,FALSE))</f>
        <v>-</v>
      </c>
      <c r="BK77" s="53" t="str">
        <f>IF($A77="-","-",VLOOKUP($A77,[2]Controle!$A$6:$BP$215,BK$71,FALSE))</f>
        <v>-</v>
      </c>
      <c r="BL77" s="53" t="str">
        <f>IF($A77="-","-",VLOOKUP($A77,[2]Controle!$A$6:$BP$215,BL$71,FALSE))</f>
        <v>-</v>
      </c>
      <c r="BM77" s="53" t="str">
        <f>IF($A77="-","-",VLOOKUP($A77,[2]Controle!$A$6:$BP$215,BM$71,FALSE))</f>
        <v>-</v>
      </c>
      <c r="BN77" s="53" t="str">
        <f>IF($A77="-","-",VLOOKUP($A77,[2]Controle!$A$6:$BP$215,BN$71,FALSE))</f>
        <v>-</v>
      </c>
      <c r="BO77" s="53" t="str">
        <f>IF($A77="-","-",VLOOKUP($A77,[2]Controle!$A$6:$BP$215,BO$71,FALSE))</f>
        <v>-</v>
      </c>
      <c r="BP77" s="53" t="str">
        <f>IF($A77="-","-",VLOOKUP($A77,[2]Controle!$A$6:$BP$215,BP$71,FALSE))</f>
        <v>-</v>
      </c>
      <c r="CT77" s="41">
        <f ca="1">IF(CV77="-",0,MAX($CT$74:CT76)+1)</f>
        <v>4</v>
      </c>
      <c r="CU77" s="53" t="str">
        <f t="shared" ca="1" si="32"/>
        <v>VÁLIDO</v>
      </c>
      <c r="CV77" s="53" t="str">
        <f t="shared" ca="1" si="33"/>
        <v>E.TH.LQ-011</v>
      </c>
      <c r="CW77" s="53">
        <f t="shared" si="34"/>
        <v>98</v>
      </c>
      <c r="CY77" s="41" t="str">
        <f t="shared" si="35"/>
        <v>E</v>
      </c>
    </row>
    <row r="78" spans="1:103" x14ac:dyDescent="0.3">
      <c r="A78" s="56">
        <v>87</v>
      </c>
      <c r="B78" s="53" t="str">
        <f>IF($A78="-","-",VLOOKUP($A78,[2]Controle!$A$6:$BP$215,B$71,FALSE))</f>
        <v>E.TH.LQ-016</v>
      </c>
      <c r="C78" s="53" t="str">
        <f>IF($A78="-","-",VLOOKUP($A78,[2]Controle!$A$6:$BP$215,C$71,FALSE))</f>
        <v>Termômetro Digital</v>
      </c>
      <c r="D78" s="53" t="str">
        <f>IF($A78="-","-",VLOOKUP($A78,[2]Controle!$A$6:$BP$215,D$71,FALSE))</f>
        <v>Elus</v>
      </c>
      <c r="E78" s="53" t="str">
        <f>IF($A78="-","-",VLOOKUP($A78,[2]Controle!$A$6:$BP$215,E$71,FALSE))</f>
        <v>RBC - CAL 0439</v>
      </c>
      <c r="F78" s="53" t="str">
        <f>IF($A78="-","-",VLOOKUP($A78,[2]Controle!$A$6:$BP$215,F$71,FALSE))</f>
        <v>E0027/26</v>
      </c>
      <c r="G78" s="54">
        <f>IF($A78="-","-",VLOOKUP($A78,[2]Controle!$A$6:$BP$215,G$71,FALSE))</f>
        <v>46036</v>
      </c>
      <c r="H78" s="55">
        <f>IF($A78="-","-",VLOOKUP($A78,[2]Controle!$A$6:$BP$215,H$71,FALSE))</f>
        <v>46417</v>
      </c>
      <c r="I78" s="53" t="str">
        <f>IF($A78="-","-",VLOOKUP($A78,[2]Controle!$A$6:$BP$215,I$71,FALSE))</f>
        <v>°C</v>
      </c>
      <c r="J78" s="53" t="str">
        <f>IF($A78="-","-",VLOOKUP($A78,[2]Controle!$A$6:$BP$215,J$71,FALSE))</f>
        <v>Contato</v>
      </c>
      <c r="K78" s="53" t="str">
        <f>IF($A78="-","-",VLOOKUP($A78,[2]Controle!$A$6:$BP$215,K$71,FALSE))</f>
        <v>Termoresisitivo</v>
      </c>
      <c r="L78" s="53">
        <f>IF($A78="-","-",VLOOKUP($A78,[2]Controle!$A$6:$BP$215,L$71,FALSE))</f>
        <v>15</v>
      </c>
      <c r="M78" s="53">
        <f>IF($A78="-","-",VLOOKUP($A78,[2]Controle!$A$6:$BP$215,M$71,FALSE))</f>
        <v>35</v>
      </c>
      <c r="N78" s="53">
        <f>IF($A78="-","-",VLOOKUP($A78,[2]Controle!$A$6:$BP$215,N$71,FALSE))</f>
        <v>0.1</v>
      </c>
      <c r="O78" s="53">
        <f>IF($A78="-","-",VLOOKUP($A78,[2]Controle!$A$6:$BP$215,O$71,FALSE))</f>
        <v>0.10000000000000142</v>
      </c>
      <c r="P78" s="53">
        <f>IF($A78="-","-",VLOOKUP($A78,[2]Controle!$A$6:$BP$215,P$71,FALSE))</f>
        <v>0.1</v>
      </c>
      <c r="Q78" s="53">
        <f>IF($A78="-","-",VLOOKUP($A78,[2]Controle!$A$6:$BP$215,Q$71,FALSE))</f>
        <v>0.10000000000000142</v>
      </c>
      <c r="R78" s="53">
        <f>IF($A78="-","-",VLOOKUP($A78,[2]Controle!$A$6:$BP$215,R$71,FALSE))</f>
        <v>3.6347624175429583E-2</v>
      </c>
      <c r="S78" s="53">
        <f>IF($A78="-","-",VLOOKUP($A78,[2]Controle!$A$6:$BP$215,S$71,FALSE))</f>
        <v>3</v>
      </c>
      <c r="T78" s="53">
        <f>IF($A78="-","-",VLOOKUP($A78,[2]Controle!$A$6:$BP$215,T$71,FALSE))</f>
        <v>0</v>
      </c>
      <c r="U78" s="53">
        <f>IF($A78="-","-",VLOOKUP($A78,[2]Controle!$A$6:$BP$215,U$71,FALSE))</f>
        <v>0</v>
      </c>
      <c r="V78" s="53">
        <f>IF($A78="-","-",VLOOKUP($A78,[2]Controle!$A$6:$BP$215,V$71,FALSE))</f>
        <v>0</v>
      </c>
      <c r="W78" s="53">
        <f>IF($A78="-","-",VLOOKUP($A78,[2]Controle!$A$6:$BP$215,W$71,FALSE))</f>
        <v>0</v>
      </c>
      <c r="X78" s="53">
        <f>IF($A78="-","-",VLOOKUP($A78,[2]Controle!$A$6:$BP$215,X$71,FALSE))</f>
        <v>0</v>
      </c>
      <c r="Y78" s="53">
        <f>IF($A78="-","-",VLOOKUP($A78,[2]Controle!$A$6:$BP$215,Y$71,FALSE))</f>
        <v>-6.7628283996862225E-5</v>
      </c>
      <c r="Z78" s="53">
        <f>IF($A78="-","-",VLOOKUP($A78,[2]Controle!$A$6:$BP$215,Z$71,FALSE))</f>
        <v>5.3525295193286295E-3</v>
      </c>
      <c r="AA78" s="53">
        <f>IF($A78="-","-",VLOOKUP($A78,[2]Controle!$A$6:$BP$215,AA$71,FALSE))</f>
        <v>0.87092776809789874</v>
      </c>
      <c r="AB78" s="53">
        <f>IF($A78="-","-",VLOOKUP($A78,[2]Controle!$A$6:$BP$215,AB$71,FALSE))</f>
        <v>0.96428239357084999</v>
      </c>
      <c r="AC78" s="53">
        <f>IF($A78="-","-",VLOOKUP($A78,[2]Controle!$A$6:$BP$215,AC$71,FALSE))</f>
        <v>15</v>
      </c>
      <c r="AD78" s="53">
        <f>IF($A78="-","-",VLOOKUP($A78,[2]Controle!$A$6:$BP$215,AD$71,FALSE))</f>
        <v>0.1</v>
      </c>
      <c r="AE78" s="53">
        <f>IF($A78="-","-",VLOOKUP($A78,[2]Controle!$A$6:$BP$215,AE$71,FALSE))</f>
        <v>2</v>
      </c>
      <c r="AF78" s="53">
        <f>IF($A78="-","-",VLOOKUP($A78,[2]Controle!$A$6:$BP$215,AF$71,FALSE))</f>
        <v>1000000</v>
      </c>
      <c r="AG78" s="53">
        <f>IF($A78="-","-",VLOOKUP($A78,[2]Controle!$A$6:$BP$215,AG$71,FALSE))</f>
        <v>20</v>
      </c>
      <c r="AH78" s="53">
        <f>IF($A78="-","-",VLOOKUP($A78,[2]Controle!$A$6:$BP$215,AH$71,FALSE))</f>
        <v>0.1</v>
      </c>
      <c r="AI78" s="53">
        <f>IF($A78="-","-",VLOOKUP($A78,[2]Controle!$A$6:$BP$215,AI$71,FALSE))</f>
        <v>2</v>
      </c>
      <c r="AJ78" s="53">
        <f>IF($A78="-","-",VLOOKUP($A78,[2]Controle!$A$6:$BP$215,AJ$71,FALSE))</f>
        <v>1000000</v>
      </c>
      <c r="AK78" s="53">
        <f>IF($A78="-","-",VLOOKUP($A78,[2]Controle!$A$6:$BP$215,AK$71,FALSE))</f>
        <v>25</v>
      </c>
      <c r="AL78" s="53">
        <f>IF($A78="-","-",VLOOKUP($A78,[2]Controle!$A$6:$BP$215,AL$71,FALSE))</f>
        <v>0.1</v>
      </c>
      <c r="AM78" s="53">
        <f>IF($A78="-","-",VLOOKUP($A78,[2]Controle!$A$6:$BP$215,AM$71,FALSE))</f>
        <v>2</v>
      </c>
      <c r="AN78" s="53">
        <f>IF($A78="-","-",VLOOKUP($A78,[2]Controle!$A$6:$BP$215,AN$71,FALSE))</f>
        <v>1000000</v>
      </c>
      <c r="AO78" s="53">
        <f>IF($A78="-","-",VLOOKUP($A78,[2]Controle!$A$6:$BP$215,AO$71,FALSE))</f>
        <v>30</v>
      </c>
      <c r="AP78" s="53">
        <f>IF($A78="-","-",VLOOKUP($A78,[2]Controle!$A$6:$BP$215,AP$71,FALSE))</f>
        <v>0.1</v>
      </c>
      <c r="AQ78" s="53">
        <f>IF($A78="-","-",VLOOKUP($A78,[2]Controle!$A$6:$BP$215,AQ$71,FALSE))</f>
        <v>2</v>
      </c>
      <c r="AR78" s="53">
        <f>IF($A78="-","-",VLOOKUP($A78,[2]Controle!$A$6:$BP$215,AR$71,FALSE))</f>
        <v>1000000</v>
      </c>
      <c r="AS78" s="53">
        <f>IF($A78="-","-",VLOOKUP($A78,[2]Controle!$A$6:$BP$215,AS$71,FALSE))</f>
        <v>35</v>
      </c>
      <c r="AT78" s="53">
        <f>IF($A78="-","-",VLOOKUP($A78,[2]Controle!$A$6:$BP$215,AT$71,FALSE))</f>
        <v>0.1</v>
      </c>
      <c r="AU78" s="53">
        <f>IF($A78="-","-",VLOOKUP($A78,[2]Controle!$A$6:$BP$215,AU$71,FALSE))</f>
        <v>2</v>
      </c>
      <c r="AV78" s="53">
        <f>IF($A78="-","-",VLOOKUP($A78,[2]Controle!$A$6:$BP$215,AV$71,FALSE))</f>
        <v>1000000</v>
      </c>
      <c r="AW78" s="53" t="str">
        <f>IF($A78="-","-",VLOOKUP($A78,[2]Controle!$A$6:$BP$215,AW$71,FALSE))</f>
        <v>-</v>
      </c>
      <c r="AX78" s="53" t="str">
        <f>IF($A78="-","-",VLOOKUP($A78,[2]Controle!$A$6:$BP$215,AX$71,FALSE))</f>
        <v>-</v>
      </c>
      <c r="AY78" s="53" t="str">
        <f>IF($A78="-","-",VLOOKUP($A78,[2]Controle!$A$6:$BP$215,AY$71,FALSE))</f>
        <v>-</v>
      </c>
      <c r="AZ78" s="53" t="str">
        <f>IF($A78="-","-",VLOOKUP($A78,[2]Controle!$A$6:$BP$215,AZ$71,FALSE))</f>
        <v>-</v>
      </c>
      <c r="BA78" s="53" t="str">
        <f>IF($A78="-","-",VLOOKUP($A78,[2]Controle!$A$6:$BP$215,BA$71,FALSE))</f>
        <v>-</v>
      </c>
      <c r="BB78" s="53" t="str">
        <f>IF($A78="-","-",VLOOKUP($A78,[2]Controle!$A$6:$BP$215,BB$71,FALSE))</f>
        <v>-</v>
      </c>
      <c r="BC78" s="53" t="str">
        <f>IF($A78="-","-",VLOOKUP($A78,[2]Controle!$A$6:$BP$215,BC$71,FALSE))</f>
        <v>-</v>
      </c>
      <c r="BD78" s="53" t="str">
        <f>IF($A78="-","-",VLOOKUP($A78,[2]Controle!$A$6:$BP$215,BD$71,FALSE))</f>
        <v>-</v>
      </c>
      <c r="BE78" s="53" t="str">
        <f>IF($A78="-","-",VLOOKUP($A78,[2]Controle!$A$6:$BP$215,BE$71,FALSE))</f>
        <v>-</v>
      </c>
      <c r="BF78" s="53" t="str">
        <f>IF($A78="-","-",VLOOKUP($A78,[2]Controle!$A$6:$BP$215,BF$71,FALSE))</f>
        <v>-</v>
      </c>
      <c r="BG78" s="53" t="str">
        <f>IF($A78="-","-",VLOOKUP($A78,[2]Controle!$A$6:$BP$215,BG$71,FALSE))</f>
        <v>-</v>
      </c>
      <c r="BH78" s="53" t="str">
        <f>IF($A78="-","-",VLOOKUP($A78,[2]Controle!$A$6:$BP$215,BH$71,FALSE))</f>
        <v>-</v>
      </c>
      <c r="BI78" s="53" t="str">
        <f>IF($A78="-","-",VLOOKUP($A78,[2]Controle!$A$6:$BP$215,BI$71,FALSE))</f>
        <v>-</v>
      </c>
      <c r="BJ78" s="53" t="str">
        <f>IF($A78="-","-",VLOOKUP($A78,[2]Controle!$A$6:$BP$215,BJ$71,FALSE))</f>
        <v>-</v>
      </c>
      <c r="BK78" s="53" t="str">
        <f>IF($A78="-","-",VLOOKUP($A78,[2]Controle!$A$6:$BP$215,BK$71,FALSE))</f>
        <v>-</v>
      </c>
      <c r="BL78" s="53" t="str">
        <f>IF($A78="-","-",VLOOKUP($A78,[2]Controle!$A$6:$BP$215,BL$71,FALSE))</f>
        <v>-</v>
      </c>
      <c r="BM78" s="53" t="str">
        <f>IF($A78="-","-",VLOOKUP($A78,[2]Controle!$A$6:$BP$215,BM$71,FALSE))</f>
        <v>-</v>
      </c>
      <c r="BN78" s="53" t="str">
        <f>IF($A78="-","-",VLOOKUP($A78,[2]Controle!$A$6:$BP$215,BN$71,FALSE))</f>
        <v>-</v>
      </c>
      <c r="BO78" s="53" t="str">
        <f>IF($A78="-","-",VLOOKUP($A78,[2]Controle!$A$6:$BP$215,BO$71,FALSE))</f>
        <v>-</v>
      </c>
      <c r="BP78" s="53" t="str">
        <f>IF($A78="-","-",VLOOKUP($A78,[2]Controle!$A$6:$BP$215,BP$71,FALSE))</f>
        <v>-</v>
      </c>
      <c r="CT78" s="41">
        <f ca="1">IF(CV78="-",0,MAX($CT$74:CT77)+1)</f>
        <v>5</v>
      </c>
      <c r="CU78" s="53" t="str">
        <f t="shared" ca="1" si="32"/>
        <v>VÁLIDO</v>
      </c>
      <c r="CV78" s="53" t="str">
        <f t="shared" ca="1" si="33"/>
        <v>E.TH.LQ-016</v>
      </c>
      <c r="CW78" s="53">
        <f t="shared" si="34"/>
        <v>87</v>
      </c>
      <c r="CY78" s="41" t="str">
        <f t="shared" si="35"/>
        <v>E</v>
      </c>
    </row>
    <row r="79" spans="1:103" x14ac:dyDescent="0.3">
      <c r="A79" s="56">
        <v>100</v>
      </c>
      <c r="B79" s="53" t="str">
        <f>IF($A79="-","-",VLOOKUP($A79,[2]Controle!$A$6:$BP$215,B$71,FALSE))</f>
        <v>E.TH.LQ-017</v>
      </c>
      <c r="C79" s="53" t="str">
        <f>IF($A79="-","-",VLOOKUP($A79,[2]Controle!$A$6:$BP$215,C$71,FALSE))</f>
        <v>Termômetro Digital</v>
      </c>
      <c r="D79" s="53" t="str">
        <f>IF($A79="-","-",VLOOKUP($A79,[2]Controle!$A$6:$BP$215,D$71,FALSE))</f>
        <v>Elus</v>
      </c>
      <c r="E79" s="53" t="str">
        <f>IF($A79="-","-",VLOOKUP($A79,[2]Controle!$A$6:$BP$215,E$71,FALSE))</f>
        <v>RBC - CAL 0439</v>
      </c>
      <c r="F79" s="53" t="str">
        <f>IF($A79="-","-",VLOOKUP($A79,[2]Controle!$A$6:$BP$215,F$71,FALSE))</f>
        <v>E0712/25</v>
      </c>
      <c r="G79" s="54">
        <f>IF($A79="-","-",VLOOKUP($A79,[2]Controle!$A$6:$BP$215,G$71,FALSE))</f>
        <v>45940</v>
      </c>
      <c r="H79" s="55">
        <f>IF($A79="-","-",VLOOKUP($A79,[2]Controle!$A$6:$BP$215,H$71,FALSE))</f>
        <v>46326</v>
      </c>
      <c r="I79" s="53" t="str">
        <f>IF($A79="-","-",VLOOKUP($A79,[2]Controle!$A$6:$BP$215,I$71,FALSE))</f>
        <v>°C</v>
      </c>
      <c r="J79" s="53" t="str">
        <f>IF($A79="-","-",VLOOKUP($A79,[2]Controle!$A$6:$BP$215,J$71,FALSE))</f>
        <v>Contato</v>
      </c>
      <c r="K79" s="53" t="str">
        <f>IF($A79="-","-",VLOOKUP($A79,[2]Controle!$A$6:$BP$215,K$71,FALSE))</f>
        <v>Termoresisitivo</v>
      </c>
      <c r="L79" s="53">
        <f>IF($A79="-","-",VLOOKUP($A79,[2]Controle!$A$6:$BP$215,L$71,FALSE))</f>
        <v>15</v>
      </c>
      <c r="M79" s="53">
        <f>IF($A79="-","-",VLOOKUP($A79,[2]Controle!$A$6:$BP$215,M$71,FALSE))</f>
        <v>35</v>
      </c>
      <c r="N79" s="53">
        <f>IF($A79="-","-",VLOOKUP($A79,[2]Controle!$A$6:$BP$215,N$71,FALSE))</f>
        <v>0.1</v>
      </c>
      <c r="O79" s="53">
        <f>IF($A79="-","-",VLOOKUP($A79,[2]Controle!$A$6:$BP$215,O$71,FALSE))</f>
        <v>0</v>
      </c>
      <c r="P79" s="53">
        <f>IF($A79="-","-",VLOOKUP($A79,[2]Controle!$A$6:$BP$215,P$71,FALSE))</f>
        <v>0.1</v>
      </c>
      <c r="Q79" s="53">
        <f>IF($A79="-","-",VLOOKUP($A79,[2]Controle!$A$6:$BP$215,Q$71,FALSE))</f>
        <v>0</v>
      </c>
      <c r="R79" s="53">
        <f>IF($A79="-","-",VLOOKUP($A79,[2]Controle!$A$6:$BP$215,R$71,FALSE))</f>
        <v>0</v>
      </c>
      <c r="S79" s="53">
        <f>IF($A79="-","-",VLOOKUP($A79,[2]Controle!$A$6:$BP$215,S$71,FALSE))</f>
        <v>3</v>
      </c>
      <c r="T79" s="53">
        <f>IF($A79="-","-",VLOOKUP($A79,[2]Controle!$A$6:$BP$215,T$71,FALSE))</f>
        <v>0</v>
      </c>
      <c r="U79" s="53">
        <f>IF($A79="-","-",VLOOKUP($A79,[2]Controle!$A$6:$BP$215,U$71,FALSE))</f>
        <v>0</v>
      </c>
      <c r="V79" s="53">
        <f>IF($A79="-","-",VLOOKUP($A79,[2]Controle!$A$6:$BP$215,V$71,FALSE))</f>
        <v>0</v>
      </c>
      <c r="W79" s="53">
        <f>IF($A79="-","-",VLOOKUP($A79,[2]Controle!$A$6:$BP$215,W$71,FALSE))</f>
        <v>0</v>
      </c>
      <c r="X79" s="53">
        <f>IF($A79="-","-",VLOOKUP($A79,[2]Controle!$A$6:$BP$215,X$71,FALSE))</f>
        <v>0</v>
      </c>
      <c r="Y79" s="53">
        <f>IF($A79="-","-",VLOOKUP($A79,[2]Controle!$A$6:$BP$215,Y$71,FALSE))</f>
        <v>0</v>
      </c>
      <c r="Z79" s="53">
        <f>IF($A79="-","-",VLOOKUP($A79,[2]Controle!$A$6:$BP$215,Z$71,FALSE))</f>
        <v>0</v>
      </c>
      <c r="AA79" s="53">
        <f>IF($A79="-","-",VLOOKUP($A79,[2]Controle!$A$6:$BP$215,AA$71,FALSE))</f>
        <v>1</v>
      </c>
      <c r="AB79" s="53">
        <f>IF($A79="-","-",VLOOKUP($A79,[2]Controle!$A$6:$BP$215,AB$71,FALSE))</f>
        <v>0</v>
      </c>
      <c r="AC79" s="53">
        <f>IF($A79="-","-",VLOOKUP($A79,[2]Controle!$A$6:$BP$215,AC$71,FALSE))</f>
        <v>15</v>
      </c>
      <c r="AD79" s="53">
        <f>IF($A79="-","-",VLOOKUP($A79,[2]Controle!$A$6:$BP$215,AD$71,FALSE))</f>
        <v>0.1</v>
      </c>
      <c r="AE79" s="53">
        <f>IF($A79="-","-",VLOOKUP($A79,[2]Controle!$A$6:$BP$215,AE$71,FALSE))</f>
        <v>2</v>
      </c>
      <c r="AF79" s="53">
        <f>IF($A79="-","-",VLOOKUP($A79,[2]Controle!$A$6:$BP$215,AF$71,FALSE))</f>
        <v>1000000</v>
      </c>
      <c r="AG79" s="53">
        <f>IF($A79="-","-",VLOOKUP($A79,[2]Controle!$A$6:$BP$215,AG$71,FALSE))</f>
        <v>20</v>
      </c>
      <c r="AH79" s="53">
        <f>IF($A79="-","-",VLOOKUP($A79,[2]Controle!$A$6:$BP$215,AH$71,FALSE))</f>
        <v>0.1</v>
      </c>
      <c r="AI79" s="53">
        <f>IF($A79="-","-",VLOOKUP($A79,[2]Controle!$A$6:$BP$215,AI$71,FALSE))</f>
        <v>2</v>
      </c>
      <c r="AJ79" s="53">
        <f>IF($A79="-","-",VLOOKUP($A79,[2]Controle!$A$6:$BP$215,AJ$71,FALSE))</f>
        <v>1000000</v>
      </c>
      <c r="AK79" s="53">
        <f>IF($A79="-","-",VLOOKUP($A79,[2]Controle!$A$6:$BP$215,AK$71,FALSE))</f>
        <v>25</v>
      </c>
      <c r="AL79" s="53">
        <f>IF($A79="-","-",VLOOKUP($A79,[2]Controle!$A$6:$BP$215,AL$71,FALSE))</f>
        <v>0.1</v>
      </c>
      <c r="AM79" s="53">
        <f>IF($A79="-","-",VLOOKUP($A79,[2]Controle!$A$6:$BP$215,AM$71,FALSE))</f>
        <v>2</v>
      </c>
      <c r="AN79" s="53">
        <f>IF($A79="-","-",VLOOKUP($A79,[2]Controle!$A$6:$BP$215,AN$71,FALSE))</f>
        <v>1000000</v>
      </c>
      <c r="AO79" s="53">
        <f>IF($A79="-","-",VLOOKUP($A79,[2]Controle!$A$6:$BP$215,AO$71,FALSE))</f>
        <v>30</v>
      </c>
      <c r="AP79" s="53">
        <f>IF($A79="-","-",VLOOKUP($A79,[2]Controle!$A$6:$BP$215,AP$71,FALSE))</f>
        <v>0.1</v>
      </c>
      <c r="AQ79" s="53">
        <f>IF($A79="-","-",VLOOKUP($A79,[2]Controle!$A$6:$BP$215,AQ$71,FALSE))</f>
        <v>2</v>
      </c>
      <c r="AR79" s="53">
        <f>IF($A79="-","-",VLOOKUP($A79,[2]Controle!$A$6:$BP$215,AR$71,FALSE))</f>
        <v>1000000</v>
      </c>
      <c r="AS79" s="53">
        <f>IF($A79="-","-",VLOOKUP($A79,[2]Controle!$A$6:$BP$215,AS$71,FALSE))</f>
        <v>35</v>
      </c>
      <c r="AT79" s="53">
        <f>IF($A79="-","-",VLOOKUP($A79,[2]Controle!$A$6:$BP$215,AT$71,FALSE))</f>
        <v>0.1</v>
      </c>
      <c r="AU79" s="53">
        <f>IF($A79="-","-",VLOOKUP($A79,[2]Controle!$A$6:$BP$215,AU$71,FALSE))</f>
        <v>2</v>
      </c>
      <c r="AV79" s="53">
        <f>IF($A79="-","-",VLOOKUP($A79,[2]Controle!$A$6:$BP$215,AV$71,FALSE))</f>
        <v>1000000</v>
      </c>
      <c r="AW79" s="53" t="str">
        <f>IF($A79="-","-",VLOOKUP($A79,[2]Controle!$A$6:$BP$215,AW$71,FALSE))</f>
        <v>-</v>
      </c>
      <c r="AX79" s="53" t="str">
        <f>IF($A79="-","-",VLOOKUP($A79,[2]Controle!$A$6:$BP$215,AX$71,FALSE))</f>
        <v>-</v>
      </c>
      <c r="AY79" s="53" t="str">
        <f>IF($A79="-","-",VLOOKUP($A79,[2]Controle!$A$6:$BP$215,AY$71,FALSE))</f>
        <v>-</v>
      </c>
      <c r="AZ79" s="53" t="str">
        <f>IF($A79="-","-",VLOOKUP($A79,[2]Controle!$A$6:$BP$215,AZ$71,FALSE))</f>
        <v>-</v>
      </c>
      <c r="BA79" s="53" t="str">
        <f>IF($A79="-","-",VLOOKUP($A79,[2]Controle!$A$6:$BP$215,BA$71,FALSE))</f>
        <v>-</v>
      </c>
      <c r="BB79" s="53" t="str">
        <f>IF($A79="-","-",VLOOKUP($A79,[2]Controle!$A$6:$BP$215,BB$71,FALSE))</f>
        <v>-</v>
      </c>
      <c r="BC79" s="53" t="str">
        <f>IF($A79="-","-",VLOOKUP($A79,[2]Controle!$A$6:$BP$215,BC$71,FALSE))</f>
        <v>-</v>
      </c>
      <c r="BD79" s="53" t="str">
        <f>IF($A79="-","-",VLOOKUP($A79,[2]Controle!$A$6:$BP$215,BD$71,FALSE))</f>
        <v>-</v>
      </c>
      <c r="BE79" s="53" t="str">
        <f>IF($A79="-","-",VLOOKUP($A79,[2]Controle!$A$6:$BP$215,BE$71,FALSE))</f>
        <v>-</v>
      </c>
      <c r="BF79" s="53" t="str">
        <f>IF($A79="-","-",VLOOKUP($A79,[2]Controle!$A$6:$BP$215,BF$71,FALSE))</f>
        <v>-</v>
      </c>
      <c r="BG79" s="53" t="str">
        <f>IF($A79="-","-",VLOOKUP($A79,[2]Controle!$A$6:$BP$215,BG$71,FALSE))</f>
        <v>-</v>
      </c>
      <c r="BH79" s="53" t="str">
        <f>IF($A79="-","-",VLOOKUP($A79,[2]Controle!$A$6:$BP$215,BH$71,FALSE))</f>
        <v>-</v>
      </c>
      <c r="BI79" s="53" t="str">
        <f>IF($A79="-","-",VLOOKUP($A79,[2]Controle!$A$6:$BP$215,BI$71,FALSE))</f>
        <v>-</v>
      </c>
      <c r="BJ79" s="53" t="str">
        <f>IF($A79="-","-",VLOOKUP($A79,[2]Controle!$A$6:$BP$215,BJ$71,FALSE))</f>
        <v>-</v>
      </c>
      <c r="BK79" s="53" t="str">
        <f>IF($A79="-","-",VLOOKUP($A79,[2]Controle!$A$6:$BP$215,BK$71,FALSE))</f>
        <v>-</v>
      </c>
      <c r="BL79" s="53" t="str">
        <f>IF($A79="-","-",VLOOKUP($A79,[2]Controle!$A$6:$BP$215,BL$71,FALSE))</f>
        <v>-</v>
      </c>
      <c r="BM79" s="53" t="str">
        <f>IF($A79="-","-",VLOOKUP($A79,[2]Controle!$A$6:$BP$215,BM$71,FALSE))</f>
        <v>-</v>
      </c>
      <c r="BN79" s="53" t="str">
        <f>IF($A79="-","-",VLOOKUP($A79,[2]Controle!$A$6:$BP$215,BN$71,FALSE))</f>
        <v>-</v>
      </c>
      <c r="BO79" s="53" t="str">
        <f>IF($A79="-","-",VLOOKUP($A79,[2]Controle!$A$6:$BP$215,BO$71,FALSE))</f>
        <v>-</v>
      </c>
      <c r="BP79" s="53" t="str">
        <f>IF($A79="-","-",VLOOKUP($A79,[2]Controle!$A$6:$BP$215,BP$71,FALSE))</f>
        <v>-</v>
      </c>
      <c r="CT79" s="41">
        <f ca="1">IF(CV79="-",0,MAX($CT$74:CT78)+1)</f>
        <v>6</v>
      </c>
      <c r="CU79" s="53" t="str">
        <f t="shared" ca="1" si="32"/>
        <v>VÁLIDO</v>
      </c>
      <c r="CV79" s="53" t="str">
        <f t="shared" ca="1" si="33"/>
        <v>E.TH.LQ-017</v>
      </c>
      <c r="CW79" s="53">
        <f t="shared" si="34"/>
        <v>100</v>
      </c>
      <c r="CY79" s="41" t="str">
        <f t="shared" si="35"/>
        <v>E</v>
      </c>
    </row>
    <row r="80" spans="1:103" x14ac:dyDescent="0.3">
      <c r="A80" s="56">
        <v>102</v>
      </c>
      <c r="B80" s="53" t="str">
        <f>IF($A80="-","-",VLOOKUP($A80,[2]Controle!$A$6:$BP$215,B$71,FALSE))</f>
        <v>M.TH.FS-001</v>
      </c>
      <c r="C80" s="53" t="str">
        <f>IF($A80="-","-",VLOOKUP($A80,[2]Controle!$A$6:$BP$215,C$71,FALSE))</f>
        <v>Termohigrômetro Digital</v>
      </c>
      <c r="D80" s="53" t="str">
        <f>IF($A80="-","-",VLOOKUP($A80,[2]Controle!$A$6:$BP$215,D$71,FALSE))</f>
        <v>Elus</v>
      </c>
      <c r="E80" s="53" t="str">
        <f>IF($A80="-","-",VLOOKUP($A80,[2]Controle!$A$6:$BP$215,E$71,FALSE))</f>
        <v>RBC - CAL 0439</v>
      </c>
      <c r="F80" s="53" t="str">
        <f>IF($A80="-","-",VLOOKUP($A80,[2]Controle!$A$6:$BP$215,F$71,FALSE))</f>
        <v>E0307/24</v>
      </c>
      <c r="G80" s="54">
        <f>IF($A80="-","-",VLOOKUP($A80,[2]Controle!$A$6:$BP$215,G$71,FALSE))</f>
        <v>45520</v>
      </c>
      <c r="H80" s="55">
        <f>IF($A80="-","-",VLOOKUP($A80,[2]Controle!$A$6:$BP$215,H$71,FALSE))</f>
        <v>45899</v>
      </c>
      <c r="I80" s="53" t="str">
        <f>IF($A80="-","-",VLOOKUP($A80,[2]Controle!$A$6:$BP$215,I$71,FALSE))</f>
        <v>°C</v>
      </c>
      <c r="J80" s="53" t="str">
        <f>IF($A80="-","-",VLOOKUP($A80,[2]Controle!$A$6:$BP$215,J$71,FALSE))</f>
        <v>OUT</v>
      </c>
      <c r="K80" s="53" t="str">
        <f>IF($A80="-","-",VLOOKUP($A80,[2]Controle!$A$6:$BP$215,K$71,FALSE))</f>
        <v>NA</v>
      </c>
      <c r="L80" s="53">
        <f>IF($A80="-","-",VLOOKUP($A80,[2]Controle!$A$6:$BP$215,L$71,FALSE))</f>
        <v>15</v>
      </c>
      <c r="M80" s="53">
        <f>IF($A80="-","-",VLOOKUP($A80,[2]Controle!$A$6:$BP$215,M$71,FALSE))</f>
        <v>30</v>
      </c>
      <c r="N80" s="53">
        <f>IF($A80="-","-",VLOOKUP($A80,[2]Controle!$A$6:$BP$215,N$71,FALSE))</f>
        <v>0.1</v>
      </c>
      <c r="O80" s="53">
        <f>IF($A80="-","-",VLOOKUP($A80,[2]Controle!$A$6:$BP$215,O$71,FALSE))</f>
        <v>0.30000000000000071</v>
      </c>
      <c r="P80" s="53">
        <f>IF($A80="-","-",VLOOKUP($A80,[2]Controle!$A$6:$BP$215,P$71,FALSE))</f>
        <v>0.3</v>
      </c>
      <c r="Q80" s="53">
        <f>IF($A80="-","-",VLOOKUP($A80,[2]Controle!$A$6:$BP$215,Q$71,FALSE))</f>
        <v>0.30000000000000071</v>
      </c>
      <c r="R80" s="53">
        <f>IF($A80="-","-",VLOOKUP($A80,[2]Controle!$A$6:$BP$215,R$71,FALSE))</f>
        <v>9.1188530723270378E-2</v>
      </c>
      <c r="S80" s="53">
        <f>IF($A80="-","-",VLOOKUP($A80,[2]Controle!$A$6:$BP$215,S$71,FALSE))</f>
        <v>2</v>
      </c>
      <c r="T80" s="53">
        <f>IF($A80="-","-",VLOOKUP($A80,[2]Controle!$A$6:$BP$215,T$71,FALSE))</f>
        <v>0</v>
      </c>
      <c r="U80" s="53">
        <f>IF($A80="-","-",VLOOKUP($A80,[2]Controle!$A$6:$BP$215,U$71,FALSE))</f>
        <v>0</v>
      </c>
      <c r="V80" s="53">
        <f>IF($A80="-","-",VLOOKUP($A80,[2]Controle!$A$6:$BP$215,V$71,FALSE))</f>
        <v>0</v>
      </c>
      <c r="W80" s="53">
        <f>IF($A80="-","-",VLOOKUP($A80,[2]Controle!$A$6:$BP$215,W$71,FALSE))</f>
        <v>0</v>
      </c>
      <c r="X80" s="53">
        <f>IF($A80="-","-",VLOOKUP($A80,[2]Controle!$A$6:$BP$215,X$71,FALSE))</f>
        <v>0</v>
      </c>
      <c r="Y80" s="53">
        <f>IF($A80="-","-",VLOOKUP($A80,[2]Controle!$A$6:$BP$215,Y$71,FALSE))</f>
        <v>0</v>
      </c>
      <c r="Z80" s="53">
        <f>IF($A80="-","-",VLOOKUP($A80,[2]Controle!$A$6:$BP$215,Z$71,FALSE))</f>
        <v>-2.0232862582662643E-3</v>
      </c>
      <c r="AA80" s="53">
        <f>IF($A80="-","-",VLOOKUP($A80,[2]Controle!$A$6:$BP$215,AA$71,FALSE))</f>
        <v>1.0943487292537868</v>
      </c>
      <c r="AB80" s="53">
        <f>IF($A80="-","-",VLOOKUP($A80,[2]Controle!$A$6:$BP$215,AB$71,FALSE))</f>
        <v>-0.83508464854867115</v>
      </c>
      <c r="AC80" s="53">
        <f>IF($A80="-","-",VLOOKUP($A80,[2]Controle!$A$6:$BP$215,AC$71,FALSE))</f>
        <v>15</v>
      </c>
      <c r="AD80" s="53">
        <f>IF($A80="-","-",VLOOKUP($A80,[2]Controle!$A$6:$BP$215,AD$71,FALSE))</f>
        <v>0.3</v>
      </c>
      <c r="AE80" s="53">
        <f>IF($A80="-","-",VLOOKUP($A80,[2]Controle!$A$6:$BP$215,AE$71,FALSE))</f>
        <v>2</v>
      </c>
      <c r="AF80" s="53">
        <f>IF($A80="-","-",VLOOKUP($A80,[2]Controle!$A$6:$BP$215,AF$71,FALSE))</f>
        <v>1000000</v>
      </c>
      <c r="AG80" s="53">
        <f>IF($A80="-","-",VLOOKUP($A80,[2]Controle!$A$6:$BP$215,AG$71,FALSE))</f>
        <v>20</v>
      </c>
      <c r="AH80" s="53">
        <f>IF($A80="-","-",VLOOKUP($A80,[2]Controle!$A$6:$BP$215,AH$71,FALSE))</f>
        <v>0.3</v>
      </c>
      <c r="AI80" s="53">
        <f>IF($A80="-","-",VLOOKUP($A80,[2]Controle!$A$6:$BP$215,AI$71,FALSE))</f>
        <v>2</v>
      </c>
      <c r="AJ80" s="53">
        <f>IF($A80="-","-",VLOOKUP($A80,[2]Controle!$A$6:$BP$215,AJ$71,FALSE))</f>
        <v>1000000</v>
      </c>
      <c r="AK80" s="53">
        <f>IF($A80="-","-",VLOOKUP($A80,[2]Controle!$A$6:$BP$215,AK$71,FALSE))</f>
        <v>25</v>
      </c>
      <c r="AL80" s="53">
        <f>IF($A80="-","-",VLOOKUP($A80,[2]Controle!$A$6:$BP$215,AL$71,FALSE))</f>
        <v>0.3</v>
      </c>
      <c r="AM80" s="53">
        <f>IF($A80="-","-",VLOOKUP($A80,[2]Controle!$A$6:$BP$215,AM$71,FALSE))</f>
        <v>2</v>
      </c>
      <c r="AN80" s="53">
        <f>IF($A80="-","-",VLOOKUP($A80,[2]Controle!$A$6:$BP$215,AN$71,FALSE))</f>
        <v>1000000</v>
      </c>
      <c r="AO80" s="53">
        <f>IF($A80="-","-",VLOOKUP($A80,[2]Controle!$A$6:$BP$215,AO$71,FALSE))</f>
        <v>30</v>
      </c>
      <c r="AP80" s="53">
        <f>IF($A80="-","-",VLOOKUP($A80,[2]Controle!$A$6:$BP$215,AP$71,FALSE))</f>
        <v>0.3</v>
      </c>
      <c r="AQ80" s="53">
        <f>IF($A80="-","-",VLOOKUP($A80,[2]Controle!$A$6:$BP$215,AQ$71,FALSE))</f>
        <v>2</v>
      </c>
      <c r="AR80" s="53">
        <f>IF($A80="-","-",VLOOKUP($A80,[2]Controle!$A$6:$BP$215,AR$71,FALSE))</f>
        <v>1000000</v>
      </c>
      <c r="AS80" s="53" t="str">
        <f>IF($A80="-","-",VLOOKUP($A80,[2]Controle!$A$6:$BP$215,AS$71,FALSE))</f>
        <v>-</v>
      </c>
      <c r="AT80" s="53" t="str">
        <f>IF($A80="-","-",VLOOKUP($A80,[2]Controle!$A$6:$BP$215,AT$71,FALSE))</f>
        <v>-</v>
      </c>
      <c r="AU80" s="53" t="str">
        <f>IF($A80="-","-",VLOOKUP($A80,[2]Controle!$A$6:$BP$215,AU$71,FALSE))</f>
        <v>-</v>
      </c>
      <c r="AV80" s="53" t="str">
        <f>IF($A80="-","-",VLOOKUP($A80,[2]Controle!$A$6:$BP$215,AV$71,FALSE))</f>
        <v>-</v>
      </c>
      <c r="AW80" s="53" t="str">
        <f>IF($A80="-","-",VLOOKUP($A80,[2]Controle!$A$6:$BP$215,AW$71,FALSE))</f>
        <v>-</v>
      </c>
      <c r="AX80" s="53" t="str">
        <f>IF($A80="-","-",VLOOKUP($A80,[2]Controle!$A$6:$BP$215,AX$71,FALSE))</f>
        <v>-</v>
      </c>
      <c r="AY80" s="53" t="str">
        <f>IF($A80="-","-",VLOOKUP($A80,[2]Controle!$A$6:$BP$215,AY$71,FALSE))</f>
        <v>-</v>
      </c>
      <c r="AZ80" s="53" t="str">
        <f>IF($A80="-","-",VLOOKUP($A80,[2]Controle!$A$6:$BP$215,AZ$71,FALSE))</f>
        <v>-</v>
      </c>
      <c r="BA80" s="53" t="str">
        <f>IF($A80="-","-",VLOOKUP($A80,[2]Controle!$A$6:$BP$215,BA$71,FALSE))</f>
        <v>-</v>
      </c>
      <c r="BB80" s="53" t="str">
        <f>IF($A80="-","-",VLOOKUP($A80,[2]Controle!$A$6:$BP$215,BB$71,FALSE))</f>
        <v>-</v>
      </c>
      <c r="BC80" s="53" t="str">
        <f>IF($A80="-","-",VLOOKUP($A80,[2]Controle!$A$6:$BP$215,BC$71,FALSE))</f>
        <v>-</v>
      </c>
      <c r="BD80" s="53" t="str">
        <f>IF($A80="-","-",VLOOKUP($A80,[2]Controle!$A$6:$BP$215,BD$71,FALSE))</f>
        <v>-</v>
      </c>
      <c r="BE80" s="53" t="str">
        <f>IF($A80="-","-",VLOOKUP($A80,[2]Controle!$A$6:$BP$215,BE$71,FALSE))</f>
        <v>-</v>
      </c>
      <c r="BF80" s="53" t="str">
        <f>IF($A80="-","-",VLOOKUP($A80,[2]Controle!$A$6:$BP$215,BF$71,FALSE))</f>
        <v>-</v>
      </c>
      <c r="BG80" s="53" t="str">
        <f>IF($A80="-","-",VLOOKUP($A80,[2]Controle!$A$6:$BP$215,BG$71,FALSE))</f>
        <v>-</v>
      </c>
      <c r="BH80" s="53" t="str">
        <f>IF($A80="-","-",VLOOKUP($A80,[2]Controle!$A$6:$BP$215,BH$71,FALSE))</f>
        <v>-</v>
      </c>
      <c r="BI80" s="53" t="str">
        <f>IF($A80="-","-",VLOOKUP($A80,[2]Controle!$A$6:$BP$215,BI$71,FALSE))</f>
        <v>-</v>
      </c>
      <c r="BJ80" s="53" t="str">
        <f>IF($A80="-","-",VLOOKUP($A80,[2]Controle!$A$6:$BP$215,BJ$71,FALSE))</f>
        <v>-</v>
      </c>
      <c r="BK80" s="53" t="str">
        <f>IF($A80="-","-",VLOOKUP($A80,[2]Controle!$A$6:$BP$215,BK$71,FALSE))</f>
        <v>-</v>
      </c>
      <c r="BL80" s="53" t="str">
        <f>IF($A80="-","-",VLOOKUP($A80,[2]Controle!$A$6:$BP$215,BL$71,FALSE))</f>
        <v>-</v>
      </c>
      <c r="BM80" s="53" t="str">
        <f>IF($A80="-","-",VLOOKUP($A80,[2]Controle!$A$6:$BP$215,BM$71,FALSE))</f>
        <v>-</v>
      </c>
      <c r="BN80" s="53" t="str">
        <f>IF($A80="-","-",VLOOKUP($A80,[2]Controle!$A$6:$BP$215,BN$71,FALSE))</f>
        <v>-</v>
      </c>
      <c r="BO80" s="53" t="str">
        <f>IF($A80="-","-",VLOOKUP($A80,[2]Controle!$A$6:$BP$215,BO$71,FALSE))</f>
        <v>-</v>
      </c>
      <c r="BP80" s="53" t="str">
        <f>IF($A80="-","-",VLOOKUP($A80,[2]Controle!$A$6:$BP$215,BP$71,FALSE))</f>
        <v>-</v>
      </c>
      <c r="CT80" s="41">
        <f>IF(CV80="-",0,MAX($CT$74:CT79)+1)</f>
        <v>0</v>
      </c>
      <c r="CU80" s="53" t="str">
        <f t="shared" ca="1" si="32"/>
        <v>VENCIDO</v>
      </c>
      <c r="CV80" s="53" t="str">
        <f t="shared" si="33"/>
        <v>-</v>
      </c>
      <c r="CW80" s="53">
        <f t="shared" si="34"/>
        <v>102</v>
      </c>
      <c r="CY80" s="41" t="str">
        <f t="shared" si="35"/>
        <v>M</v>
      </c>
    </row>
    <row r="81" spans="1:103" x14ac:dyDescent="0.3">
      <c r="A81" s="56">
        <v>104</v>
      </c>
      <c r="B81" s="53" t="str">
        <f>IF($A81="-","-",VLOOKUP($A81,[2]Controle!$A$6:$BP$215,B$71,FALSE))</f>
        <v>M.TH.FS-002</v>
      </c>
      <c r="C81" s="53" t="str">
        <f>IF($A81="-","-",VLOOKUP($A81,[2]Controle!$A$6:$BP$215,C$71,FALSE))</f>
        <v>Termohigrômetro Digital</v>
      </c>
      <c r="D81" s="53" t="str">
        <f>IF($A81="-","-",VLOOKUP($A81,[2]Controle!$A$6:$BP$215,D$71,FALSE))</f>
        <v>Elus</v>
      </c>
      <c r="E81" s="53" t="str">
        <f>IF($A81="-","-",VLOOKUP($A81,[2]Controle!$A$6:$BP$215,E$71,FALSE))</f>
        <v>RBC - CAL 0439</v>
      </c>
      <c r="F81" s="53" t="str">
        <f>IF($A81="-","-",VLOOKUP($A81,[2]Controle!$A$6:$BP$215,F$71,FALSE))</f>
        <v>E0308/24</v>
      </c>
      <c r="G81" s="54">
        <f>IF($A81="-","-",VLOOKUP($A81,[2]Controle!$A$6:$BP$215,G$71,FALSE))</f>
        <v>45520</v>
      </c>
      <c r="H81" s="55">
        <f>IF($A81="-","-",VLOOKUP($A81,[2]Controle!$A$6:$BP$215,H$71,FALSE))</f>
        <v>45899</v>
      </c>
      <c r="I81" s="53" t="str">
        <f>IF($A81="-","-",VLOOKUP($A81,[2]Controle!$A$6:$BP$215,I$71,FALSE))</f>
        <v>°C</v>
      </c>
      <c r="J81" s="53" t="str">
        <f>IF($A81="-","-",VLOOKUP($A81,[2]Controle!$A$6:$BP$215,J$71,FALSE))</f>
        <v>OUT</v>
      </c>
      <c r="K81" s="53" t="str">
        <f>IF($A81="-","-",VLOOKUP($A81,[2]Controle!$A$6:$BP$215,K$71,FALSE))</f>
        <v>NA</v>
      </c>
      <c r="L81" s="53">
        <f>IF($A81="-","-",VLOOKUP($A81,[2]Controle!$A$6:$BP$215,L$71,FALSE))</f>
        <v>15</v>
      </c>
      <c r="M81" s="53">
        <f>IF($A81="-","-",VLOOKUP($A81,[2]Controle!$A$6:$BP$215,M$71,FALSE))</f>
        <v>30</v>
      </c>
      <c r="N81" s="53">
        <f>IF($A81="-","-",VLOOKUP($A81,[2]Controle!$A$6:$BP$215,N$71,FALSE))</f>
        <v>0.1</v>
      </c>
      <c r="O81" s="53">
        <f>IF($A81="-","-",VLOOKUP($A81,[2]Controle!$A$6:$BP$215,O$71,FALSE))</f>
        <v>0.40000000000000036</v>
      </c>
      <c r="P81" s="53">
        <f>IF($A81="-","-",VLOOKUP($A81,[2]Controle!$A$6:$BP$215,P$71,FALSE))</f>
        <v>0.3</v>
      </c>
      <c r="Q81" s="53">
        <f>IF($A81="-","-",VLOOKUP($A81,[2]Controle!$A$6:$BP$215,Q$71,FALSE))</f>
        <v>0.40000000000000036</v>
      </c>
      <c r="R81" s="53">
        <f>IF($A81="-","-",VLOOKUP($A81,[2]Controle!$A$6:$BP$215,R$71,FALSE))</f>
        <v>2.7755575615628914E-15</v>
      </c>
      <c r="S81" s="53">
        <f>IF($A81="-","-",VLOOKUP($A81,[2]Controle!$A$6:$BP$215,S$71,FALSE))</f>
        <v>2</v>
      </c>
      <c r="T81" s="53">
        <f>IF($A81="-","-",VLOOKUP($A81,[2]Controle!$A$6:$BP$215,T$71,FALSE))</f>
        <v>0</v>
      </c>
      <c r="U81" s="53">
        <f>IF($A81="-","-",VLOOKUP($A81,[2]Controle!$A$6:$BP$215,U$71,FALSE))</f>
        <v>0</v>
      </c>
      <c r="V81" s="53">
        <f>IF($A81="-","-",VLOOKUP($A81,[2]Controle!$A$6:$BP$215,V$71,FALSE))</f>
        <v>0</v>
      </c>
      <c r="W81" s="53">
        <f>IF($A81="-","-",VLOOKUP($A81,[2]Controle!$A$6:$BP$215,W$71,FALSE))</f>
        <v>0</v>
      </c>
      <c r="X81" s="53">
        <f>IF($A81="-","-",VLOOKUP($A81,[2]Controle!$A$6:$BP$215,X$71,FALSE))</f>
        <v>0</v>
      </c>
      <c r="Y81" s="53">
        <f>IF($A81="-","-",VLOOKUP($A81,[2]Controle!$A$6:$BP$215,Y$71,FALSE))</f>
        <v>0</v>
      </c>
      <c r="Z81" s="53">
        <f>IF($A81="-","-",VLOOKUP($A81,[2]Controle!$A$6:$BP$215,Z$71,FALSE))</f>
        <v>-3.4821317242071447E-18</v>
      </c>
      <c r="AA81" s="53">
        <f>IF($A81="-","-",VLOOKUP($A81,[2]Controle!$A$6:$BP$215,AA$71,FALSE))</f>
        <v>0.98039215686274517</v>
      </c>
      <c r="AB81" s="53">
        <f>IF($A81="-","-",VLOOKUP($A81,[2]Controle!$A$6:$BP$215,AB$71,FALSE))</f>
        <v>0.68627450980392102</v>
      </c>
      <c r="AC81" s="53">
        <f>IF($A81="-","-",VLOOKUP($A81,[2]Controle!$A$6:$BP$215,AC$71,FALSE))</f>
        <v>15</v>
      </c>
      <c r="AD81" s="53">
        <f>IF($A81="-","-",VLOOKUP($A81,[2]Controle!$A$6:$BP$215,AD$71,FALSE))</f>
        <v>0.3</v>
      </c>
      <c r="AE81" s="53">
        <f>IF($A81="-","-",VLOOKUP($A81,[2]Controle!$A$6:$BP$215,AE$71,FALSE))</f>
        <v>2</v>
      </c>
      <c r="AF81" s="53">
        <f>IF($A81="-","-",VLOOKUP($A81,[2]Controle!$A$6:$BP$215,AF$71,FALSE))</f>
        <v>1000000</v>
      </c>
      <c r="AG81" s="53">
        <f>IF($A81="-","-",VLOOKUP($A81,[2]Controle!$A$6:$BP$215,AG$71,FALSE))</f>
        <v>20</v>
      </c>
      <c r="AH81" s="53">
        <f>IF($A81="-","-",VLOOKUP($A81,[2]Controle!$A$6:$BP$215,AH$71,FALSE))</f>
        <v>0.3</v>
      </c>
      <c r="AI81" s="53">
        <f>IF($A81="-","-",VLOOKUP($A81,[2]Controle!$A$6:$BP$215,AI$71,FALSE))</f>
        <v>2</v>
      </c>
      <c r="AJ81" s="53">
        <f>IF($A81="-","-",VLOOKUP($A81,[2]Controle!$A$6:$BP$215,AJ$71,FALSE))</f>
        <v>1000000</v>
      </c>
      <c r="AK81" s="53">
        <f>IF($A81="-","-",VLOOKUP($A81,[2]Controle!$A$6:$BP$215,AK$71,FALSE))</f>
        <v>25</v>
      </c>
      <c r="AL81" s="53">
        <f>IF($A81="-","-",VLOOKUP($A81,[2]Controle!$A$6:$BP$215,AL$71,FALSE))</f>
        <v>0.3</v>
      </c>
      <c r="AM81" s="53">
        <f>IF($A81="-","-",VLOOKUP($A81,[2]Controle!$A$6:$BP$215,AM$71,FALSE))</f>
        <v>2</v>
      </c>
      <c r="AN81" s="53">
        <f>IF($A81="-","-",VLOOKUP($A81,[2]Controle!$A$6:$BP$215,AN$71,FALSE))</f>
        <v>1000000</v>
      </c>
      <c r="AO81" s="53">
        <f>IF($A81="-","-",VLOOKUP($A81,[2]Controle!$A$6:$BP$215,AO$71,FALSE))</f>
        <v>30</v>
      </c>
      <c r="AP81" s="53">
        <f>IF($A81="-","-",VLOOKUP($A81,[2]Controle!$A$6:$BP$215,AP$71,FALSE))</f>
        <v>0.3</v>
      </c>
      <c r="AQ81" s="53">
        <f>IF($A81="-","-",VLOOKUP($A81,[2]Controle!$A$6:$BP$215,AQ$71,FALSE))</f>
        <v>2</v>
      </c>
      <c r="AR81" s="53">
        <f>IF($A81="-","-",VLOOKUP($A81,[2]Controle!$A$6:$BP$215,AR$71,FALSE))</f>
        <v>1000000</v>
      </c>
      <c r="AS81" s="53" t="str">
        <f>IF($A81="-","-",VLOOKUP($A81,[2]Controle!$A$6:$BP$215,AS$71,FALSE))</f>
        <v>-</v>
      </c>
      <c r="AT81" s="53" t="str">
        <f>IF($A81="-","-",VLOOKUP($A81,[2]Controle!$A$6:$BP$215,AT$71,FALSE))</f>
        <v>-</v>
      </c>
      <c r="AU81" s="53" t="str">
        <f>IF($A81="-","-",VLOOKUP($A81,[2]Controle!$A$6:$BP$215,AU$71,FALSE))</f>
        <v>-</v>
      </c>
      <c r="AV81" s="53" t="str">
        <f>IF($A81="-","-",VLOOKUP($A81,[2]Controle!$A$6:$BP$215,AV$71,FALSE))</f>
        <v>-</v>
      </c>
      <c r="AW81" s="53" t="str">
        <f>IF($A81="-","-",VLOOKUP($A81,[2]Controle!$A$6:$BP$215,AW$71,FALSE))</f>
        <v>-</v>
      </c>
      <c r="AX81" s="53" t="str">
        <f>IF($A81="-","-",VLOOKUP($A81,[2]Controle!$A$6:$BP$215,AX$71,FALSE))</f>
        <v>-</v>
      </c>
      <c r="AY81" s="53" t="str">
        <f>IF($A81="-","-",VLOOKUP($A81,[2]Controle!$A$6:$BP$215,AY$71,FALSE))</f>
        <v>-</v>
      </c>
      <c r="AZ81" s="53" t="str">
        <f>IF($A81="-","-",VLOOKUP($A81,[2]Controle!$A$6:$BP$215,AZ$71,FALSE))</f>
        <v>-</v>
      </c>
      <c r="BA81" s="53" t="str">
        <f>IF($A81="-","-",VLOOKUP($A81,[2]Controle!$A$6:$BP$215,BA$71,FALSE))</f>
        <v>-</v>
      </c>
      <c r="BB81" s="53" t="str">
        <f>IF($A81="-","-",VLOOKUP($A81,[2]Controle!$A$6:$BP$215,BB$71,FALSE))</f>
        <v>-</v>
      </c>
      <c r="BC81" s="53" t="str">
        <f>IF($A81="-","-",VLOOKUP($A81,[2]Controle!$A$6:$BP$215,BC$71,FALSE))</f>
        <v>-</v>
      </c>
      <c r="BD81" s="53" t="str">
        <f>IF($A81="-","-",VLOOKUP($A81,[2]Controle!$A$6:$BP$215,BD$71,FALSE))</f>
        <v>-</v>
      </c>
      <c r="BE81" s="53" t="str">
        <f>IF($A81="-","-",VLOOKUP($A81,[2]Controle!$A$6:$BP$215,BE$71,FALSE))</f>
        <v>-</v>
      </c>
      <c r="BF81" s="53" t="str">
        <f>IF($A81="-","-",VLOOKUP($A81,[2]Controle!$A$6:$BP$215,BF$71,FALSE))</f>
        <v>-</v>
      </c>
      <c r="BG81" s="53" t="str">
        <f>IF($A81="-","-",VLOOKUP($A81,[2]Controle!$A$6:$BP$215,BG$71,FALSE))</f>
        <v>-</v>
      </c>
      <c r="BH81" s="53" t="str">
        <f>IF($A81="-","-",VLOOKUP($A81,[2]Controle!$A$6:$BP$215,BH$71,FALSE))</f>
        <v>-</v>
      </c>
      <c r="BI81" s="53" t="str">
        <f>IF($A81="-","-",VLOOKUP($A81,[2]Controle!$A$6:$BP$215,BI$71,FALSE))</f>
        <v>-</v>
      </c>
      <c r="BJ81" s="53" t="str">
        <f>IF($A81="-","-",VLOOKUP($A81,[2]Controle!$A$6:$BP$215,BJ$71,FALSE))</f>
        <v>-</v>
      </c>
      <c r="BK81" s="53" t="str">
        <f>IF($A81="-","-",VLOOKUP($A81,[2]Controle!$A$6:$BP$215,BK$71,FALSE))</f>
        <v>-</v>
      </c>
      <c r="BL81" s="53" t="str">
        <f>IF($A81="-","-",VLOOKUP($A81,[2]Controle!$A$6:$BP$215,BL$71,FALSE))</f>
        <v>-</v>
      </c>
      <c r="BM81" s="53" t="str">
        <f>IF($A81="-","-",VLOOKUP($A81,[2]Controle!$A$6:$BP$215,BM$71,FALSE))</f>
        <v>-</v>
      </c>
      <c r="BN81" s="53" t="str">
        <f>IF($A81="-","-",VLOOKUP($A81,[2]Controle!$A$6:$BP$215,BN$71,FALSE))</f>
        <v>-</v>
      </c>
      <c r="BO81" s="53" t="str">
        <f>IF($A81="-","-",VLOOKUP($A81,[2]Controle!$A$6:$BP$215,BO$71,FALSE))</f>
        <v>-</v>
      </c>
      <c r="BP81" s="53" t="str">
        <f>IF($A81="-","-",VLOOKUP($A81,[2]Controle!$A$6:$BP$215,BP$71,FALSE))</f>
        <v>-</v>
      </c>
      <c r="CT81" s="41">
        <f>IF(CV81="-",0,MAX($CT$74:CT80)+1)</f>
        <v>0</v>
      </c>
      <c r="CU81" s="53" t="str">
        <f t="shared" ref="CU81" ca="1" si="36">IF(CW81="-","-",IF($G$1&lt;=H81,"VÁLIDO","VENCIDO"))</f>
        <v>VENCIDO</v>
      </c>
      <c r="CV81" s="53" t="str">
        <f t="shared" si="33"/>
        <v>-</v>
      </c>
      <c r="CW81" s="53">
        <f t="shared" ref="CW81" si="37">A81</f>
        <v>104</v>
      </c>
      <c r="CY81" s="41" t="str">
        <f t="shared" si="35"/>
        <v>M</v>
      </c>
    </row>
    <row r="82" spans="1:103" x14ac:dyDescent="0.3">
      <c r="A82" s="56">
        <v>106</v>
      </c>
      <c r="B82" s="53" t="str">
        <f>IF($A82="-","-",VLOOKUP($A82,[2]Controle!$A$6:$BP$215,B$71,FALSE))</f>
        <v>M.TH.FS-003</v>
      </c>
      <c r="C82" s="53" t="str">
        <f>IF($A82="-","-",VLOOKUP($A82,[2]Controle!$A$6:$BP$215,C$71,FALSE))</f>
        <v>Termohigrômetro Digital</v>
      </c>
      <c r="D82" s="53" t="str">
        <f>IF($A82="-","-",VLOOKUP($A82,[2]Controle!$A$6:$BP$215,D$71,FALSE))</f>
        <v>Elus</v>
      </c>
      <c r="E82" s="53" t="str">
        <f>IF($A82="-","-",VLOOKUP($A82,[2]Controle!$A$6:$BP$215,E$71,FALSE))</f>
        <v>RBC - CAL 0439</v>
      </c>
      <c r="F82" s="53" t="str">
        <f>IF($A82="-","-",VLOOKUP($A82,[2]Controle!$A$6:$BP$215,F$71,FALSE))</f>
        <v>E0309/24</v>
      </c>
      <c r="G82" s="54">
        <f>IF($A82="-","-",VLOOKUP($A82,[2]Controle!$A$6:$BP$215,G$71,FALSE))</f>
        <v>45520</v>
      </c>
      <c r="H82" s="55">
        <f>IF($A82="-","-",VLOOKUP($A82,[2]Controle!$A$6:$BP$215,H$71,FALSE))</f>
        <v>45899</v>
      </c>
      <c r="I82" s="53" t="str">
        <f>IF($A82="-","-",VLOOKUP($A82,[2]Controle!$A$6:$BP$215,I$71,FALSE))</f>
        <v>°C</v>
      </c>
      <c r="J82" s="53" t="str">
        <f>IF($A82="-","-",VLOOKUP($A82,[2]Controle!$A$6:$BP$215,J$71,FALSE))</f>
        <v>OUT</v>
      </c>
      <c r="K82" s="53" t="str">
        <f>IF($A82="-","-",VLOOKUP($A82,[2]Controle!$A$6:$BP$215,K$71,FALSE))</f>
        <v>NA</v>
      </c>
      <c r="L82" s="53">
        <f>IF($A82="-","-",VLOOKUP($A82,[2]Controle!$A$6:$BP$215,L$71,FALSE))</f>
        <v>15</v>
      </c>
      <c r="M82" s="53">
        <f>IF($A82="-","-",VLOOKUP($A82,[2]Controle!$A$6:$BP$215,M$71,FALSE))</f>
        <v>30</v>
      </c>
      <c r="N82" s="53">
        <f>IF($A82="-","-",VLOOKUP($A82,[2]Controle!$A$6:$BP$215,N$71,FALSE))</f>
        <v>0.1</v>
      </c>
      <c r="O82" s="53">
        <f>IF($A82="-","-",VLOOKUP($A82,[2]Controle!$A$6:$BP$215,O$71,FALSE))</f>
        <v>0.19999999999999929</v>
      </c>
      <c r="P82" s="53">
        <f>IF($A82="-","-",VLOOKUP($A82,[2]Controle!$A$6:$BP$215,P$71,FALSE))</f>
        <v>0.3</v>
      </c>
      <c r="Q82" s="53">
        <f>IF($A82="-","-",VLOOKUP($A82,[2]Controle!$A$6:$BP$215,Q$71,FALSE))</f>
        <v>0.19999999999999929</v>
      </c>
      <c r="R82" s="53">
        <f>IF($A82="-","-",VLOOKUP($A82,[2]Controle!$A$6:$BP$215,R$71,FALSE))</f>
        <v>0.15408135430069225</v>
      </c>
      <c r="S82" s="53">
        <f>IF($A82="-","-",VLOOKUP($A82,[2]Controle!$A$6:$BP$215,S$71,FALSE))</f>
        <v>2</v>
      </c>
      <c r="T82" s="53">
        <f>IF($A82="-","-",VLOOKUP($A82,[2]Controle!$A$6:$BP$215,T$71,FALSE))</f>
        <v>0</v>
      </c>
      <c r="U82" s="53">
        <f>IF($A82="-","-",VLOOKUP($A82,[2]Controle!$A$6:$BP$215,U$71,FALSE))</f>
        <v>0</v>
      </c>
      <c r="V82" s="53">
        <f>IF($A82="-","-",VLOOKUP($A82,[2]Controle!$A$6:$BP$215,V$71,FALSE))</f>
        <v>0</v>
      </c>
      <c r="W82" s="53">
        <f>IF($A82="-","-",VLOOKUP($A82,[2]Controle!$A$6:$BP$215,W$71,FALSE))</f>
        <v>0</v>
      </c>
      <c r="X82" s="53">
        <f>IF($A82="-","-",VLOOKUP($A82,[2]Controle!$A$6:$BP$215,X$71,FALSE))</f>
        <v>0</v>
      </c>
      <c r="Y82" s="53">
        <f>IF($A82="-","-",VLOOKUP($A82,[2]Controle!$A$6:$BP$215,Y$71,FALSE))</f>
        <v>0</v>
      </c>
      <c r="Z82" s="53">
        <f>IF($A82="-","-",VLOOKUP($A82,[2]Controle!$A$6:$BP$215,Z$71,FALSE))</f>
        <v>9.4671189190158366E-4</v>
      </c>
      <c r="AA82" s="53">
        <f>IF($A82="-","-",VLOOKUP($A82,[2]Controle!$A$6:$BP$215,AA$71,FALSE))</f>
        <v>0.93951980803142365</v>
      </c>
      <c r="AB82" s="53">
        <f>IF($A82="-","-",VLOOKUP($A82,[2]Controle!$A$6:$BP$215,AB$71,FALSE))</f>
        <v>0.82631201298019386</v>
      </c>
      <c r="AC82" s="53">
        <f>IF($A82="-","-",VLOOKUP($A82,[2]Controle!$A$6:$BP$215,AC$71,FALSE))</f>
        <v>15</v>
      </c>
      <c r="AD82" s="53">
        <f>IF($A82="-","-",VLOOKUP($A82,[2]Controle!$A$6:$BP$215,AD$71,FALSE))</f>
        <v>0.3</v>
      </c>
      <c r="AE82" s="53">
        <f>IF($A82="-","-",VLOOKUP($A82,[2]Controle!$A$6:$BP$215,AE$71,FALSE))</f>
        <v>2</v>
      </c>
      <c r="AF82" s="53">
        <f>IF($A82="-","-",VLOOKUP($A82,[2]Controle!$A$6:$BP$215,AF$71,FALSE))</f>
        <v>1000000</v>
      </c>
      <c r="AG82" s="53">
        <f>IF($A82="-","-",VLOOKUP($A82,[2]Controle!$A$6:$BP$215,AG$71,FALSE))</f>
        <v>20</v>
      </c>
      <c r="AH82" s="53">
        <f>IF($A82="-","-",VLOOKUP($A82,[2]Controle!$A$6:$BP$215,AH$71,FALSE))</f>
        <v>0.3</v>
      </c>
      <c r="AI82" s="53">
        <f>IF($A82="-","-",VLOOKUP($A82,[2]Controle!$A$6:$BP$215,AI$71,FALSE))</f>
        <v>2</v>
      </c>
      <c r="AJ82" s="53">
        <f>IF($A82="-","-",VLOOKUP($A82,[2]Controle!$A$6:$BP$215,AJ$71,FALSE))</f>
        <v>1000000</v>
      </c>
      <c r="AK82" s="53">
        <f>IF($A82="-","-",VLOOKUP($A82,[2]Controle!$A$6:$BP$215,AK$71,FALSE))</f>
        <v>25</v>
      </c>
      <c r="AL82" s="53">
        <f>IF($A82="-","-",VLOOKUP($A82,[2]Controle!$A$6:$BP$215,AL$71,FALSE))</f>
        <v>0.3</v>
      </c>
      <c r="AM82" s="53">
        <f>IF($A82="-","-",VLOOKUP($A82,[2]Controle!$A$6:$BP$215,AM$71,FALSE))</f>
        <v>2</v>
      </c>
      <c r="AN82" s="53">
        <f>IF($A82="-","-",VLOOKUP($A82,[2]Controle!$A$6:$BP$215,AN$71,FALSE))</f>
        <v>1000000</v>
      </c>
      <c r="AO82" s="53">
        <f>IF($A82="-","-",VLOOKUP($A82,[2]Controle!$A$6:$BP$215,AO$71,FALSE))</f>
        <v>30</v>
      </c>
      <c r="AP82" s="53">
        <f>IF($A82="-","-",VLOOKUP($A82,[2]Controle!$A$6:$BP$215,AP$71,FALSE))</f>
        <v>0.3</v>
      </c>
      <c r="AQ82" s="53">
        <f>IF($A82="-","-",VLOOKUP($A82,[2]Controle!$A$6:$BP$215,AQ$71,FALSE))</f>
        <v>2</v>
      </c>
      <c r="AR82" s="53">
        <f>IF($A82="-","-",VLOOKUP($A82,[2]Controle!$A$6:$BP$215,AR$71,FALSE))</f>
        <v>1000000</v>
      </c>
      <c r="AS82" s="53" t="str">
        <f>IF($A82="-","-",VLOOKUP($A82,[2]Controle!$A$6:$BP$215,AS$71,FALSE))</f>
        <v>-</v>
      </c>
      <c r="AT82" s="53" t="str">
        <f>IF($A82="-","-",VLOOKUP($A82,[2]Controle!$A$6:$BP$215,AT$71,FALSE))</f>
        <v>-</v>
      </c>
      <c r="AU82" s="53" t="str">
        <f>IF($A82="-","-",VLOOKUP($A82,[2]Controle!$A$6:$BP$215,AU$71,FALSE))</f>
        <v>-</v>
      </c>
      <c r="AV82" s="53" t="str">
        <f>IF($A82="-","-",VLOOKUP($A82,[2]Controle!$A$6:$BP$215,AV$71,FALSE))</f>
        <v>-</v>
      </c>
      <c r="AW82" s="53" t="str">
        <f>IF($A82="-","-",VLOOKUP($A82,[2]Controle!$A$6:$BP$215,AW$71,FALSE))</f>
        <v>-</v>
      </c>
      <c r="AX82" s="53" t="str">
        <f>IF($A82="-","-",VLOOKUP($A82,[2]Controle!$A$6:$BP$215,AX$71,FALSE))</f>
        <v>-</v>
      </c>
      <c r="AY82" s="53" t="str">
        <f>IF($A82="-","-",VLOOKUP($A82,[2]Controle!$A$6:$BP$215,AY$71,FALSE))</f>
        <v>-</v>
      </c>
      <c r="AZ82" s="53" t="str">
        <f>IF($A82="-","-",VLOOKUP($A82,[2]Controle!$A$6:$BP$215,AZ$71,FALSE))</f>
        <v>-</v>
      </c>
      <c r="BA82" s="53" t="str">
        <f>IF($A82="-","-",VLOOKUP($A82,[2]Controle!$A$6:$BP$215,BA$71,FALSE))</f>
        <v>-</v>
      </c>
      <c r="BB82" s="53" t="str">
        <f>IF($A82="-","-",VLOOKUP($A82,[2]Controle!$A$6:$BP$215,BB$71,FALSE))</f>
        <v>-</v>
      </c>
      <c r="BC82" s="53" t="str">
        <f>IF($A82="-","-",VLOOKUP($A82,[2]Controle!$A$6:$BP$215,BC$71,FALSE))</f>
        <v>-</v>
      </c>
      <c r="BD82" s="53" t="str">
        <f>IF($A82="-","-",VLOOKUP($A82,[2]Controle!$A$6:$BP$215,BD$71,FALSE))</f>
        <v>-</v>
      </c>
      <c r="BE82" s="53" t="str">
        <f>IF($A82="-","-",VLOOKUP($A82,[2]Controle!$A$6:$BP$215,BE$71,FALSE))</f>
        <v>-</v>
      </c>
      <c r="BF82" s="53" t="str">
        <f>IF($A82="-","-",VLOOKUP($A82,[2]Controle!$A$6:$BP$215,BF$71,FALSE))</f>
        <v>-</v>
      </c>
      <c r="BG82" s="53" t="str">
        <f>IF($A82="-","-",VLOOKUP($A82,[2]Controle!$A$6:$BP$215,BG$71,FALSE))</f>
        <v>-</v>
      </c>
      <c r="BH82" s="53" t="str">
        <f>IF($A82="-","-",VLOOKUP($A82,[2]Controle!$A$6:$BP$215,BH$71,FALSE))</f>
        <v>-</v>
      </c>
      <c r="BI82" s="53" t="str">
        <f>IF($A82="-","-",VLOOKUP($A82,[2]Controle!$A$6:$BP$215,BI$71,FALSE))</f>
        <v>-</v>
      </c>
      <c r="BJ82" s="53" t="str">
        <f>IF($A82="-","-",VLOOKUP($A82,[2]Controle!$A$6:$BP$215,BJ$71,FALSE))</f>
        <v>-</v>
      </c>
      <c r="BK82" s="53" t="str">
        <f>IF($A82="-","-",VLOOKUP($A82,[2]Controle!$A$6:$BP$215,BK$71,FALSE))</f>
        <v>-</v>
      </c>
      <c r="BL82" s="53" t="str">
        <f>IF($A82="-","-",VLOOKUP($A82,[2]Controle!$A$6:$BP$215,BL$71,FALSE))</f>
        <v>-</v>
      </c>
      <c r="BM82" s="53" t="str">
        <f>IF($A82="-","-",VLOOKUP($A82,[2]Controle!$A$6:$BP$215,BM$71,FALSE))</f>
        <v>-</v>
      </c>
      <c r="BN82" s="53" t="str">
        <f>IF($A82="-","-",VLOOKUP($A82,[2]Controle!$A$6:$BP$215,BN$71,FALSE))</f>
        <v>-</v>
      </c>
      <c r="BO82" s="53" t="str">
        <f>IF($A82="-","-",VLOOKUP($A82,[2]Controle!$A$6:$BP$215,BO$71,FALSE))</f>
        <v>-</v>
      </c>
      <c r="BP82" s="53" t="str">
        <f>IF($A82="-","-",VLOOKUP($A82,[2]Controle!$A$6:$BP$215,BP$71,FALSE))</f>
        <v>-</v>
      </c>
      <c r="CT82" s="41">
        <f>IF(CV82="-",0,MAX($CT$74:CT81)+1)</f>
        <v>0</v>
      </c>
      <c r="CU82" s="53" t="str">
        <f t="shared" ca="1" si="32"/>
        <v>VENCIDO</v>
      </c>
      <c r="CV82" s="53" t="str">
        <f t="shared" si="33"/>
        <v>-</v>
      </c>
      <c r="CW82" s="53">
        <f t="shared" si="34"/>
        <v>106</v>
      </c>
      <c r="CY82" s="41" t="str">
        <f t="shared" si="35"/>
        <v>M</v>
      </c>
    </row>
    <row r="83" spans="1:103" x14ac:dyDescent="0.3">
      <c r="A83" s="56">
        <v>108</v>
      </c>
      <c r="B83" s="53" t="str">
        <f>IF($A83="-","-",VLOOKUP($A83,[2]Controle!$A$6:$BP$215,B$71,FALSE))</f>
        <v>M.TH.FS-004</v>
      </c>
      <c r="C83" s="53" t="str">
        <f>IF($A83="-","-",VLOOKUP($A83,[2]Controle!$A$6:$BP$215,C$71,FALSE))</f>
        <v>Termohigrômetro Digital</v>
      </c>
      <c r="D83" s="53" t="str">
        <f>IF($A83="-","-",VLOOKUP($A83,[2]Controle!$A$6:$BP$215,D$71,FALSE))</f>
        <v>Elus</v>
      </c>
      <c r="E83" s="53" t="str">
        <f>IF($A83="-","-",VLOOKUP($A83,[2]Controle!$A$6:$BP$215,E$71,FALSE))</f>
        <v>RBC - CAL 0439</v>
      </c>
      <c r="F83" s="53" t="str">
        <f>IF($A83="-","-",VLOOKUP($A83,[2]Controle!$A$6:$BP$215,F$71,FALSE))</f>
        <v>E0310/24</v>
      </c>
      <c r="G83" s="54">
        <f>IF($A83="-","-",VLOOKUP($A83,[2]Controle!$A$6:$BP$215,G$71,FALSE))</f>
        <v>45520</v>
      </c>
      <c r="H83" s="55">
        <f>IF($A83="-","-",VLOOKUP($A83,[2]Controle!$A$6:$BP$215,H$71,FALSE))</f>
        <v>45899</v>
      </c>
      <c r="I83" s="53" t="str">
        <f>IF($A83="-","-",VLOOKUP($A83,[2]Controle!$A$6:$BP$215,I$71,FALSE))</f>
        <v>°C</v>
      </c>
      <c r="J83" s="53" t="str">
        <f>IF($A83="-","-",VLOOKUP($A83,[2]Controle!$A$6:$BP$215,J$71,FALSE))</f>
        <v>OUT</v>
      </c>
      <c r="K83" s="53" t="str">
        <f>IF($A83="-","-",VLOOKUP($A83,[2]Controle!$A$6:$BP$215,K$71,FALSE))</f>
        <v>NA</v>
      </c>
      <c r="L83" s="53">
        <f>IF($A83="-","-",VLOOKUP($A83,[2]Controle!$A$6:$BP$215,L$71,FALSE))</f>
        <v>15</v>
      </c>
      <c r="M83" s="53">
        <f>IF($A83="-","-",VLOOKUP($A83,[2]Controle!$A$6:$BP$215,M$71,FALSE))</f>
        <v>30</v>
      </c>
      <c r="N83" s="53">
        <f>IF($A83="-","-",VLOOKUP($A83,[2]Controle!$A$6:$BP$215,N$71,FALSE))</f>
        <v>0.1</v>
      </c>
      <c r="O83" s="53">
        <f>IF($A83="-","-",VLOOKUP($A83,[2]Controle!$A$6:$BP$215,O$71,FALSE))</f>
        <v>0.10000000000000142</v>
      </c>
      <c r="P83" s="53">
        <f>IF($A83="-","-",VLOOKUP($A83,[2]Controle!$A$6:$BP$215,P$71,FALSE))</f>
        <v>0.3</v>
      </c>
      <c r="Q83" s="53">
        <f>IF($A83="-","-",VLOOKUP($A83,[2]Controle!$A$6:$BP$215,Q$71,FALSE))</f>
        <v>0.10000000000000142</v>
      </c>
      <c r="R83" s="53">
        <f>IF($A83="-","-",VLOOKUP($A83,[2]Controle!$A$6:$BP$215,R$71,FALSE))</f>
        <v>4.2898337756976879E-2</v>
      </c>
      <c r="S83" s="53">
        <f>IF($A83="-","-",VLOOKUP($A83,[2]Controle!$A$6:$BP$215,S$71,FALSE))</f>
        <v>2</v>
      </c>
      <c r="T83" s="53">
        <f>IF($A83="-","-",VLOOKUP($A83,[2]Controle!$A$6:$BP$215,T$71,FALSE))</f>
        <v>0</v>
      </c>
      <c r="U83" s="53">
        <f>IF($A83="-","-",VLOOKUP($A83,[2]Controle!$A$6:$BP$215,U$71,FALSE))</f>
        <v>0</v>
      </c>
      <c r="V83" s="53">
        <f>IF($A83="-","-",VLOOKUP($A83,[2]Controle!$A$6:$BP$215,V$71,FALSE))</f>
        <v>0</v>
      </c>
      <c r="W83" s="53">
        <f>IF($A83="-","-",VLOOKUP($A83,[2]Controle!$A$6:$BP$215,W$71,FALSE))</f>
        <v>0</v>
      </c>
      <c r="X83" s="53">
        <f>IF($A83="-","-",VLOOKUP($A83,[2]Controle!$A$6:$BP$215,X$71,FALSE))</f>
        <v>0</v>
      </c>
      <c r="Y83" s="53">
        <f>IF($A83="-","-",VLOOKUP($A83,[2]Controle!$A$6:$BP$215,Y$71,FALSE))</f>
        <v>0</v>
      </c>
      <c r="Z83" s="53">
        <f>IF($A83="-","-",VLOOKUP($A83,[2]Controle!$A$6:$BP$215,Z$71,FALSE))</f>
        <v>-1.9294835450063422E-3</v>
      </c>
      <c r="AA83" s="53">
        <f>IF($A83="-","-",VLOOKUP($A83,[2]Controle!$A$6:$BP$215,AA$71,FALSE))</f>
        <v>1.0749163723612947</v>
      </c>
      <c r="AB83" s="53">
        <f>IF($A83="-","-",VLOOKUP($A83,[2]Controle!$A$6:$BP$215,AB$71,FALSE))</f>
        <v>-0.59765008455221325</v>
      </c>
      <c r="AC83" s="53">
        <f>IF($A83="-","-",VLOOKUP($A83,[2]Controle!$A$6:$BP$215,AC$71,FALSE))</f>
        <v>15</v>
      </c>
      <c r="AD83" s="53">
        <f>IF($A83="-","-",VLOOKUP($A83,[2]Controle!$A$6:$BP$215,AD$71,FALSE))</f>
        <v>0.3</v>
      </c>
      <c r="AE83" s="53">
        <f>IF($A83="-","-",VLOOKUP($A83,[2]Controle!$A$6:$BP$215,AE$71,FALSE))</f>
        <v>2</v>
      </c>
      <c r="AF83" s="53">
        <f>IF($A83="-","-",VLOOKUP($A83,[2]Controle!$A$6:$BP$215,AF$71,FALSE))</f>
        <v>1000000</v>
      </c>
      <c r="AG83" s="53">
        <f>IF($A83="-","-",VLOOKUP($A83,[2]Controle!$A$6:$BP$215,AG$71,FALSE))</f>
        <v>20</v>
      </c>
      <c r="AH83" s="53">
        <f>IF($A83="-","-",VLOOKUP($A83,[2]Controle!$A$6:$BP$215,AH$71,FALSE))</f>
        <v>0.3</v>
      </c>
      <c r="AI83" s="53">
        <f>IF($A83="-","-",VLOOKUP($A83,[2]Controle!$A$6:$BP$215,AI$71,FALSE))</f>
        <v>2</v>
      </c>
      <c r="AJ83" s="53">
        <f>IF($A83="-","-",VLOOKUP($A83,[2]Controle!$A$6:$BP$215,AJ$71,FALSE))</f>
        <v>1000000</v>
      </c>
      <c r="AK83" s="53">
        <f>IF($A83="-","-",VLOOKUP($A83,[2]Controle!$A$6:$BP$215,AK$71,FALSE))</f>
        <v>25</v>
      </c>
      <c r="AL83" s="53">
        <f>IF($A83="-","-",VLOOKUP($A83,[2]Controle!$A$6:$BP$215,AL$71,FALSE))</f>
        <v>0.3</v>
      </c>
      <c r="AM83" s="53">
        <f>IF($A83="-","-",VLOOKUP($A83,[2]Controle!$A$6:$BP$215,AM$71,FALSE))</f>
        <v>2</v>
      </c>
      <c r="AN83" s="53">
        <f>IF($A83="-","-",VLOOKUP($A83,[2]Controle!$A$6:$BP$215,AN$71,FALSE))</f>
        <v>1000000</v>
      </c>
      <c r="AO83" s="53">
        <f>IF($A83="-","-",VLOOKUP($A83,[2]Controle!$A$6:$BP$215,AO$71,FALSE))</f>
        <v>30</v>
      </c>
      <c r="AP83" s="53">
        <f>IF($A83="-","-",VLOOKUP($A83,[2]Controle!$A$6:$BP$215,AP$71,FALSE))</f>
        <v>0.3</v>
      </c>
      <c r="AQ83" s="53">
        <f>IF($A83="-","-",VLOOKUP($A83,[2]Controle!$A$6:$BP$215,AQ$71,FALSE))</f>
        <v>2</v>
      </c>
      <c r="AR83" s="53">
        <f>IF($A83="-","-",VLOOKUP($A83,[2]Controle!$A$6:$BP$215,AR$71,FALSE))</f>
        <v>1000000</v>
      </c>
      <c r="AS83" s="53" t="str">
        <f>IF($A83="-","-",VLOOKUP($A83,[2]Controle!$A$6:$BP$215,AS$71,FALSE))</f>
        <v>-</v>
      </c>
      <c r="AT83" s="53" t="str">
        <f>IF($A83="-","-",VLOOKUP($A83,[2]Controle!$A$6:$BP$215,AT$71,FALSE))</f>
        <v>-</v>
      </c>
      <c r="AU83" s="53" t="str">
        <f>IF($A83="-","-",VLOOKUP($A83,[2]Controle!$A$6:$BP$215,AU$71,FALSE))</f>
        <v>-</v>
      </c>
      <c r="AV83" s="53" t="str">
        <f>IF($A83="-","-",VLOOKUP($A83,[2]Controle!$A$6:$BP$215,AV$71,FALSE))</f>
        <v>-</v>
      </c>
      <c r="AW83" s="53" t="str">
        <f>IF($A83="-","-",VLOOKUP($A83,[2]Controle!$A$6:$BP$215,AW$71,FALSE))</f>
        <v>-</v>
      </c>
      <c r="AX83" s="53" t="str">
        <f>IF($A83="-","-",VLOOKUP($A83,[2]Controle!$A$6:$BP$215,AX$71,FALSE))</f>
        <v>-</v>
      </c>
      <c r="AY83" s="53" t="str">
        <f>IF($A83="-","-",VLOOKUP($A83,[2]Controle!$A$6:$BP$215,AY$71,FALSE))</f>
        <v>-</v>
      </c>
      <c r="AZ83" s="53" t="str">
        <f>IF($A83="-","-",VLOOKUP($A83,[2]Controle!$A$6:$BP$215,AZ$71,FALSE))</f>
        <v>-</v>
      </c>
      <c r="BA83" s="53" t="str">
        <f>IF($A83="-","-",VLOOKUP($A83,[2]Controle!$A$6:$BP$215,BA$71,FALSE))</f>
        <v>-</v>
      </c>
      <c r="BB83" s="53" t="str">
        <f>IF($A83="-","-",VLOOKUP($A83,[2]Controle!$A$6:$BP$215,BB$71,FALSE))</f>
        <v>-</v>
      </c>
      <c r="BC83" s="53" t="str">
        <f>IF($A83="-","-",VLOOKUP($A83,[2]Controle!$A$6:$BP$215,BC$71,FALSE))</f>
        <v>-</v>
      </c>
      <c r="BD83" s="53" t="str">
        <f>IF($A83="-","-",VLOOKUP($A83,[2]Controle!$A$6:$BP$215,BD$71,FALSE))</f>
        <v>-</v>
      </c>
      <c r="BE83" s="53" t="str">
        <f>IF($A83="-","-",VLOOKUP($A83,[2]Controle!$A$6:$BP$215,BE$71,FALSE))</f>
        <v>-</v>
      </c>
      <c r="BF83" s="53" t="str">
        <f>IF($A83="-","-",VLOOKUP($A83,[2]Controle!$A$6:$BP$215,BF$71,FALSE))</f>
        <v>-</v>
      </c>
      <c r="BG83" s="53" t="str">
        <f>IF($A83="-","-",VLOOKUP($A83,[2]Controle!$A$6:$BP$215,BG$71,FALSE))</f>
        <v>-</v>
      </c>
      <c r="BH83" s="53" t="str">
        <f>IF($A83="-","-",VLOOKUP($A83,[2]Controle!$A$6:$BP$215,BH$71,FALSE))</f>
        <v>-</v>
      </c>
      <c r="BI83" s="53" t="str">
        <f>IF($A83="-","-",VLOOKUP($A83,[2]Controle!$A$6:$BP$215,BI$71,FALSE))</f>
        <v>-</v>
      </c>
      <c r="BJ83" s="53" t="str">
        <f>IF($A83="-","-",VLOOKUP($A83,[2]Controle!$A$6:$BP$215,BJ$71,FALSE))</f>
        <v>-</v>
      </c>
      <c r="BK83" s="53" t="str">
        <f>IF($A83="-","-",VLOOKUP($A83,[2]Controle!$A$6:$BP$215,BK$71,FALSE))</f>
        <v>-</v>
      </c>
      <c r="BL83" s="53" t="str">
        <f>IF($A83="-","-",VLOOKUP($A83,[2]Controle!$A$6:$BP$215,BL$71,FALSE))</f>
        <v>-</v>
      </c>
      <c r="BM83" s="53" t="str">
        <f>IF($A83="-","-",VLOOKUP($A83,[2]Controle!$A$6:$BP$215,BM$71,FALSE))</f>
        <v>-</v>
      </c>
      <c r="BN83" s="53" t="str">
        <f>IF($A83="-","-",VLOOKUP($A83,[2]Controle!$A$6:$BP$215,BN$71,FALSE))</f>
        <v>-</v>
      </c>
      <c r="BO83" s="53" t="str">
        <f>IF($A83="-","-",VLOOKUP($A83,[2]Controle!$A$6:$BP$215,BO$71,FALSE))</f>
        <v>-</v>
      </c>
      <c r="BP83" s="53" t="str">
        <f>IF($A83="-","-",VLOOKUP($A83,[2]Controle!$A$6:$BP$215,BP$71,FALSE))</f>
        <v>-</v>
      </c>
      <c r="CT83" s="41">
        <f>IF(CV83="-",0,MAX($CT$74:CT82)+1)</f>
        <v>0</v>
      </c>
      <c r="CU83" s="53" t="str">
        <f t="shared" ca="1" si="32"/>
        <v>VENCIDO</v>
      </c>
      <c r="CV83" s="53" t="str">
        <f t="shared" si="33"/>
        <v>-</v>
      </c>
      <c r="CW83" s="53">
        <f t="shared" si="34"/>
        <v>108</v>
      </c>
      <c r="CY83" s="41" t="str">
        <f t="shared" si="35"/>
        <v>M</v>
      </c>
    </row>
    <row r="84" spans="1:103" x14ac:dyDescent="0.3">
      <c r="A84" s="56">
        <v>110</v>
      </c>
      <c r="B84" s="53" t="str">
        <f>IF($A84="-","-",VLOOKUP($A84,[2]Controle!$A$6:$BP$215,B$71,FALSE))</f>
        <v>M.TH.FS-005</v>
      </c>
      <c r="C84" s="53" t="str">
        <f>IF($A84="-","-",VLOOKUP($A84,[2]Controle!$A$6:$BP$215,C$71,FALSE))</f>
        <v>Termohigrômetro Digital</v>
      </c>
      <c r="D84" s="53" t="str">
        <f>IF($A84="-","-",VLOOKUP($A84,[2]Controle!$A$6:$BP$215,D$71,FALSE))</f>
        <v>Elus</v>
      </c>
      <c r="E84" s="53" t="str">
        <f>IF($A84="-","-",VLOOKUP($A84,[2]Controle!$A$6:$BP$215,E$71,FALSE))</f>
        <v>RBC - CAL 0439</v>
      </c>
      <c r="F84" s="53" t="str">
        <f>IF($A84="-","-",VLOOKUP($A84,[2]Controle!$A$6:$BP$215,F$71,FALSE))</f>
        <v>E0311/24</v>
      </c>
      <c r="G84" s="54">
        <f>IF($A84="-","-",VLOOKUP($A84,[2]Controle!$A$6:$BP$215,G$71,FALSE))</f>
        <v>45520</v>
      </c>
      <c r="H84" s="55">
        <f>IF($A84="-","-",VLOOKUP($A84,[2]Controle!$A$6:$BP$215,H$71,FALSE))</f>
        <v>45899</v>
      </c>
      <c r="I84" s="53" t="str">
        <f>IF($A84="-","-",VLOOKUP($A84,[2]Controle!$A$6:$BP$215,I$71,FALSE))</f>
        <v>°C</v>
      </c>
      <c r="J84" s="53" t="str">
        <f>IF($A84="-","-",VLOOKUP($A84,[2]Controle!$A$6:$BP$215,J$71,FALSE))</f>
        <v>OUT</v>
      </c>
      <c r="K84" s="53" t="str">
        <f>IF($A84="-","-",VLOOKUP($A84,[2]Controle!$A$6:$BP$215,K$71,FALSE))</f>
        <v>NA</v>
      </c>
      <c r="L84" s="53">
        <f>IF($A84="-","-",VLOOKUP($A84,[2]Controle!$A$6:$BP$215,L$71,FALSE))</f>
        <v>15</v>
      </c>
      <c r="M84" s="53">
        <f>IF($A84="-","-",VLOOKUP($A84,[2]Controle!$A$6:$BP$215,M$71,FALSE))</f>
        <v>30</v>
      </c>
      <c r="N84" s="53">
        <f>IF($A84="-","-",VLOOKUP($A84,[2]Controle!$A$6:$BP$215,N$71,FALSE))</f>
        <v>0.1</v>
      </c>
      <c r="O84" s="53">
        <f>IF($A84="-","-",VLOOKUP($A84,[2]Controle!$A$6:$BP$215,O$71,FALSE))</f>
        <v>0.39999999999999858</v>
      </c>
      <c r="P84" s="53">
        <f>IF($A84="-","-",VLOOKUP($A84,[2]Controle!$A$6:$BP$215,P$71,FALSE))</f>
        <v>0.3</v>
      </c>
      <c r="Q84" s="53">
        <f>IF($A84="-","-",VLOOKUP($A84,[2]Controle!$A$6:$BP$215,Q$71,FALSE))</f>
        <v>0.39999999999999858</v>
      </c>
      <c r="R84" s="53">
        <f>IF($A84="-","-",VLOOKUP($A84,[2]Controle!$A$6:$BP$215,R$71,FALSE))</f>
        <v>0.11103088542594852</v>
      </c>
      <c r="S84" s="53">
        <f>IF($A84="-","-",VLOOKUP($A84,[2]Controle!$A$6:$BP$215,S$71,FALSE))</f>
        <v>2</v>
      </c>
      <c r="T84" s="53">
        <f>IF($A84="-","-",VLOOKUP($A84,[2]Controle!$A$6:$BP$215,T$71,FALSE))</f>
        <v>0</v>
      </c>
      <c r="U84" s="53">
        <f>IF($A84="-","-",VLOOKUP($A84,[2]Controle!$A$6:$BP$215,U$71,FALSE))</f>
        <v>0</v>
      </c>
      <c r="V84" s="53">
        <f>IF($A84="-","-",VLOOKUP($A84,[2]Controle!$A$6:$BP$215,V$71,FALSE))</f>
        <v>0</v>
      </c>
      <c r="W84" s="53">
        <f>IF($A84="-","-",VLOOKUP($A84,[2]Controle!$A$6:$BP$215,W$71,FALSE))</f>
        <v>0</v>
      </c>
      <c r="X84" s="53">
        <f>IF($A84="-","-",VLOOKUP($A84,[2]Controle!$A$6:$BP$215,X$71,FALSE))</f>
        <v>0</v>
      </c>
      <c r="Y84" s="53">
        <f>IF($A84="-","-",VLOOKUP($A84,[2]Controle!$A$6:$BP$215,Y$71,FALSE))</f>
        <v>0</v>
      </c>
      <c r="Z84" s="53">
        <f>IF($A84="-","-",VLOOKUP($A84,[2]Controle!$A$6:$BP$215,Z$71,FALSE))</f>
        <v>-9.6996948720089367E-4</v>
      </c>
      <c r="AA84" s="53">
        <f>IF($A84="-","-",VLOOKUP($A84,[2]Controle!$A$6:$BP$215,AA$71,FALSE))</f>
        <v>1.0331550178806232</v>
      </c>
      <c r="AB84" s="53">
        <f>IF($A84="-","-",VLOOKUP($A84,[2]Controle!$A$6:$BP$215,AB$71,FALSE))</f>
        <v>4.8171207981712816E-2</v>
      </c>
      <c r="AC84" s="53">
        <f>IF($A84="-","-",VLOOKUP($A84,[2]Controle!$A$6:$BP$215,AC$71,FALSE))</f>
        <v>15</v>
      </c>
      <c r="AD84" s="53">
        <f>IF($A84="-","-",VLOOKUP($A84,[2]Controle!$A$6:$BP$215,AD$71,FALSE))</f>
        <v>0.3</v>
      </c>
      <c r="AE84" s="53">
        <f>IF($A84="-","-",VLOOKUP($A84,[2]Controle!$A$6:$BP$215,AE$71,FALSE))</f>
        <v>2</v>
      </c>
      <c r="AF84" s="53">
        <f>IF($A84="-","-",VLOOKUP($A84,[2]Controle!$A$6:$BP$215,AF$71,FALSE))</f>
        <v>1000000</v>
      </c>
      <c r="AG84" s="53">
        <f>IF($A84="-","-",VLOOKUP($A84,[2]Controle!$A$6:$BP$215,AG$71,FALSE))</f>
        <v>20</v>
      </c>
      <c r="AH84" s="53">
        <f>IF($A84="-","-",VLOOKUP($A84,[2]Controle!$A$6:$BP$215,AH$71,FALSE))</f>
        <v>0.3</v>
      </c>
      <c r="AI84" s="53">
        <f>IF($A84="-","-",VLOOKUP($A84,[2]Controle!$A$6:$BP$215,AI$71,FALSE))</f>
        <v>2</v>
      </c>
      <c r="AJ84" s="53">
        <f>IF($A84="-","-",VLOOKUP($A84,[2]Controle!$A$6:$BP$215,AJ$71,FALSE))</f>
        <v>1000000</v>
      </c>
      <c r="AK84" s="53">
        <f>IF($A84="-","-",VLOOKUP($A84,[2]Controle!$A$6:$BP$215,AK$71,FALSE))</f>
        <v>25</v>
      </c>
      <c r="AL84" s="53">
        <f>IF($A84="-","-",VLOOKUP($A84,[2]Controle!$A$6:$BP$215,AL$71,FALSE))</f>
        <v>0.3</v>
      </c>
      <c r="AM84" s="53">
        <f>IF($A84="-","-",VLOOKUP($A84,[2]Controle!$A$6:$BP$215,AM$71,FALSE))</f>
        <v>2</v>
      </c>
      <c r="AN84" s="53">
        <f>IF($A84="-","-",VLOOKUP($A84,[2]Controle!$A$6:$BP$215,AN$71,FALSE))</f>
        <v>1000000</v>
      </c>
      <c r="AO84" s="53">
        <f>IF($A84="-","-",VLOOKUP($A84,[2]Controle!$A$6:$BP$215,AO$71,FALSE))</f>
        <v>30</v>
      </c>
      <c r="AP84" s="53">
        <f>IF($A84="-","-",VLOOKUP($A84,[2]Controle!$A$6:$BP$215,AP$71,FALSE))</f>
        <v>0.3</v>
      </c>
      <c r="AQ84" s="53">
        <f>IF($A84="-","-",VLOOKUP($A84,[2]Controle!$A$6:$BP$215,AQ$71,FALSE))</f>
        <v>2</v>
      </c>
      <c r="AR84" s="53">
        <f>IF($A84="-","-",VLOOKUP($A84,[2]Controle!$A$6:$BP$215,AR$71,FALSE))</f>
        <v>1000000</v>
      </c>
      <c r="AS84" s="53" t="str">
        <f>IF($A84="-","-",VLOOKUP($A84,[2]Controle!$A$6:$BP$215,AS$71,FALSE))</f>
        <v>-</v>
      </c>
      <c r="AT84" s="53" t="str">
        <f>IF($A84="-","-",VLOOKUP($A84,[2]Controle!$A$6:$BP$215,AT$71,FALSE))</f>
        <v>-</v>
      </c>
      <c r="AU84" s="53" t="str">
        <f>IF($A84="-","-",VLOOKUP($A84,[2]Controle!$A$6:$BP$215,AU$71,FALSE))</f>
        <v>-</v>
      </c>
      <c r="AV84" s="53" t="str">
        <f>IF($A84="-","-",VLOOKUP($A84,[2]Controle!$A$6:$BP$215,AV$71,FALSE))</f>
        <v>-</v>
      </c>
      <c r="AW84" s="53" t="str">
        <f>IF($A84="-","-",VLOOKUP($A84,[2]Controle!$A$6:$BP$215,AW$71,FALSE))</f>
        <v>-</v>
      </c>
      <c r="AX84" s="53" t="str">
        <f>IF($A84="-","-",VLOOKUP($A84,[2]Controle!$A$6:$BP$215,AX$71,FALSE))</f>
        <v>-</v>
      </c>
      <c r="AY84" s="53" t="str">
        <f>IF($A84="-","-",VLOOKUP($A84,[2]Controle!$A$6:$BP$215,AY$71,FALSE))</f>
        <v>-</v>
      </c>
      <c r="AZ84" s="53" t="str">
        <f>IF($A84="-","-",VLOOKUP($A84,[2]Controle!$A$6:$BP$215,AZ$71,FALSE))</f>
        <v>-</v>
      </c>
      <c r="BA84" s="53" t="str">
        <f>IF($A84="-","-",VLOOKUP($A84,[2]Controle!$A$6:$BP$215,BA$71,FALSE))</f>
        <v>-</v>
      </c>
      <c r="BB84" s="53" t="str">
        <f>IF($A84="-","-",VLOOKUP($A84,[2]Controle!$A$6:$BP$215,BB$71,FALSE))</f>
        <v>-</v>
      </c>
      <c r="BC84" s="53" t="str">
        <f>IF($A84="-","-",VLOOKUP($A84,[2]Controle!$A$6:$BP$215,BC$71,FALSE))</f>
        <v>-</v>
      </c>
      <c r="BD84" s="53" t="str">
        <f>IF($A84="-","-",VLOOKUP($A84,[2]Controle!$A$6:$BP$215,BD$71,FALSE))</f>
        <v>-</v>
      </c>
      <c r="BE84" s="53" t="str">
        <f>IF($A84="-","-",VLOOKUP($A84,[2]Controle!$A$6:$BP$215,BE$71,FALSE))</f>
        <v>-</v>
      </c>
      <c r="BF84" s="53" t="str">
        <f>IF($A84="-","-",VLOOKUP($A84,[2]Controle!$A$6:$BP$215,BF$71,FALSE))</f>
        <v>-</v>
      </c>
      <c r="BG84" s="53" t="str">
        <f>IF($A84="-","-",VLOOKUP($A84,[2]Controle!$A$6:$BP$215,BG$71,FALSE))</f>
        <v>-</v>
      </c>
      <c r="BH84" s="53" t="str">
        <f>IF($A84="-","-",VLOOKUP($A84,[2]Controle!$A$6:$BP$215,BH$71,FALSE))</f>
        <v>-</v>
      </c>
      <c r="BI84" s="53" t="str">
        <f>IF($A84="-","-",VLOOKUP($A84,[2]Controle!$A$6:$BP$215,BI$71,FALSE))</f>
        <v>-</v>
      </c>
      <c r="BJ84" s="53" t="str">
        <f>IF($A84="-","-",VLOOKUP($A84,[2]Controle!$A$6:$BP$215,BJ$71,FALSE))</f>
        <v>-</v>
      </c>
      <c r="BK84" s="53" t="str">
        <f>IF($A84="-","-",VLOOKUP($A84,[2]Controle!$A$6:$BP$215,BK$71,FALSE))</f>
        <v>-</v>
      </c>
      <c r="BL84" s="53" t="str">
        <f>IF($A84="-","-",VLOOKUP($A84,[2]Controle!$A$6:$BP$215,BL$71,FALSE))</f>
        <v>-</v>
      </c>
      <c r="BM84" s="53" t="str">
        <f>IF($A84="-","-",VLOOKUP($A84,[2]Controle!$A$6:$BP$215,BM$71,FALSE))</f>
        <v>-</v>
      </c>
      <c r="BN84" s="53" t="str">
        <f>IF($A84="-","-",VLOOKUP($A84,[2]Controle!$A$6:$BP$215,BN$71,FALSE))</f>
        <v>-</v>
      </c>
      <c r="BO84" s="53" t="str">
        <f>IF($A84="-","-",VLOOKUP($A84,[2]Controle!$A$6:$BP$215,BO$71,FALSE))</f>
        <v>-</v>
      </c>
      <c r="BP84" s="53" t="str">
        <f>IF($A84="-","-",VLOOKUP($A84,[2]Controle!$A$6:$BP$215,BP$71,FALSE))</f>
        <v>-</v>
      </c>
      <c r="CT84" s="41">
        <f>IF(CV84="-",0,MAX($CT$74:CT83)+1)</f>
        <v>0</v>
      </c>
      <c r="CU84" s="53" t="str">
        <f t="shared" ca="1" si="32"/>
        <v>VENCIDO</v>
      </c>
      <c r="CV84" s="53" t="str">
        <f t="shared" si="33"/>
        <v>-</v>
      </c>
      <c r="CW84" s="53">
        <f t="shared" si="34"/>
        <v>110</v>
      </c>
      <c r="CY84" s="41" t="str">
        <f t="shared" si="35"/>
        <v>M</v>
      </c>
    </row>
    <row r="85" spans="1:103" x14ac:dyDescent="0.3">
      <c r="A85" s="56">
        <v>112</v>
      </c>
      <c r="B85" s="53" t="str">
        <f>IF($A85="-","-",VLOOKUP($A85,[2]Controle!$A$6:$BP$215,B$71,FALSE))</f>
        <v>M.TH.FS-006</v>
      </c>
      <c r="C85" s="53" t="str">
        <f>IF($A85="-","-",VLOOKUP($A85,[2]Controle!$A$6:$BP$215,C$71,FALSE))</f>
        <v>Termohigrômetro Digital</v>
      </c>
      <c r="D85" s="53" t="str">
        <f>IF($A85="-","-",VLOOKUP($A85,[2]Controle!$A$6:$BP$215,D$71,FALSE))</f>
        <v>Elus</v>
      </c>
      <c r="E85" s="53" t="str">
        <f>IF($A85="-","-",VLOOKUP($A85,[2]Controle!$A$6:$BP$215,E$71,FALSE))</f>
        <v>RBC - CAL 0439</v>
      </c>
      <c r="F85" s="53" t="str">
        <f>IF($A85="-","-",VLOOKUP($A85,[2]Controle!$A$6:$BP$215,F$71,FALSE))</f>
        <v>E0312/24</v>
      </c>
      <c r="G85" s="54">
        <f>IF($A85="-","-",VLOOKUP($A85,[2]Controle!$A$6:$BP$215,G$71,FALSE))</f>
        <v>45520</v>
      </c>
      <c r="H85" s="55">
        <f>IF($A85="-","-",VLOOKUP($A85,[2]Controle!$A$6:$BP$215,H$71,FALSE))</f>
        <v>45899</v>
      </c>
      <c r="I85" s="53" t="str">
        <f>IF($A85="-","-",VLOOKUP($A85,[2]Controle!$A$6:$BP$215,I$71,FALSE))</f>
        <v>°C</v>
      </c>
      <c r="J85" s="53" t="str">
        <f>IF($A85="-","-",VLOOKUP($A85,[2]Controle!$A$6:$BP$215,J$71,FALSE))</f>
        <v>OUT</v>
      </c>
      <c r="K85" s="53" t="str">
        <f>IF($A85="-","-",VLOOKUP($A85,[2]Controle!$A$6:$BP$215,K$71,FALSE))</f>
        <v>NA</v>
      </c>
      <c r="L85" s="53">
        <f>IF($A85="-","-",VLOOKUP($A85,[2]Controle!$A$6:$BP$215,L$71,FALSE))</f>
        <v>15</v>
      </c>
      <c r="M85" s="53">
        <f>IF($A85="-","-",VLOOKUP($A85,[2]Controle!$A$6:$BP$215,M$71,FALSE))</f>
        <v>30</v>
      </c>
      <c r="N85" s="53">
        <f>IF($A85="-","-",VLOOKUP($A85,[2]Controle!$A$6:$BP$215,N$71,FALSE))</f>
        <v>0.1</v>
      </c>
      <c r="O85" s="53">
        <f>IF($A85="-","-",VLOOKUP($A85,[2]Controle!$A$6:$BP$215,O$71,FALSE))</f>
        <v>0.19999999999999929</v>
      </c>
      <c r="P85" s="53">
        <f>IF($A85="-","-",VLOOKUP($A85,[2]Controle!$A$6:$BP$215,P$71,FALSE))</f>
        <v>0.3</v>
      </c>
      <c r="Q85" s="53">
        <f>IF($A85="-","-",VLOOKUP($A85,[2]Controle!$A$6:$BP$215,Q$71,FALSE))</f>
        <v>0.19999999999999929</v>
      </c>
      <c r="R85" s="53">
        <f>IF($A85="-","-",VLOOKUP($A85,[2]Controle!$A$6:$BP$215,R$71,FALSE))</f>
        <v>8.9366077854912573E-2</v>
      </c>
      <c r="S85" s="53">
        <f>IF($A85="-","-",VLOOKUP($A85,[2]Controle!$A$6:$BP$215,S$71,FALSE))</f>
        <v>2</v>
      </c>
      <c r="T85" s="53">
        <f>IF($A85="-","-",VLOOKUP($A85,[2]Controle!$A$6:$BP$215,T$71,FALSE))</f>
        <v>0</v>
      </c>
      <c r="U85" s="53">
        <f>IF($A85="-","-",VLOOKUP($A85,[2]Controle!$A$6:$BP$215,U$71,FALSE))</f>
        <v>0</v>
      </c>
      <c r="V85" s="53">
        <f>IF($A85="-","-",VLOOKUP($A85,[2]Controle!$A$6:$BP$215,V$71,FALSE))</f>
        <v>0</v>
      </c>
      <c r="W85" s="53">
        <f>IF($A85="-","-",VLOOKUP($A85,[2]Controle!$A$6:$BP$215,W$71,FALSE))</f>
        <v>0</v>
      </c>
      <c r="X85" s="53">
        <f>IF($A85="-","-",VLOOKUP($A85,[2]Controle!$A$6:$BP$215,X$71,FALSE))</f>
        <v>0</v>
      </c>
      <c r="Y85" s="53">
        <f>IF($A85="-","-",VLOOKUP($A85,[2]Controle!$A$6:$BP$215,Y$71,FALSE))</f>
        <v>0</v>
      </c>
      <c r="Z85" s="53">
        <f>IF($A85="-","-",VLOOKUP($A85,[2]Controle!$A$6:$BP$215,Z$71,FALSE))</f>
        <v>1.906171719062199E-3</v>
      </c>
      <c r="AA85" s="53">
        <f>IF($A85="-","-",VLOOKUP($A85,[2]Controle!$A$6:$BP$215,AA$71,FALSE))</f>
        <v>0.89875356728254308</v>
      </c>
      <c r="AB85" s="53">
        <f>IF($A85="-","-",VLOOKUP($A85,[2]Controle!$A$6:$BP$215,AB$71,FALSE))</f>
        <v>1.3007692375840165</v>
      </c>
      <c r="AC85" s="53">
        <f>IF($A85="-","-",VLOOKUP($A85,[2]Controle!$A$6:$BP$215,AC$71,FALSE))</f>
        <v>15</v>
      </c>
      <c r="AD85" s="53">
        <f>IF($A85="-","-",VLOOKUP($A85,[2]Controle!$A$6:$BP$215,AD$71,FALSE))</f>
        <v>0.3</v>
      </c>
      <c r="AE85" s="53">
        <f>IF($A85="-","-",VLOOKUP($A85,[2]Controle!$A$6:$BP$215,AE$71,FALSE))</f>
        <v>2</v>
      </c>
      <c r="AF85" s="53">
        <f>IF($A85="-","-",VLOOKUP($A85,[2]Controle!$A$6:$BP$215,AF$71,FALSE))</f>
        <v>1000000</v>
      </c>
      <c r="AG85" s="53">
        <f>IF($A85="-","-",VLOOKUP($A85,[2]Controle!$A$6:$BP$215,AG$71,FALSE))</f>
        <v>20</v>
      </c>
      <c r="AH85" s="53">
        <f>IF($A85="-","-",VLOOKUP($A85,[2]Controle!$A$6:$BP$215,AH$71,FALSE))</f>
        <v>0.3</v>
      </c>
      <c r="AI85" s="53">
        <f>IF($A85="-","-",VLOOKUP($A85,[2]Controle!$A$6:$BP$215,AI$71,FALSE))</f>
        <v>2</v>
      </c>
      <c r="AJ85" s="53">
        <f>IF($A85="-","-",VLOOKUP($A85,[2]Controle!$A$6:$BP$215,AJ$71,FALSE))</f>
        <v>1000000</v>
      </c>
      <c r="AK85" s="53">
        <f>IF($A85="-","-",VLOOKUP($A85,[2]Controle!$A$6:$BP$215,AK$71,FALSE))</f>
        <v>25</v>
      </c>
      <c r="AL85" s="53">
        <f>IF($A85="-","-",VLOOKUP($A85,[2]Controle!$A$6:$BP$215,AL$71,FALSE))</f>
        <v>0.3</v>
      </c>
      <c r="AM85" s="53">
        <f>IF($A85="-","-",VLOOKUP($A85,[2]Controle!$A$6:$BP$215,AM$71,FALSE))</f>
        <v>2</v>
      </c>
      <c r="AN85" s="53">
        <f>IF($A85="-","-",VLOOKUP($A85,[2]Controle!$A$6:$BP$215,AN$71,FALSE))</f>
        <v>1000000</v>
      </c>
      <c r="AO85" s="53">
        <f>IF($A85="-","-",VLOOKUP($A85,[2]Controle!$A$6:$BP$215,AO$71,FALSE))</f>
        <v>30</v>
      </c>
      <c r="AP85" s="53">
        <f>IF($A85="-","-",VLOOKUP($A85,[2]Controle!$A$6:$BP$215,AP$71,FALSE))</f>
        <v>0.3</v>
      </c>
      <c r="AQ85" s="53">
        <f>IF($A85="-","-",VLOOKUP($A85,[2]Controle!$A$6:$BP$215,AQ$71,FALSE))</f>
        <v>2</v>
      </c>
      <c r="AR85" s="53">
        <f>IF($A85="-","-",VLOOKUP($A85,[2]Controle!$A$6:$BP$215,AR$71,FALSE))</f>
        <v>1000000</v>
      </c>
      <c r="AS85" s="53" t="str">
        <f>IF($A85="-","-",VLOOKUP($A85,[2]Controle!$A$6:$BP$215,AS$71,FALSE))</f>
        <v>-</v>
      </c>
      <c r="AT85" s="53" t="str">
        <f>IF($A85="-","-",VLOOKUP($A85,[2]Controle!$A$6:$BP$215,AT$71,FALSE))</f>
        <v>-</v>
      </c>
      <c r="AU85" s="53" t="str">
        <f>IF($A85="-","-",VLOOKUP($A85,[2]Controle!$A$6:$BP$215,AU$71,FALSE))</f>
        <v>-</v>
      </c>
      <c r="AV85" s="53" t="str">
        <f>IF($A85="-","-",VLOOKUP($A85,[2]Controle!$A$6:$BP$215,AV$71,FALSE))</f>
        <v>-</v>
      </c>
      <c r="AW85" s="53" t="str">
        <f>IF($A85="-","-",VLOOKUP($A85,[2]Controle!$A$6:$BP$215,AW$71,FALSE))</f>
        <v>-</v>
      </c>
      <c r="AX85" s="53" t="str">
        <f>IF($A85="-","-",VLOOKUP($A85,[2]Controle!$A$6:$BP$215,AX$71,FALSE))</f>
        <v>-</v>
      </c>
      <c r="AY85" s="53" t="str">
        <f>IF($A85="-","-",VLOOKUP($A85,[2]Controle!$A$6:$BP$215,AY$71,FALSE))</f>
        <v>-</v>
      </c>
      <c r="AZ85" s="53" t="str">
        <f>IF($A85="-","-",VLOOKUP($A85,[2]Controle!$A$6:$BP$215,AZ$71,FALSE))</f>
        <v>-</v>
      </c>
      <c r="BA85" s="53" t="str">
        <f>IF($A85="-","-",VLOOKUP($A85,[2]Controle!$A$6:$BP$215,BA$71,FALSE))</f>
        <v>-</v>
      </c>
      <c r="BB85" s="53" t="str">
        <f>IF($A85="-","-",VLOOKUP($A85,[2]Controle!$A$6:$BP$215,BB$71,FALSE))</f>
        <v>-</v>
      </c>
      <c r="BC85" s="53" t="str">
        <f>IF($A85="-","-",VLOOKUP($A85,[2]Controle!$A$6:$BP$215,BC$71,FALSE))</f>
        <v>-</v>
      </c>
      <c r="BD85" s="53" t="str">
        <f>IF($A85="-","-",VLOOKUP($A85,[2]Controle!$A$6:$BP$215,BD$71,FALSE))</f>
        <v>-</v>
      </c>
      <c r="BE85" s="53" t="str">
        <f>IF($A85="-","-",VLOOKUP($A85,[2]Controle!$A$6:$BP$215,BE$71,FALSE))</f>
        <v>-</v>
      </c>
      <c r="BF85" s="53" t="str">
        <f>IF($A85="-","-",VLOOKUP($A85,[2]Controle!$A$6:$BP$215,BF$71,FALSE))</f>
        <v>-</v>
      </c>
      <c r="BG85" s="53" t="str">
        <f>IF($A85="-","-",VLOOKUP($A85,[2]Controle!$A$6:$BP$215,BG$71,FALSE))</f>
        <v>-</v>
      </c>
      <c r="BH85" s="53" t="str">
        <f>IF($A85="-","-",VLOOKUP($A85,[2]Controle!$A$6:$BP$215,BH$71,FALSE))</f>
        <v>-</v>
      </c>
      <c r="BI85" s="53" t="str">
        <f>IF($A85="-","-",VLOOKUP($A85,[2]Controle!$A$6:$BP$215,BI$71,FALSE))</f>
        <v>-</v>
      </c>
      <c r="BJ85" s="53" t="str">
        <f>IF($A85="-","-",VLOOKUP($A85,[2]Controle!$A$6:$BP$215,BJ$71,FALSE))</f>
        <v>-</v>
      </c>
      <c r="BK85" s="53" t="str">
        <f>IF($A85="-","-",VLOOKUP($A85,[2]Controle!$A$6:$BP$215,BK$71,FALSE))</f>
        <v>-</v>
      </c>
      <c r="BL85" s="53" t="str">
        <f>IF($A85="-","-",VLOOKUP($A85,[2]Controle!$A$6:$BP$215,BL$71,FALSE))</f>
        <v>-</v>
      </c>
      <c r="BM85" s="53" t="str">
        <f>IF($A85="-","-",VLOOKUP($A85,[2]Controle!$A$6:$BP$215,BM$71,FALSE))</f>
        <v>-</v>
      </c>
      <c r="BN85" s="53" t="str">
        <f>IF($A85="-","-",VLOOKUP($A85,[2]Controle!$A$6:$BP$215,BN$71,FALSE))</f>
        <v>-</v>
      </c>
      <c r="BO85" s="53" t="str">
        <f>IF($A85="-","-",VLOOKUP($A85,[2]Controle!$A$6:$BP$215,BO$71,FALSE))</f>
        <v>-</v>
      </c>
      <c r="BP85" s="53" t="str">
        <f>IF($A85="-","-",VLOOKUP($A85,[2]Controle!$A$6:$BP$215,BP$71,FALSE))</f>
        <v>-</v>
      </c>
      <c r="CT85" s="41">
        <f>IF(CV85="-",0,MAX($CT$74:CT84)+1)</f>
        <v>0</v>
      </c>
      <c r="CU85" s="53" t="str">
        <f t="shared" ref="CU85:CU93" ca="1" si="38">IF(CW85="-","-",IF($G$1&lt;=H85,"VÁLIDO","VENCIDO"))</f>
        <v>VENCIDO</v>
      </c>
      <c r="CV85" s="53" t="str">
        <f t="shared" si="33"/>
        <v>-</v>
      </c>
      <c r="CW85" s="53">
        <f t="shared" ref="CW85:CW93" si="39">A85</f>
        <v>112</v>
      </c>
      <c r="CY85" s="41" t="str">
        <f t="shared" si="35"/>
        <v>M</v>
      </c>
    </row>
    <row r="86" spans="1:103" x14ac:dyDescent="0.3">
      <c r="A86" s="56">
        <v>114</v>
      </c>
      <c r="B86" s="53" t="str">
        <f>IF($A86="-","-",VLOOKUP($A86,[2]Controle!$A$6:$BP$215,B$71,FALSE))</f>
        <v>M.TH.FS-007</v>
      </c>
      <c r="C86" s="53" t="str">
        <f>IF($A86="-","-",VLOOKUP($A86,[2]Controle!$A$6:$BP$215,C$71,FALSE))</f>
        <v>Termohigrômetro Digital</v>
      </c>
      <c r="D86" s="53" t="str">
        <f>IF($A86="-","-",VLOOKUP($A86,[2]Controle!$A$6:$BP$215,D$71,FALSE))</f>
        <v>Elus</v>
      </c>
      <c r="E86" s="53" t="str">
        <f>IF($A86="-","-",VLOOKUP($A86,[2]Controle!$A$6:$BP$215,E$71,FALSE))</f>
        <v>RBC - CAL 0439</v>
      </c>
      <c r="F86" s="53" t="str">
        <f>IF($A86="-","-",VLOOKUP($A86,[2]Controle!$A$6:$BP$215,F$71,FALSE))</f>
        <v>E0313/24</v>
      </c>
      <c r="G86" s="54">
        <f>IF($A86="-","-",VLOOKUP($A86,[2]Controle!$A$6:$BP$215,G$71,FALSE))</f>
        <v>45520</v>
      </c>
      <c r="H86" s="55">
        <f>IF($A86="-","-",VLOOKUP($A86,[2]Controle!$A$6:$BP$215,H$71,FALSE))</f>
        <v>45899</v>
      </c>
      <c r="I86" s="53" t="str">
        <f>IF($A86="-","-",VLOOKUP($A86,[2]Controle!$A$6:$BP$215,I$71,FALSE))</f>
        <v>°C</v>
      </c>
      <c r="J86" s="53" t="str">
        <f>IF($A86="-","-",VLOOKUP($A86,[2]Controle!$A$6:$BP$215,J$71,FALSE))</f>
        <v>OUT</v>
      </c>
      <c r="K86" s="53" t="str">
        <f>IF($A86="-","-",VLOOKUP($A86,[2]Controle!$A$6:$BP$215,K$71,FALSE))</f>
        <v>NA</v>
      </c>
      <c r="L86" s="53">
        <f>IF($A86="-","-",VLOOKUP($A86,[2]Controle!$A$6:$BP$215,L$71,FALSE))</f>
        <v>15</v>
      </c>
      <c r="M86" s="53">
        <f>IF($A86="-","-",VLOOKUP($A86,[2]Controle!$A$6:$BP$215,M$71,FALSE))</f>
        <v>30</v>
      </c>
      <c r="N86" s="53">
        <f>IF($A86="-","-",VLOOKUP($A86,[2]Controle!$A$6:$BP$215,N$71,FALSE))</f>
        <v>0.1</v>
      </c>
      <c r="O86" s="53">
        <f>IF($A86="-","-",VLOOKUP($A86,[2]Controle!$A$6:$BP$215,O$71,FALSE))</f>
        <v>0.19999999999999929</v>
      </c>
      <c r="P86" s="53">
        <f>IF($A86="-","-",VLOOKUP($A86,[2]Controle!$A$6:$BP$215,P$71,FALSE))</f>
        <v>0.3</v>
      </c>
      <c r="Q86" s="53">
        <f>IF($A86="-","-",VLOOKUP($A86,[2]Controle!$A$6:$BP$215,Q$71,FALSE))</f>
        <v>0.19999999999999929</v>
      </c>
      <c r="R86" s="53">
        <f>IF($A86="-","-",VLOOKUP($A86,[2]Controle!$A$6:$BP$215,R$71,FALSE))</f>
        <v>4.4366078809170484E-2</v>
      </c>
      <c r="S86" s="53">
        <f>IF($A86="-","-",VLOOKUP($A86,[2]Controle!$A$6:$BP$215,S$71,FALSE))</f>
        <v>2</v>
      </c>
      <c r="T86" s="53">
        <f>IF($A86="-","-",VLOOKUP($A86,[2]Controle!$A$6:$BP$215,T$71,FALSE))</f>
        <v>0</v>
      </c>
      <c r="U86" s="53">
        <f>IF($A86="-","-",VLOOKUP($A86,[2]Controle!$A$6:$BP$215,U$71,FALSE))</f>
        <v>0</v>
      </c>
      <c r="V86" s="53">
        <f>IF($A86="-","-",VLOOKUP($A86,[2]Controle!$A$6:$BP$215,V$71,FALSE))</f>
        <v>0</v>
      </c>
      <c r="W86" s="53">
        <f>IF($A86="-","-",VLOOKUP($A86,[2]Controle!$A$6:$BP$215,W$71,FALSE))</f>
        <v>0</v>
      </c>
      <c r="X86" s="53">
        <f>IF($A86="-","-",VLOOKUP($A86,[2]Controle!$A$6:$BP$215,X$71,FALSE))</f>
        <v>0</v>
      </c>
      <c r="Y86" s="53">
        <f>IF($A86="-","-",VLOOKUP($A86,[2]Controle!$A$6:$BP$215,Y$71,FALSE))</f>
        <v>0</v>
      </c>
      <c r="Z86" s="53">
        <f>IF($A86="-","-",VLOOKUP($A86,[2]Controle!$A$6:$BP$215,Z$71,FALSE))</f>
        <v>1.4034355282536405E-17</v>
      </c>
      <c r="AA86" s="53">
        <f>IF($A86="-","-",VLOOKUP($A86,[2]Controle!$A$6:$BP$215,AA$71,FALSE))</f>
        <v>0.99204787024643704</v>
      </c>
      <c r="AB86" s="53">
        <f>IF($A86="-","-",VLOOKUP($A86,[2]Controle!$A$6:$BP$215,AB$71,FALSE))</f>
        <v>0.32773009999212344</v>
      </c>
      <c r="AC86" s="53">
        <f>IF($A86="-","-",VLOOKUP($A86,[2]Controle!$A$6:$BP$215,AC$71,FALSE))</f>
        <v>15</v>
      </c>
      <c r="AD86" s="53">
        <f>IF($A86="-","-",VLOOKUP($A86,[2]Controle!$A$6:$BP$215,AD$71,FALSE))</f>
        <v>0.3</v>
      </c>
      <c r="AE86" s="53">
        <f>IF($A86="-","-",VLOOKUP($A86,[2]Controle!$A$6:$BP$215,AE$71,FALSE))</f>
        <v>2</v>
      </c>
      <c r="AF86" s="53">
        <f>IF($A86="-","-",VLOOKUP($A86,[2]Controle!$A$6:$BP$215,AF$71,FALSE))</f>
        <v>1000000</v>
      </c>
      <c r="AG86" s="53">
        <f>IF($A86="-","-",VLOOKUP($A86,[2]Controle!$A$6:$BP$215,AG$71,FALSE))</f>
        <v>20</v>
      </c>
      <c r="AH86" s="53">
        <f>IF($A86="-","-",VLOOKUP($A86,[2]Controle!$A$6:$BP$215,AH$71,FALSE))</f>
        <v>0.3</v>
      </c>
      <c r="AI86" s="53">
        <f>IF($A86="-","-",VLOOKUP($A86,[2]Controle!$A$6:$BP$215,AI$71,FALSE))</f>
        <v>2</v>
      </c>
      <c r="AJ86" s="53">
        <f>IF($A86="-","-",VLOOKUP($A86,[2]Controle!$A$6:$BP$215,AJ$71,FALSE))</f>
        <v>1000000</v>
      </c>
      <c r="AK86" s="53">
        <f>IF($A86="-","-",VLOOKUP($A86,[2]Controle!$A$6:$BP$215,AK$71,FALSE))</f>
        <v>25</v>
      </c>
      <c r="AL86" s="53">
        <f>IF($A86="-","-",VLOOKUP($A86,[2]Controle!$A$6:$BP$215,AL$71,FALSE))</f>
        <v>0.3</v>
      </c>
      <c r="AM86" s="53">
        <f>IF($A86="-","-",VLOOKUP($A86,[2]Controle!$A$6:$BP$215,AM$71,FALSE))</f>
        <v>2</v>
      </c>
      <c r="AN86" s="53">
        <f>IF($A86="-","-",VLOOKUP($A86,[2]Controle!$A$6:$BP$215,AN$71,FALSE))</f>
        <v>1000000</v>
      </c>
      <c r="AO86" s="53">
        <f>IF($A86="-","-",VLOOKUP($A86,[2]Controle!$A$6:$BP$215,AO$71,FALSE))</f>
        <v>30</v>
      </c>
      <c r="AP86" s="53">
        <f>IF($A86="-","-",VLOOKUP($A86,[2]Controle!$A$6:$BP$215,AP$71,FALSE))</f>
        <v>0.3</v>
      </c>
      <c r="AQ86" s="53">
        <f>IF($A86="-","-",VLOOKUP($A86,[2]Controle!$A$6:$BP$215,AQ$71,FALSE))</f>
        <v>2</v>
      </c>
      <c r="AR86" s="53">
        <f>IF($A86="-","-",VLOOKUP($A86,[2]Controle!$A$6:$BP$215,AR$71,FALSE))</f>
        <v>1000000</v>
      </c>
      <c r="AS86" s="53" t="str">
        <f>IF($A86="-","-",VLOOKUP($A86,[2]Controle!$A$6:$BP$215,AS$71,FALSE))</f>
        <v>-</v>
      </c>
      <c r="AT86" s="53" t="str">
        <f>IF($A86="-","-",VLOOKUP($A86,[2]Controle!$A$6:$BP$215,AT$71,FALSE))</f>
        <v>-</v>
      </c>
      <c r="AU86" s="53" t="str">
        <f>IF($A86="-","-",VLOOKUP($A86,[2]Controle!$A$6:$BP$215,AU$71,FALSE))</f>
        <v>-</v>
      </c>
      <c r="AV86" s="53" t="str">
        <f>IF($A86="-","-",VLOOKUP($A86,[2]Controle!$A$6:$BP$215,AV$71,FALSE))</f>
        <v>-</v>
      </c>
      <c r="AW86" s="53" t="str">
        <f>IF($A86="-","-",VLOOKUP($A86,[2]Controle!$A$6:$BP$215,AW$71,FALSE))</f>
        <v>-</v>
      </c>
      <c r="AX86" s="53" t="str">
        <f>IF($A86="-","-",VLOOKUP($A86,[2]Controle!$A$6:$BP$215,AX$71,FALSE))</f>
        <v>-</v>
      </c>
      <c r="AY86" s="53" t="str">
        <f>IF($A86="-","-",VLOOKUP($A86,[2]Controle!$A$6:$BP$215,AY$71,FALSE))</f>
        <v>-</v>
      </c>
      <c r="AZ86" s="53" t="str">
        <f>IF($A86="-","-",VLOOKUP($A86,[2]Controle!$A$6:$BP$215,AZ$71,FALSE))</f>
        <v>-</v>
      </c>
      <c r="BA86" s="53" t="str">
        <f>IF($A86="-","-",VLOOKUP($A86,[2]Controle!$A$6:$BP$215,BA$71,FALSE))</f>
        <v>-</v>
      </c>
      <c r="BB86" s="53" t="str">
        <f>IF($A86="-","-",VLOOKUP($A86,[2]Controle!$A$6:$BP$215,BB$71,FALSE))</f>
        <v>-</v>
      </c>
      <c r="BC86" s="53" t="str">
        <f>IF($A86="-","-",VLOOKUP($A86,[2]Controle!$A$6:$BP$215,BC$71,FALSE))</f>
        <v>-</v>
      </c>
      <c r="BD86" s="53" t="str">
        <f>IF($A86="-","-",VLOOKUP($A86,[2]Controle!$A$6:$BP$215,BD$71,FALSE))</f>
        <v>-</v>
      </c>
      <c r="BE86" s="53" t="str">
        <f>IF($A86="-","-",VLOOKUP($A86,[2]Controle!$A$6:$BP$215,BE$71,FALSE))</f>
        <v>-</v>
      </c>
      <c r="BF86" s="53" t="str">
        <f>IF($A86="-","-",VLOOKUP($A86,[2]Controle!$A$6:$BP$215,BF$71,FALSE))</f>
        <v>-</v>
      </c>
      <c r="BG86" s="53" t="str">
        <f>IF($A86="-","-",VLOOKUP($A86,[2]Controle!$A$6:$BP$215,BG$71,FALSE))</f>
        <v>-</v>
      </c>
      <c r="BH86" s="53" t="str">
        <f>IF($A86="-","-",VLOOKUP($A86,[2]Controle!$A$6:$BP$215,BH$71,FALSE))</f>
        <v>-</v>
      </c>
      <c r="BI86" s="53" t="str">
        <f>IF($A86="-","-",VLOOKUP($A86,[2]Controle!$A$6:$BP$215,BI$71,FALSE))</f>
        <v>-</v>
      </c>
      <c r="BJ86" s="53" t="str">
        <f>IF($A86="-","-",VLOOKUP($A86,[2]Controle!$A$6:$BP$215,BJ$71,FALSE))</f>
        <v>-</v>
      </c>
      <c r="BK86" s="53" t="str">
        <f>IF($A86="-","-",VLOOKUP($A86,[2]Controle!$A$6:$BP$215,BK$71,FALSE))</f>
        <v>-</v>
      </c>
      <c r="BL86" s="53" t="str">
        <f>IF($A86="-","-",VLOOKUP($A86,[2]Controle!$A$6:$BP$215,BL$71,FALSE))</f>
        <v>-</v>
      </c>
      <c r="BM86" s="53" t="str">
        <f>IF($A86="-","-",VLOOKUP($A86,[2]Controle!$A$6:$BP$215,BM$71,FALSE))</f>
        <v>-</v>
      </c>
      <c r="BN86" s="53" t="str">
        <f>IF($A86="-","-",VLOOKUP($A86,[2]Controle!$A$6:$BP$215,BN$71,FALSE))</f>
        <v>-</v>
      </c>
      <c r="BO86" s="53" t="str">
        <f>IF($A86="-","-",VLOOKUP($A86,[2]Controle!$A$6:$BP$215,BO$71,FALSE))</f>
        <v>-</v>
      </c>
      <c r="BP86" s="53" t="str">
        <f>IF($A86="-","-",VLOOKUP($A86,[2]Controle!$A$6:$BP$215,BP$71,FALSE))</f>
        <v>-</v>
      </c>
      <c r="CT86" s="41">
        <f>IF(CV86="-",0,MAX($CT$74:CT85)+1)</f>
        <v>0</v>
      </c>
      <c r="CU86" s="53" t="str">
        <f t="shared" ca="1" si="38"/>
        <v>VENCIDO</v>
      </c>
      <c r="CV86" s="53" t="str">
        <f t="shared" si="33"/>
        <v>-</v>
      </c>
      <c r="CW86" s="53">
        <f t="shared" si="39"/>
        <v>114</v>
      </c>
      <c r="CY86" s="41" t="str">
        <f t="shared" si="35"/>
        <v>M</v>
      </c>
    </row>
    <row r="87" spans="1:103" x14ac:dyDescent="0.3">
      <c r="A87" s="56">
        <v>117</v>
      </c>
      <c r="B87" s="53" t="str">
        <f>IF($A87="-","-",VLOOKUP($A87,[2]Controle!$A$6:$BP$215,B$71,FALSE))</f>
        <v>M.TH.LQ-047</v>
      </c>
      <c r="C87" s="53" t="str">
        <f>IF($A87="-","-",VLOOKUP($A87,[2]Controle!$A$6:$BP$215,C$71,FALSE))</f>
        <v>Termômetro Digital</v>
      </c>
      <c r="D87" s="53" t="str">
        <f>IF($A87="-","-",VLOOKUP($A87,[2]Controle!$A$6:$BP$215,D$71,FALSE))</f>
        <v>Elus</v>
      </c>
      <c r="E87" s="53" t="str">
        <f>IF($A87="-","-",VLOOKUP($A87,[2]Controle!$A$6:$BP$215,E$71,FALSE))</f>
        <v>RBC - CAL 0439</v>
      </c>
      <c r="F87" s="53" t="str">
        <f>IF($A87="-","-",VLOOKUP($A87,[2]Controle!$A$6:$BP$215,F$71,FALSE))</f>
        <v>E0524/24</v>
      </c>
      <c r="G87" s="54">
        <f>IF($A87="-","-",VLOOKUP($A87,[2]Controle!$A$6:$BP$215,G$71,FALSE))</f>
        <v>45664</v>
      </c>
      <c r="H87" s="55">
        <f>IF($A87="-","-",VLOOKUP($A87,[2]Controle!$A$6:$BP$215,H$71,FALSE))</f>
        <v>46417</v>
      </c>
      <c r="I87" s="53" t="str">
        <f>IF($A87="-","-",VLOOKUP($A87,[2]Controle!$A$6:$BP$215,I$71,FALSE))</f>
        <v>°C</v>
      </c>
      <c r="J87" s="53" t="str">
        <f>IF($A87="-","-",VLOOKUP($A87,[2]Controle!$A$6:$BP$215,J$71,FALSE))</f>
        <v>Contato</v>
      </c>
      <c r="K87" s="53" t="str">
        <f>IF($A87="-","-",VLOOKUP($A87,[2]Controle!$A$6:$BP$215,K$71,FALSE))</f>
        <v>Termoresisitivo</v>
      </c>
      <c r="L87" s="53">
        <f>IF($A87="-","-",VLOOKUP($A87,[2]Controle!$A$6:$BP$215,L$71,FALSE))</f>
        <v>0</v>
      </c>
      <c r="M87" s="53">
        <f>IF($A87="-","-",VLOOKUP($A87,[2]Controle!$A$6:$BP$215,M$71,FALSE))</f>
        <v>120</v>
      </c>
      <c r="N87" s="53">
        <f>IF($A87="-","-",VLOOKUP($A87,[2]Controle!$A$6:$BP$215,N$71,FALSE))</f>
        <v>0.1</v>
      </c>
      <c r="O87" s="53">
        <f>IF($A87="-","-",VLOOKUP($A87,[2]Controle!$A$6:$BP$215,O$71,FALSE))</f>
        <v>0.6</v>
      </c>
      <c r="P87" s="53">
        <f>IF($A87="-","-",VLOOKUP($A87,[2]Controle!$A$6:$BP$215,P$71,FALSE))</f>
        <v>0.1</v>
      </c>
      <c r="Q87" s="53">
        <f>IF($A87="-","-",VLOOKUP($A87,[2]Controle!$A$6:$BP$215,Q$71,FALSE))</f>
        <v>0.6</v>
      </c>
      <c r="R87" s="53">
        <f>IF($A87="-","-",VLOOKUP($A87,[2]Controle!$A$6:$BP$215,R$71,FALSE))</f>
        <v>0.13202227991607174</v>
      </c>
      <c r="S87" s="53">
        <f>IF($A87="-","-",VLOOKUP($A87,[2]Controle!$A$6:$BP$215,S$71,FALSE))</f>
        <v>2</v>
      </c>
      <c r="T87" s="53">
        <f>IF($A87="-","-",VLOOKUP($A87,[2]Controle!$A$6:$BP$215,T$71,FALSE))</f>
        <v>0</v>
      </c>
      <c r="U87" s="53">
        <f>IF($A87="-","-",VLOOKUP($A87,[2]Controle!$A$6:$BP$215,U$71,FALSE))</f>
        <v>0</v>
      </c>
      <c r="V87" s="53">
        <f>IF($A87="-","-",VLOOKUP($A87,[2]Controle!$A$6:$BP$215,V$71,FALSE))</f>
        <v>0</v>
      </c>
      <c r="W87" s="53">
        <f>IF($A87="-","-",VLOOKUP($A87,[2]Controle!$A$6:$BP$215,W$71,FALSE))</f>
        <v>0</v>
      </c>
      <c r="X87" s="53">
        <f>IF($A87="-","-",VLOOKUP($A87,[2]Controle!$A$6:$BP$215,X$71,FALSE))</f>
        <v>0</v>
      </c>
      <c r="Y87" s="53">
        <f>IF($A87="-","-",VLOOKUP($A87,[2]Controle!$A$6:$BP$215,Y$71,FALSE))</f>
        <v>0</v>
      </c>
      <c r="Z87" s="53">
        <f>IF($A87="-","-",VLOOKUP($A87,[2]Controle!$A$6:$BP$215,Z$71,FALSE))</f>
        <v>8.3070646379737416E-5</v>
      </c>
      <c r="AA87" s="53">
        <f>IF($A87="-","-",VLOOKUP($A87,[2]Controle!$A$6:$BP$215,AA$71,FALSE))</f>
        <v>0.98810577450336101</v>
      </c>
      <c r="AB87" s="53">
        <f>IF($A87="-","-",VLOOKUP($A87,[2]Controle!$A$6:$BP$215,AB$71,FALSE))</f>
        <v>0.54610610147910899</v>
      </c>
      <c r="AC87" s="53">
        <f>IF($A87="-","-",VLOOKUP($A87,[2]Controle!$A$6:$BP$215,AC$71,FALSE))</f>
        <v>0</v>
      </c>
      <c r="AD87" s="53">
        <f>IF($A87="-","-",VLOOKUP($A87,[2]Controle!$A$6:$BP$215,AD$71,FALSE))</f>
        <v>0.1</v>
      </c>
      <c r="AE87" s="53">
        <f>IF($A87="-","-",VLOOKUP($A87,[2]Controle!$A$6:$BP$215,AE$71,FALSE))</f>
        <v>2</v>
      </c>
      <c r="AF87" s="53">
        <f>IF($A87="-","-",VLOOKUP($A87,[2]Controle!$A$6:$BP$215,AF$71,FALSE))</f>
        <v>1000000</v>
      </c>
      <c r="AG87" s="53">
        <f>IF($A87="-","-",VLOOKUP($A87,[2]Controle!$A$6:$BP$215,AG$71,FALSE))</f>
        <v>25</v>
      </c>
      <c r="AH87" s="53">
        <f>IF($A87="-","-",VLOOKUP($A87,[2]Controle!$A$6:$BP$215,AH$71,FALSE))</f>
        <v>0.1</v>
      </c>
      <c r="AI87" s="53">
        <f>IF($A87="-","-",VLOOKUP($A87,[2]Controle!$A$6:$BP$215,AI$71,FALSE))</f>
        <v>2</v>
      </c>
      <c r="AJ87" s="53">
        <f>IF($A87="-","-",VLOOKUP($A87,[2]Controle!$A$6:$BP$215,AJ$71,FALSE))</f>
        <v>1000000</v>
      </c>
      <c r="AK87" s="53">
        <f>IF($A87="-","-",VLOOKUP($A87,[2]Controle!$A$6:$BP$215,AK$71,FALSE))</f>
        <v>60</v>
      </c>
      <c r="AL87" s="53">
        <f>IF($A87="-","-",VLOOKUP($A87,[2]Controle!$A$6:$BP$215,AL$71,FALSE))</f>
        <v>0.1</v>
      </c>
      <c r="AM87" s="53">
        <f>IF($A87="-","-",VLOOKUP($A87,[2]Controle!$A$6:$BP$215,AM$71,FALSE))</f>
        <v>2</v>
      </c>
      <c r="AN87" s="53">
        <f>IF($A87="-","-",VLOOKUP($A87,[2]Controle!$A$6:$BP$215,AN$71,FALSE))</f>
        <v>1000000</v>
      </c>
      <c r="AO87" s="53">
        <f>IF($A87="-","-",VLOOKUP($A87,[2]Controle!$A$6:$BP$215,AO$71,FALSE))</f>
        <v>120</v>
      </c>
      <c r="AP87" s="53">
        <f>IF($A87="-","-",VLOOKUP($A87,[2]Controle!$A$6:$BP$215,AP$71,FALSE))</f>
        <v>0.1</v>
      </c>
      <c r="AQ87" s="53">
        <f>IF($A87="-","-",VLOOKUP($A87,[2]Controle!$A$6:$BP$215,AQ$71,FALSE))</f>
        <v>2</v>
      </c>
      <c r="AR87" s="53">
        <f>IF($A87="-","-",VLOOKUP($A87,[2]Controle!$A$6:$BP$215,AR$71,FALSE))</f>
        <v>1000000</v>
      </c>
      <c r="AS87" s="53" t="str">
        <f>IF($A87="-","-",VLOOKUP($A87,[2]Controle!$A$6:$BP$215,AS$71,FALSE))</f>
        <v>-</v>
      </c>
      <c r="AT87" s="53" t="str">
        <f>IF($A87="-","-",VLOOKUP($A87,[2]Controle!$A$6:$BP$215,AT$71,FALSE))</f>
        <v>-</v>
      </c>
      <c r="AU87" s="53" t="str">
        <f>IF($A87="-","-",VLOOKUP($A87,[2]Controle!$A$6:$BP$215,AU$71,FALSE))</f>
        <v>-</v>
      </c>
      <c r="AV87" s="53" t="str">
        <f>IF($A87="-","-",VLOOKUP($A87,[2]Controle!$A$6:$BP$215,AV$71,FALSE))</f>
        <v>-</v>
      </c>
      <c r="AW87" s="53" t="str">
        <f>IF($A87="-","-",VLOOKUP($A87,[2]Controle!$A$6:$BP$215,AW$71,FALSE))</f>
        <v>-</v>
      </c>
      <c r="AX87" s="53" t="str">
        <f>IF($A87="-","-",VLOOKUP($A87,[2]Controle!$A$6:$BP$215,AX$71,FALSE))</f>
        <v>-</v>
      </c>
      <c r="AY87" s="53" t="str">
        <f>IF($A87="-","-",VLOOKUP($A87,[2]Controle!$A$6:$BP$215,AY$71,FALSE))</f>
        <v>-</v>
      </c>
      <c r="AZ87" s="53" t="str">
        <f>IF($A87="-","-",VLOOKUP($A87,[2]Controle!$A$6:$BP$215,AZ$71,FALSE))</f>
        <v>-</v>
      </c>
      <c r="BA87" s="53" t="str">
        <f>IF($A87="-","-",VLOOKUP($A87,[2]Controle!$A$6:$BP$215,BA$71,FALSE))</f>
        <v>-</v>
      </c>
      <c r="BB87" s="53" t="str">
        <f>IF($A87="-","-",VLOOKUP($A87,[2]Controle!$A$6:$BP$215,BB$71,FALSE))</f>
        <v>-</v>
      </c>
      <c r="BC87" s="53" t="str">
        <f>IF($A87="-","-",VLOOKUP($A87,[2]Controle!$A$6:$BP$215,BC$71,FALSE))</f>
        <v>-</v>
      </c>
      <c r="BD87" s="53" t="str">
        <f>IF($A87="-","-",VLOOKUP($A87,[2]Controle!$A$6:$BP$215,BD$71,FALSE))</f>
        <v>-</v>
      </c>
      <c r="BE87" s="53" t="str">
        <f>IF($A87="-","-",VLOOKUP($A87,[2]Controle!$A$6:$BP$215,BE$71,FALSE))</f>
        <v>-</v>
      </c>
      <c r="BF87" s="53" t="str">
        <f>IF($A87="-","-",VLOOKUP($A87,[2]Controle!$A$6:$BP$215,BF$71,FALSE))</f>
        <v>-</v>
      </c>
      <c r="BG87" s="53" t="str">
        <f>IF($A87="-","-",VLOOKUP($A87,[2]Controle!$A$6:$BP$215,BG$71,FALSE))</f>
        <v>-</v>
      </c>
      <c r="BH87" s="53" t="str">
        <f>IF($A87="-","-",VLOOKUP($A87,[2]Controle!$A$6:$BP$215,BH$71,FALSE))</f>
        <v>-</v>
      </c>
      <c r="BI87" s="53" t="str">
        <f>IF($A87="-","-",VLOOKUP($A87,[2]Controle!$A$6:$BP$215,BI$71,FALSE))</f>
        <v>-</v>
      </c>
      <c r="BJ87" s="53" t="str">
        <f>IF($A87="-","-",VLOOKUP($A87,[2]Controle!$A$6:$BP$215,BJ$71,FALSE))</f>
        <v>-</v>
      </c>
      <c r="BK87" s="53" t="str">
        <f>IF($A87="-","-",VLOOKUP($A87,[2]Controle!$A$6:$BP$215,BK$71,FALSE))</f>
        <v>-</v>
      </c>
      <c r="BL87" s="53" t="str">
        <f>IF($A87="-","-",VLOOKUP($A87,[2]Controle!$A$6:$BP$215,BL$71,FALSE))</f>
        <v>-</v>
      </c>
      <c r="BM87" s="53" t="str">
        <f>IF($A87="-","-",VLOOKUP($A87,[2]Controle!$A$6:$BP$215,BM$71,FALSE))</f>
        <v>-</v>
      </c>
      <c r="BN87" s="53" t="str">
        <f>IF($A87="-","-",VLOOKUP($A87,[2]Controle!$A$6:$BP$215,BN$71,FALSE))</f>
        <v>-</v>
      </c>
      <c r="BO87" s="53" t="str">
        <f>IF($A87="-","-",VLOOKUP($A87,[2]Controle!$A$6:$BP$215,BO$71,FALSE))</f>
        <v>-</v>
      </c>
      <c r="BP87" s="53" t="str">
        <f>IF($A87="-","-",VLOOKUP($A87,[2]Controle!$A$6:$BP$215,BP$71,FALSE))</f>
        <v>-</v>
      </c>
      <c r="CT87" s="41">
        <f>IF(CV87="-",0,MAX($CT$74:CT86)+1)</f>
        <v>0</v>
      </c>
      <c r="CU87" s="53" t="str">
        <f t="shared" ca="1" si="38"/>
        <v>VÁLIDO</v>
      </c>
      <c r="CV87" s="53" t="str">
        <f t="shared" si="33"/>
        <v>-</v>
      </c>
      <c r="CW87" s="53">
        <f t="shared" si="39"/>
        <v>117</v>
      </c>
      <c r="CY87" s="41" t="str">
        <f t="shared" si="35"/>
        <v>M</v>
      </c>
    </row>
    <row r="88" spans="1:103" x14ac:dyDescent="0.3">
      <c r="A88" s="56">
        <v>118</v>
      </c>
      <c r="B88" s="53" t="str">
        <f>IF($A88="-","-",VLOOKUP($A88,[2]Controle!$A$6:$BP$215,B$71,FALSE))</f>
        <v>M.TH.LQ-048</v>
      </c>
      <c r="C88" s="53" t="str">
        <f>IF($A88="-","-",VLOOKUP($A88,[2]Controle!$A$6:$BP$215,C$71,FALSE))</f>
        <v>Termômetro Digital</v>
      </c>
      <c r="D88" s="53" t="str">
        <f>IF($A88="-","-",VLOOKUP($A88,[2]Controle!$A$6:$BP$215,D$71,FALSE))</f>
        <v>Elus</v>
      </c>
      <c r="E88" s="53" t="str">
        <f>IF($A88="-","-",VLOOKUP($A88,[2]Controle!$A$6:$BP$215,E$71,FALSE))</f>
        <v>RBC - CAL 0439</v>
      </c>
      <c r="F88" s="53" t="str">
        <f>IF($A88="-","-",VLOOKUP($A88,[2]Controle!$A$6:$BP$215,F$71,FALSE))</f>
        <v>E0240/25</v>
      </c>
      <c r="G88" s="54">
        <f>IF($A88="-","-",VLOOKUP($A88,[2]Controle!$A$6:$BP$215,G$71,FALSE))</f>
        <v>45784</v>
      </c>
      <c r="H88" s="55">
        <f>IF($A88="-","-",VLOOKUP($A88,[2]Controle!$A$6:$BP$215,H$71,FALSE))</f>
        <v>46172</v>
      </c>
      <c r="I88" s="53" t="str">
        <f>IF($A88="-","-",VLOOKUP($A88,[2]Controle!$A$6:$BP$215,I$71,FALSE))</f>
        <v>°C</v>
      </c>
      <c r="J88" s="53" t="str">
        <f>IF($A88="-","-",VLOOKUP($A88,[2]Controle!$A$6:$BP$215,J$71,FALSE))</f>
        <v>Contato</v>
      </c>
      <c r="K88" s="53" t="str">
        <f>IF($A88="-","-",VLOOKUP($A88,[2]Controle!$A$6:$BP$215,K$71,FALSE))</f>
        <v>Termoresisitivo</v>
      </c>
      <c r="L88" s="53">
        <f>IF($A88="-","-",VLOOKUP($A88,[2]Controle!$A$6:$BP$215,L$71,FALSE))</f>
        <v>15</v>
      </c>
      <c r="M88" s="53">
        <f>IF($A88="-","-",VLOOKUP($A88,[2]Controle!$A$6:$BP$215,M$71,FALSE))</f>
        <v>35</v>
      </c>
      <c r="N88" s="53">
        <f>IF($A88="-","-",VLOOKUP($A88,[2]Controle!$A$6:$BP$215,N$71,FALSE))</f>
        <v>0.1</v>
      </c>
      <c r="O88" s="53">
        <f>IF($A88="-","-",VLOOKUP($A88,[2]Controle!$A$6:$BP$215,O$71,FALSE))</f>
        <v>0.10000000000000142</v>
      </c>
      <c r="P88" s="53">
        <f>IF($A88="-","-",VLOOKUP($A88,[2]Controle!$A$6:$BP$215,P$71,FALSE))</f>
        <v>0.1</v>
      </c>
      <c r="Q88" s="53">
        <f>IF($A88="-","-",VLOOKUP($A88,[2]Controle!$A$6:$BP$215,Q$71,FALSE))</f>
        <v>0.10000000000000142</v>
      </c>
      <c r="R88" s="53">
        <f>IF($A88="-","-",VLOOKUP($A88,[2]Controle!$A$6:$BP$215,R$71,FALSE))</f>
        <v>1.2315432485318079E-2</v>
      </c>
      <c r="S88" s="53">
        <f>IF($A88="-","-",VLOOKUP($A88,[2]Controle!$A$6:$BP$215,S$71,FALSE))</f>
        <v>3</v>
      </c>
      <c r="T88" s="53">
        <f>IF($A88="-","-",VLOOKUP($A88,[2]Controle!$A$6:$BP$215,T$71,FALSE))</f>
        <v>0</v>
      </c>
      <c r="U88" s="53">
        <f>IF($A88="-","-",VLOOKUP($A88,[2]Controle!$A$6:$BP$215,U$71,FALSE))</f>
        <v>0</v>
      </c>
      <c r="V88" s="53">
        <f>IF($A88="-","-",VLOOKUP($A88,[2]Controle!$A$6:$BP$215,V$71,FALSE))</f>
        <v>0</v>
      </c>
      <c r="W88" s="53">
        <f>IF($A88="-","-",VLOOKUP($A88,[2]Controle!$A$6:$BP$215,W$71,FALSE))</f>
        <v>0</v>
      </c>
      <c r="X88" s="53">
        <f>IF($A88="-","-",VLOOKUP($A88,[2]Controle!$A$6:$BP$215,X$71,FALSE))</f>
        <v>0</v>
      </c>
      <c r="Y88" s="53">
        <f>IF($A88="-","-",VLOOKUP($A88,[2]Controle!$A$6:$BP$215,Y$71,FALSE))</f>
        <v>6.8547989729267136E-5</v>
      </c>
      <c r="Z88" s="53">
        <f>IF($A88="-","-",VLOOKUP($A88,[2]Controle!$A$6:$BP$215,Z$71,FALSE))</f>
        <v>-4.5732293969720028E-3</v>
      </c>
      <c r="AA88" s="53">
        <f>IF($A88="-","-",VLOOKUP($A88,[2]Controle!$A$6:$BP$215,AA$71,FALSE))</f>
        <v>1.0983126270854302</v>
      </c>
      <c r="AB88" s="53">
        <f>IF($A88="-","-",VLOOKUP($A88,[2]Controle!$A$6:$BP$215,AB$71,FALSE))</f>
        <v>-0.77924769511468761</v>
      </c>
      <c r="AC88" s="53">
        <f>IF($A88="-","-",VLOOKUP($A88,[2]Controle!$A$6:$BP$215,AC$71,FALSE))</f>
        <v>15</v>
      </c>
      <c r="AD88" s="53">
        <f>IF($A88="-","-",VLOOKUP($A88,[2]Controle!$A$6:$BP$215,AD$71,FALSE))</f>
        <v>0.1</v>
      </c>
      <c r="AE88" s="53">
        <f>IF($A88="-","-",VLOOKUP($A88,[2]Controle!$A$6:$BP$215,AE$71,FALSE))</f>
        <v>2</v>
      </c>
      <c r="AF88" s="53">
        <f>IF($A88="-","-",VLOOKUP($A88,[2]Controle!$A$6:$BP$215,AF$71,FALSE))</f>
        <v>1000000</v>
      </c>
      <c r="AG88" s="53">
        <f>IF($A88="-","-",VLOOKUP($A88,[2]Controle!$A$6:$BP$215,AG$71,FALSE))</f>
        <v>20</v>
      </c>
      <c r="AH88" s="53">
        <f>IF($A88="-","-",VLOOKUP($A88,[2]Controle!$A$6:$BP$215,AH$71,FALSE))</f>
        <v>0.1</v>
      </c>
      <c r="AI88" s="53">
        <f>IF($A88="-","-",VLOOKUP($A88,[2]Controle!$A$6:$BP$215,AI$71,FALSE))</f>
        <v>2</v>
      </c>
      <c r="AJ88" s="53">
        <f>IF($A88="-","-",VLOOKUP($A88,[2]Controle!$A$6:$BP$215,AJ$71,FALSE))</f>
        <v>1000000</v>
      </c>
      <c r="AK88" s="53">
        <f>IF($A88="-","-",VLOOKUP($A88,[2]Controle!$A$6:$BP$215,AK$71,FALSE))</f>
        <v>25</v>
      </c>
      <c r="AL88" s="53">
        <f>IF($A88="-","-",VLOOKUP($A88,[2]Controle!$A$6:$BP$215,AL$71,FALSE))</f>
        <v>0.1</v>
      </c>
      <c r="AM88" s="53">
        <f>IF($A88="-","-",VLOOKUP($A88,[2]Controle!$A$6:$BP$215,AM$71,FALSE))</f>
        <v>2</v>
      </c>
      <c r="AN88" s="53">
        <f>IF($A88="-","-",VLOOKUP($A88,[2]Controle!$A$6:$BP$215,AN$71,FALSE))</f>
        <v>1000000</v>
      </c>
      <c r="AO88" s="53">
        <f>IF($A88="-","-",VLOOKUP($A88,[2]Controle!$A$6:$BP$215,AO$71,FALSE))</f>
        <v>30</v>
      </c>
      <c r="AP88" s="53">
        <f>IF($A88="-","-",VLOOKUP($A88,[2]Controle!$A$6:$BP$215,AP$71,FALSE))</f>
        <v>0.1</v>
      </c>
      <c r="AQ88" s="53">
        <f>IF($A88="-","-",VLOOKUP($A88,[2]Controle!$A$6:$BP$215,AQ$71,FALSE))</f>
        <v>2</v>
      </c>
      <c r="AR88" s="53">
        <f>IF($A88="-","-",VLOOKUP($A88,[2]Controle!$A$6:$BP$215,AR$71,FALSE))</f>
        <v>1000000</v>
      </c>
      <c r="AS88" s="53">
        <f>IF($A88="-","-",VLOOKUP($A88,[2]Controle!$A$6:$BP$215,AS$71,FALSE))</f>
        <v>35</v>
      </c>
      <c r="AT88" s="53">
        <f>IF($A88="-","-",VLOOKUP($A88,[2]Controle!$A$6:$BP$215,AT$71,FALSE))</f>
        <v>0.1</v>
      </c>
      <c r="AU88" s="53">
        <f>IF($A88="-","-",VLOOKUP($A88,[2]Controle!$A$6:$BP$215,AU$71,FALSE))</f>
        <v>2</v>
      </c>
      <c r="AV88" s="53">
        <f>IF($A88="-","-",VLOOKUP($A88,[2]Controle!$A$6:$BP$215,AV$71,FALSE))</f>
        <v>1000000</v>
      </c>
      <c r="AW88" s="53" t="str">
        <f>IF($A88="-","-",VLOOKUP($A88,[2]Controle!$A$6:$BP$215,AW$71,FALSE))</f>
        <v>-</v>
      </c>
      <c r="AX88" s="53" t="str">
        <f>IF($A88="-","-",VLOOKUP($A88,[2]Controle!$A$6:$BP$215,AX$71,FALSE))</f>
        <v>-</v>
      </c>
      <c r="AY88" s="53" t="str">
        <f>IF($A88="-","-",VLOOKUP($A88,[2]Controle!$A$6:$BP$215,AY$71,FALSE))</f>
        <v>-</v>
      </c>
      <c r="AZ88" s="53" t="str">
        <f>IF($A88="-","-",VLOOKUP($A88,[2]Controle!$A$6:$BP$215,AZ$71,FALSE))</f>
        <v>-</v>
      </c>
      <c r="BA88" s="53" t="str">
        <f>IF($A88="-","-",VLOOKUP($A88,[2]Controle!$A$6:$BP$215,BA$71,FALSE))</f>
        <v>-</v>
      </c>
      <c r="BB88" s="53" t="str">
        <f>IF($A88="-","-",VLOOKUP($A88,[2]Controle!$A$6:$BP$215,BB$71,FALSE))</f>
        <v>-</v>
      </c>
      <c r="BC88" s="53" t="str">
        <f>IF($A88="-","-",VLOOKUP($A88,[2]Controle!$A$6:$BP$215,BC$71,FALSE))</f>
        <v>-</v>
      </c>
      <c r="BD88" s="53" t="str">
        <f>IF($A88="-","-",VLOOKUP($A88,[2]Controle!$A$6:$BP$215,BD$71,FALSE))</f>
        <v>-</v>
      </c>
      <c r="BE88" s="53" t="str">
        <f>IF($A88="-","-",VLOOKUP($A88,[2]Controle!$A$6:$BP$215,BE$71,FALSE))</f>
        <v>-</v>
      </c>
      <c r="BF88" s="53" t="str">
        <f>IF($A88="-","-",VLOOKUP($A88,[2]Controle!$A$6:$BP$215,BF$71,FALSE))</f>
        <v>-</v>
      </c>
      <c r="BG88" s="53" t="str">
        <f>IF($A88="-","-",VLOOKUP($A88,[2]Controle!$A$6:$BP$215,BG$71,FALSE))</f>
        <v>-</v>
      </c>
      <c r="BH88" s="53" t="str">
        <f>IF($A88="-","-",VLOOKUP($A88,[2]Controle!$A$6:$BP$215,BH$71,FALSE))</f>
        <v>-</v>
      </c>
      <c r="BI88" s="53" t="str">
        <f>IF($A88="-","-",VLOOKUP($A88,[2]Controle!$A$6:$BP$215,BI$71,FALSE))</f>
        <v>-</v>
      </c>
      <c r="BJ88" s="53" t="str">
        <f>IF($A88="-","-",VLOOKUP($A88,[2]Controle!$A$6:$BP$215,BJ$71,FALSE))</f>
        <v>-</v>
      </c>
      <c r="BK88" s="53" t="str">
        <f>IF($A88="-","-",VLOOKUP($A88,[2]Controle!$A$6:$BP$215,BK$71,FALSE))</f>
        <v>-</v>
      </c>
      <c r="BL88" s="53" t="str">
        <f>IF($A88="-","-",VLOOKUP($A88,[2]Controle!$A$6:$BP$215,BL$71,FALSE))</f>
        <v>-</v>
      </c>
      <c r="BM88" s="53" t="str">
        <f>IF($A88="-","-",VLOOKUP($A88,[2]Controle!$A$6:$BP$215,BM$71,FALSE))</f>
        <v>-</v>
      </c>
      <c r="BN88" s="53" t="str">
        <f>IF($A88="-","-",VLOOKUP($A88,[2]Controle!$A$6:$BP$215,BN$71,FALSE))</f>
        <v>-</v>
      </c>
      <c r="BO88" s="53" t="str">
        <f>IF($A88="-","-",VLOOKUP($A88,[2]Controle!$A$6:$BP$215,BO$71,FALSE))</f>
        <v>-</v>
      </c>
      <c r="BP88" s="53" t="str">
        <f>IF($A88="-","-",VLOOKUP($A88,[2]Controle!$A$6:$BP$215,BP$71,FALSE))</f>
        <v>-</v>
      </c>
      <c r="CT88" s="41">
        <f>IF(CV88="-",0,MAX($CT$74:CT87)+1)</f>
        <v>0</v>
      </c>
      <c r="CU88" s="53" t="str">
        <f t="shared" ca="1" si="38"/>
        <v>VÁLIDO</v>
      </c>
      <c r="CV88" s="53" t="str">
        <f t="shared" si="33"/>
        <v>-</v>
      </c>
      <c r="CW88" s="53">
        <f t="shared" si="39"/>
        <v>118</v>
      </c>
      <c r="CY88" s="41" t="str">
        <f t="shared" si="35"/>
        <v>M</v>
      </c>
    </row>
    <row r="89" spans="1:103" x14ac:dyDescent="0.3">
      <c r="A89" s="56">
        <v>119</v>
      </c>
      <c r="B89" s="53" t="str">
        <f>IF($A89="-","-",VLOOKUP($A89,[2]Controle!$A$6:$BP$215,B$71,FALSE))</f>
        <v>M.TH.LQ-049</v>
      </c>
      <c r="C89" s="53" t="str">
        <f>IF($A89="-","-",VLOOKUP($A89,[2]Controle!$A$6:$BP$215,C$71,FALSE))</f>
        <v>Termômetro Digital</v>
      </c>
      <c r="D89" s="53" t="str">
        <f>IF($A89="-","-",VLOOKUP($A89,[2]Controle!$A$6:$BP$215,D$71,FALSE))</f>
        <v>Elus</v>
      </c>
      <c r="E89" s="53" t="str">
        <f>IF($A89="-","-",VLOOKUP($A89,[2]Controle!$A$6:$BP$215,E$71,FALSE))</f>
        <v>RBC - CAL 0439</v>
      </c>
      <c r="F89" s="53" t="str">
        <f>IF($A89="-","-",VLOOKUP($A89,[2]Controle!$A$6:$BP$215,F$71,FALSE))</f>
        <v>E0241/25</v>
      </c>
      <c r="G89" s="54">
        <f>IF($A89="-","-",VLOOKUP($A89,[2]Controle!$A$6:$BP$215,G$71,FALSE))</f>
        <v>45784</v>
      </c>
      <c r="H89" s="55">
        <f>IF($A89="-","-",VLOOKUP($A89,[2]Controle!$A$6:$BP$215,H$71,FALSE))</f>
        <v>46172</v>
      </c>
      <c r="I89" s="53" t="str">
        <f>IF($A89="-","-",VLOOKUP($A89,[2]Controle!$A$6:$BP$215,I$71,FALSE))</f>
        <v>°C</v>
      </c>
      <c r="J89" s="53" t="str">
        <f>IF($A89="-","-",VLOOKUP($A89,[2]Controle!$A$6:$BP$215,J$71,FALSE))</f>
        <v>Contato</v>
      </c>
      <c r="K89" s="53" t="str">
        <f>IF($A89="-","-",VLOOKUP($A89,[2]Controle!$A$6:$BP$215,K$71,FALSE))</f>
        <v>Termoresisitivo</v>
      </c>
      <c r="L89" s="53">
        <f>IF($A89="-","-",VLOOKUP($A89,[2]Controle!$A$6:$BP$215,L$71,FALSE))</f>
        <v>15</v>
      </c>
      <c r="M89" s="53">
        <f>IF($A89="-","-",VLOOKUP($A89,[2]Controle!$A$6:$BP$215,M$71,FALSE))</f>
        <v>35</v>
      </c>
      <c r="N89" s="53">
        <f>IF($A89="-","-",VLOOKUP($A89,[2]Controle!$A$6:$BP$215,N$71,FALSE))</f>
        <v>0.1</v>
      </c>
      <c r="O89" s="53">
        <f>IF($A89="-","-",VLOOKUP($A89,[2]Controle!$A$6:$BP$215,O$71,FALSE))</f>
        <v>0.10000000000000142</v>
      </c>
      <c r="P89" s="53">
        <f>IF($A89="-","-",VLOOKUP($A89,[2]Controle!$A$6:$BP$215,P$71,FALSE))</f>
        <v>0.1</v>
      </c>
      <c r="Q89" s="53">
        <f>IF($A89="-","-",VLOOKUP($A89,[2]Controle!$A$6:$BP$215,Q$71,FALSE))</f>
        <v>0.10000000000000142</v>
      </c>
      <c r="R89" s="53">
        <f>IF($A89="-","-",VLOOKUP($A89,[2]Controle!$A$6:$BP$215,R$71,FALSE))</f>
        <v>3.5109556674842834E-2</v>
      </c>
      <c r="S89" s="53">
        <f>IF($A89="-","-",VLOOKUP($A89,[2]Controle!$A$6:$BP$215,S$71,FALSE))</f>
        <v>3</v>
      </c>
      <c r="T89" s="53">
        <f>IF($A89="-","-",VLOOKUP($A89,[2]Controle!$A$6:$BP$215,T$71,FALSE))</f>
        <v>0</v>
      </c>
      <c r="U89" s="53">
        <f>IF($A89="-","-",VLOOKUP($A89,[2]Controle!$A$6:$BP$215,U$71,FALSE))</f>
        <v>0</v>
      </c>
      <c r="V89" s="53">
        <f>IF($A89="-","-",VLOOKUP($A89,[2]Controle!$A$6:$BP$215,V$71,FALSE))</f>
        <v>0</v>
      </c>
      <c r="W89" s="53">
        <f>IF($A89="-","-",VLOOKUP($A89,[2]Controle!$A$6:$BP$215,W$71,FALSE))</f>
        <v>0</v>
      </c>
      <c r="X89" s="53">
        <f>IF($A89="-","-",VLOOKUP($A89,[2]Controle!$A$6:$BP$215,X$71,FALSE))</f>
        <v>0</v>
      </c>
      <c r="Y89" s="53">
        <f>IF($A89="-","-",VLOOKUP($A89,[2]Controle!$A$6:$BP$215,Y$71,FALSE))</f>
        <v>2.0355591378545454E-4</v>
      </c>
      <c r="Z89" s="53">
        <f>IF($A89="-","-",VLOOKUP($A89,[2]Controle!$A$6:$BP$215,Z$71,FALSE))</f>
        <v>-1.5524592624514381E-2</v>
      </c>
      <c r="AA89" s="53">
        <f>IF($A89="-","-",VLOOKUP($A89,[2]Controle!$A$6:$BP$215,AA$71,FALSE))</f>
        <v>1.3794097505102572</v>
      </c>
      <c r="AB89" s="53">
        <f>IF($A89="-","-",VLOOKUP($A89,[2]Controle!$A$6:$BP$215,AB$71,FALSE))</f>
        <v>-2.8894780709585151</v>
      </c>
      <c r="AC89" s="53">
        <f>IF($A89="-","-",VLOOKUP($A89,[2]Controle!$A$6:$BP$215,AC$71,FALSE))</f>
        <v>15</v>
      </c>
      <c r="AD89" s="53">
        <f>IF($A89="-","-",VLOOKUP($A89,[2]Controle!$A$6:$BP$215,AD$71,FALSE))</f>
        <v>0.1</v>
      </c>
      <c r="AE89" s="53">
        <f>IF($A89="-","-",VLOOKUP($A89,[2]Controle!$A$6:$BP$215,AE$71,FALSE))</f>
        <v>2</v>
      </c>
      <c r="AF89" s="53">
        <f>IF($A89="-","-",VLOOKUP($A89,[2]Controle!$A$6:$BP$215,AF$71,FALSE))</f>
        <v>1000000</v>
      </c>
      <c r="AG89" s="53">
        <f>IF($A89="-","-",VLOOKUP($A89,[2]Controle!$A$6:$BP$215,AG$71,FALSE))</f>
        <v>20</v>
      </c>
      <c r="AH89" s="53">
        <f>IF($A89="-","-",VLOOKUP($A89,[2]Controle!$A$6:$BP$215,AH$71,FALSE))</f>
        <v>0.1</v>
      </c>
      <c r="AI89" s="53">
        <f>IF($A89="-","-",VLOOKUP($A89,[2]Controle!$A$6:$BP$215,AI$71,FALSE))</f>
        <v>2</v>
      </c>
      <c r="AJ89" s="53">
        <f>IF($A89="-","-",VLOOKUP($A89,[2]Controle!$A$6:$BP$215,AJ$71,FALSE))</f>
        <v>1000000</v>
      </c>
      <c r="AK89" s="53">
        <f>IF($A89="-","-",VLOOKUP($A89,[2]Controle!$A$6:$BP$215,AK$71,FALSE))</f>
        <v>25</v>
      </c>
      <c r="AL89" s="53">
        <f>IF($A89="-","-",VLOOKUP($A89,[2]Controle!$A$6:$BP$215,AL$71,FALSE))</f>
        <v>0.1</v>
      </c>
      <c r="AM89" s="53">
        <f>IF($A89="-","-",VLOOKUP($A89,[2]Controle!$A$6:$BP$215,AM$71,FALSE))</f>
        <v>2</v>
      </c>
      <c r="AN89" s="53">
        <f>IF($A89="-","-",VLOOKUP($A89,[2]Controle!$A$6:$BP$215,AN$71,FALSE))</f>
        <v>1000000</v>
      </c>
      <c r="AO89" s="53">
        <f>IF($A89="-","-",VLOOKUP($A89,[2]Controle!$A$6:$BP$215,AO$71,FALSE))</f>
        <v>30</v>
      </c>
      <c r="AP89" s="53">
        <f>IF($A89="-","-",VLOOKUP($A89,[2]Controle!$A$6:$BP$215,AP$71,FALSE))</f>
        <v>0.1</v>
      </c>
      <c r="AQ89" s="53">
        <f>IF($A89="-","-",VLOOKUP($A89,[2]Controle!$A$6:$BP$215,AQ$71,FALSE))</f>
        <v>2</v>
      </c>
      <c r="AR89" s="53">
        <f>IF($A89="-","-",VLOOKUP($A89,[2]Controle!$A$6:$BP$215,AR$71,FALSE))</f>
        <v>1000000</v>
      </c>
      <c r="AS89" s="53">
        <f>IF($A89="-","-",VLOOKUP($A89,[2]Controle!$A$6:$BP$215,AS$71,FALSE))</f>
        <v>35</v>
      </c>
      <c r="AT89" s="53">
        <f>IF($A89="-","-",VLOOKUP($A89,[2]Controle!$A$6:$BP$215,AT$71,FALSE))</f>
        <v>0.1</v>
      </c>
      <c r="AU89" s="53">
        <f>IF($A89="-","-",VLOOKUP($A89,[2]Controle!$A$6:$BP$215,AU$71,FALSE))</f>
        <v>2</v>
      </c>
      <c r="AV89" s="53">
        <f>IF($A89="-","-",VLOOKUP($A89,[2]Controle!$A$6:$BP$215,AV$71,FALSE))</f>
        <v>1000000</v>
      </c>
      <c r="AW89" s="53" t="str">
        <f>IF($A89="-","-",VLOOKUP($A89,[2]Controle!$A$6:$BP$215,AW$71,FALSE))</f>
        <v>-</v>
      </c>
      <c r="AX89" s="53" t="str">
        <f>IF($A89="-","-",VLOOKUP($A89,[2]Controle!$A$6:$BP$215,AX$71,FALSE))</f>
        <v>-</v>
      </c>
      <c r="AY89" s="53" t="str">
        <f>IF($A89="-","-",VLOOKUP($A89,[2]Controle!$A$6:$BP$215,AY$71,FALSE))</f>
        <v>-</v>
      </c>
      <c r="AZ89" s="53" t="str">
        <f>IF($A89="-","-",VLOOKUP($A89,[2]Controle!$A$6:$BP$215,AZ$71,FALSE))</f>
        <v>-</v>
      </c>
      <c r="BA89" s="53" t="str">
        <f>IF($A89="-","-",VLOOKUP($A89,[2]Controle!$A$6:$BP$215,BA$71,FALSE))</f>
        <v>-</v>
      </c>
      <c r="BB89" s="53" t="str">
        <f>IF($A89="-","-",VLOOKUP($A89,[2]Controle!$A$6:$BP$215,BB$71,FALSE))</f>
        <v>-</v>
      </c>
      <c r="BC89" s="53" t="str">
        <f>IF($A89="-","-",VLOOKUP($A89,[2]Controle!$A$6:$BP$215,BC$71,FALSE))</f>
        <v>-</v>
      </c>
      <c r="BD89" s="53" t="str">
        <f>IF($A89="-","-",VLOOKUP($A89,[2]Controle!$A$6:$BP$215,BD$71,FALSE))</f>
        <v>-</v>
      </c>
      <c r="BE89" s="53" t="str">
        <f>IF($A89="-","-",VLOOKUP($A89,[2]Controle!$A$6:$BP$215,BE$71,FALSE))</f>
        <v>-</v>
      </c>
      <c r="BF89" s="53" t="str">
        <f>IF($A89="-","-",VLOOKUP($A89,[2]Controle!$A$6:$BP$215,BF$71,FALSE))</f>
        <v>-</v>
      </c>
      <c r="BG89" s="53" t="str">
        <f>IF($A89="-","-",VLOOKUP($A89,[2]Controle!$A$6:$BP$215,BG$71,FALSE))</f>
        <v>-</v>
      </c>
      <c r="BH89" s="53" t="str">
        <f>IF($A89="-","-",VLOOKUP($A89,[2]Controle!$A$6:$BP$215,BH$71,FALSE))</f>
        <v>-</v>
      </c>
      <c r="BI89" s="53" t="str">
        <f>IF($A89="-","-",VLOOKUP($A89,[2]Controle!$A$6:$BP$215,BI$71,FALSE))</f>
        <v>-</v>
      </c>
      <c r="BJ89" s="53" t="str">
        <f>IF($A89="-","-",VLOOKUP($A89,[2]Controle!$A$6:$BP$215,BJ$71,FALSE))</f>
        <v>-</v>
      </c>
      <c r="BK89" s="53" t="str">
        <f>IF($A89="-","-",VLOOKUP($A89,[2]Controle!$A$6:$BP$215,BK$71,FALSE))</f>
        <v>-</v>
      </c>
      <c r="BL89" s="53" t="str">
        <f>IF($A89="-","-",VLOOKUP($A89,[2]Controle!$A$6:$BP$215,BL$71,FALSE))</f>
        <v>-</v>
      </c>
      <c r="BM89" s="53" t="str">
        <f>IF($A89="-","-",VLOOKUP($A89,[2]Controle!$A$6:$BP$215,BM$71,FALSE))</f>
        <v>-</v>
      </c>
      <c r="BN89" s="53" t="str">
        <f>IF($A89="-","-",VLOOKUP($A89,[2]Controle!$A$6:$BP$215,BN$71,FALSE))</f>
        <v>-</v>
      </c>
      <c r="BO89" s="53" t="str">
        <f>IF($A89="-","-",VLOOKUP($A89,[2]Controle!$A$6:$BP$215,BO$71,FALSE))</f>
        <v>-</v>
      </c>
      <c r="BP89" s="53" t="str">
        <f>IF($A89="-","-",VLOOKUP($A89,[2]Controle!$A$6:$BP$215,BP$71,FALSE))</f>
        <v>-</v>
      </c>
      <c r="CT89" s="41">
        <f>IF(CV89="-",0,MAX($CT$74:CT88)+1)</f>
        <v>0</v>
      </c>
      <c r="CU89" s="53" t="str">
        <f t="shared" ca="1" si="38"/>
        <v>VÁLIDO</v>
      </c>
      <c r="CV89" s="53" t="str">
        <f t="shared" si="33"/>
        <v>-</v>
      </c>
      <c r="CW89" s="53">
        <f t="shared" si="39"/>
        <v>119</v>
      </c>
      <c r="CY89" s="41" t="str">
        <f t="shared" si="35"/>
        <v>M</v>
      </c>
    </row>
    <row r="90" spans="1:103" x14ac:dyDescent="0.3">
      <c r="A90" s="56" t="s">
        <v>54</v>
      </c>
      <c r="B90" s="53" t="str">
        <f>IF($A90="-","-",VLOOKUP($A90,[2]Controle!$A$6:$BP$215,B$71,FALSE))</f>
        <v>-</v>
      </c>
      <c r="C90" s="53" t="str">
        <f>IF($A90="-","-",VLOOKUP($A90,[2]Controle!$A$6:$BP$215,C$71,FALSE))</f>
        <v>-</v>
      </c>
      <c r="D90" s="53" t="str">
        <f>IF($A90="-","-",VLOOKUP($A90,[2]Controle!$A$6:$BP$215,D$71,FALSE))</f>
        <v>-</v>
      </c>
      <c r="E90" s="53" t="str">
        <f>IF($A90="-","-",VLOOKUP($A90,[2]Controle!$A$6:$BP$215,E$71,FALSE))</f>
        <v>-</v>
      </c>
      <c r="F90" s="53" t="str">
        <f>IF($A90="-","-",VLOOKUP($A90,[2]Controle!$A$6:$BP$215,F$71,FALSE))</f>
        <v>-</v>
      </c>
      <c r="G90" s="54" t="str">
        <f>IF($A90="-","-",VLOOKUP($A90,[2]Controle!$A$6:$BP$215,G$71,FALSE))</f>
        <v>-</v>
      </c>
      <c r="H90" s="55" t="str">
        <f>IF($A90="-","-",VLOOKUP($A90,[2]Controle!$A$6:$BP$215,H$71,FALSE))</f>
        <v>-</v>
      </c>
      <c r="I90" s="53" t="str">
        <f>IF($A90="-","-",VLOOKUP($A90,[2]Controle!$A$6:$BP$215,I$71,FALSE))</f>
        <v>-</v>
      </c>
      <c r="J90" s="53" t="str">
        <f>IF($A90="-","-",VLOOKUP($A90,[2]Controle!$A$6:$BP$215,J$71,FALSE))</f>
        <v>-</v>
      </c>
      <c r="K90" s="53" t="str">
        <f>IF($A90="-","-",VLOOKUP($A90,[2]Controle!$A$6:$BP$215,K$71,FALSE))</f>
        <v>-</v>
      </c>
      <c r="L90" s="53" t="str">
        <f>IF($A90="-","-",VLOOKUP($A90,[2]Controle!$A$6:$BP$215,L$71,FALSE))</f>
        <v>-</v>
      </c>
      <c r="M90" s="53" t="str">
        <f>IF($A90="-","-",VLOOKUP($A90,[2]Controle!$A$6:$BP$215,M$71,FALSE))</f>
        <v>-</v>
      </c>
      <c r="N90" s="53" t="str">
        <f>IF($A90="-","-",VLOOKUP($A90,[2]Controle!$A$6:$BP$215,N$71,FALSE))</f>
        <v>-</v>
      </c>
      <c r="O90" s="53" t="str">
        <f>IF($A90="-","-",VLOOKUP($A90,[2]Controle!$A$6:$BP$215,O$71,FALSE))</f>
        <v>-</v>
      </c>
      <c r="P90" s="53" t="str">
        <f>IF($A90="-","-",VLOOKUP($A90,[2]Controle!$A$6:$BP$215,P$71,FALSE))</f>
        <v>-</v>
      </c>
      <c r="Q90" s="53" t="str">
        <f>IF($A90="-","-",VLOOKUP($A90,[2]Controle!$A$6:$BP$215,Q$71,FALSE))</f>
        <v>-</v>
      </c>
      <c r="R90" s="53" t="str">
        <f>IF($A90="-","-",VLOOKUP($A90,[2]Controle!$A$6:$BP$215,R$71,FALSE))</f>
        <v>-</v>
      </c>
      <c r="S90" s="53" t="str">
        <f>IF($A90="-","-",VLOOKUP($A90,[2]Controle!$A$6:$BP$215,S$71,FALSE))</f>
        <v>-</v>
      </c>
      <c r="T90" s="53" t="str">
        <f>IF($A90="-","-",VLOOKUP($A90,[2]Controle!$A$6:$BP$215,T$71,FALSE))</f>
        <v>-</v>
      </c>
      <c r="U90" s="53" t="str">
        <f>IF($A90="-","-",VLOOKUP($A90,[2]Controle!$A$6:$BP$215,U$71,FALSE))</f>
        <v>-</v>
      </c>
      <c r="V90" s="53" t="str">
        <f>IF($A90="-","-",VLOOKUP($A90,[2]Controle!$A$6:$BP$215,V$71,FALSE))</f>
        <v>-</v>
      </c>
      <c r="W90" s="53" t="str">
        <f>IF($A90="-","-",VLOOKUP($A90,[2]Controle!$A$6:$BP$215,W$71,FALSE))</f>
        <v>-</v>
      </c>
      <c r="X90" s="53" t="str">
        <f>IF($A90="-","-",VLOOKUP($A90,[2]Controle!$A$6:$BP$215,X$71,FALSE))</f>
        <v>-</v>
      </c>
      <c r="Y90" s="53" t="str">
        <f>IF($A90="-","-",VLOOKUP($A90,[2]Controle!$A$6:$BP$215,Y$71,FALSE))</f>
        <v>-</v>
      </c>
      <c r="Z90" s="53" t="str">
        <f>IF($A90="-","-",VLOOKUP($A90,[2]Controle!$A$6:$BP$215,Z$71,FALSE))</f>
        <v>-</v>
      </c>
      <c r="AA90" s="53" t="str">
        <f>IF($A90="-","-",VLOOKUP($A90,[2]Controle!$A$6:$BP$215,AA$71,FALSE))</f>
        <v>-</v>
      </c>
      <c r="AB90" s="53" t="str">
        <f>IF($A90="-","-",VLOOKUP($A90,[2]Controle!$A$6:$BP$215,AB$71,FALSE))</f>
        <v>-</v>
      </c>
      <c r="AC90" s="53" t="str">
        <f>IF($A90="-","-",VLOOKUP($A90,[2]Controle!$A$6:$BP$215,AC$71,FALSE))</f>
        <v>-</v>
      </c>
      <c r="AD90" s="53" t="str">
        <f>IF($A90="-","-",VLOOKUP($A90,[2]Controle!$A$6:$BP$215,AD$71,FALSE))</f>
        <v>-</v>
      </c>
      <c r="AE90" s="53" t="str">
        <f>IF($A90="-","-",VLOOKUP($A90,[2]Controle!$A$6:$BP$215,AE$71,FALSE))</f>
        <v>-</v>
      </c>
      <c r="AF90" s="53" t="str">
        <f>IF($A90="-","-",VLOOKUP($A90,[2]Controle!$A$6:$BP$215,AF$71,FALSE))</f>
        <v>-</v>
      </c>
      <c r="AG90" s="53" t="str">
        <f>IF($A90="-","-",VLOOKUP($A90,[2]Controle!$A$6:$BP$215,AG$71,FALSE))</f>
        <v>-</v>
      </c>
      <c r="AH90" s="53" t="str">
        <f>IF($A90="-","-",VLOOKUP($A90,[2]Controle!$A$6:$BP$215,AH$71,FALSE))</f>
        <v>-</v>
      </c>
      <c r="AI90" s="53" t="str">
        <f>IF($A90="-","-",VLOOKUP($A90,[2]Controle!$A$6:$BP$215,AI$71,FALSE))</f>
        <v>-</v>
      </c>
      <c r="AJ90" s="53" t="str">
        <f>IF($A90="-","-",VLOOKUP($A90,[2]Controle!$A$6:$BP$215,AJ$71,FALSE))</f>
        <v>-</v>
      </c>
      <c r="AK90" s="53" t="str">
        <f>IF($A90="-","-",VLOOKUP($A90,[2]Controle!$A$6:$BP$215,AK$71,FALSE))</f>
        <v>-</v>
      </c>
      <c r="AL90" s="53" t="str">
        <f>IF($A90="-","-",VLOOKUP($A90,[2]Controle!$A$6:$BP$215,AL$71,FALSE))</f>
        <v>-</v>
      </c>
      <c r="AM90" s="53" t="str">
        <f>IF($A90="-","-",VLOOKUP($A90,[2]Controle!$A$6:$BP$215,AM$71,FALSE))</f>
        <v>-</v>
      </c>
      <c r="AN90" s="53" t="str">
        <f>IF($A90="-","-",VLOOKUP($A90,[2]Controle!$A$6:$BP$215,AN$71,FALSE))</f>
        <v>-</v>
      </c>
      <c r="AO90" s="53" t="str">
        <f>IF($A90="-","-",VLOOKUP($A90,[2]Controle!$A$6:$BP$215,AO$71,FALSE))</f>
        <v>-</v>
      </c>
      <c r="AP90" s="53" t="str">
        <f>IF($A90="-","-",VLOOKUP($A90,[2]Controle!$A$6:$BP$215,AP$71,FALSE))</f>
        <v>-</v>
      </c>
      <c r="AQ90" s="53" t="str">
        <f>IF($A90="-","-",VLOOKUP($A90,[2]Controle!$A$6:$BP$215,AQ$71,FALSE))</f>
        <v>-</v>
      </c>
      <c r="AR90" s="53" t="str">
        <f>IF($A90="-","-",VLOOKUP($A90,[2]Controle!$A$6:$BP$215,AR$71,FALSE))</f>
        <v>-</v>
      </c>
      <c r="AS90" s="53" t="str">
        <f>IF($A90="-","-",VLOOKUP($A90,[2]Controle!$A$6:$BP$215,AS$71,FALSE))</f>
        <v>-</v>
      </c>
      <c r="AT90" s="53" t="str">
        <f>IF($A90="-","-",VLOOKUP($A90,[2]Controle!$A$6:$BP$215,AT$71,FALSE))</f>
        <v>-</v>
      </c>
      <c r="AU90" s="53" t="str">
        <f>IF($A90="-","-",VLOOKUP($A90,[2]Controle!$A$6:$BP$215,AU$71,FALSE))</f>
        <v>-</v>
      </c>
      <c r="AV90" s="53" t="str">
        <f>IF($A90="-","-",VLOOKUP($A90,[2]Controle!$A$6:$BP$215,AV$71,FALSE))</f>
        <v>-</v>
      </c>
      <c r="AW90" s="53" t="str">
        <f>IF($A90="-","-",VLOOKUP($A90,[2]Controle!$A$6:$BP$215,AW$71,FALSE))</f>
        <v>-</v>
      </c>
      <c r="AX90" s="53" t="str">
        <f>IF($A90="-","-",VLOOKUP($A90,[2]Controle!$A$6:$BP$215,AX$71,FALSE))</f>
        <v>-</v>
      </c>
      <c r="AY90" s="53" t="str">
        <f>IF($A90="-","-",VLOOKUP($A90,[2]Controle!$A$6:$BP$215,AY$71,FALSE))</f>
        <v>-</v>
      </c>
      <c r="AZ90" s="53" t="str">
        <f>IF($A90="-","-",VLOOKUP($A90,[2]Controle!$A$6:$BP$215,AZ$71,FALSE))</f>
        <v>-</v>
      </c>
      <c r="BA90" s="53" t="str">
        <f>IF($A90="-","-",VLOOKUP($A90,[2]Controle!$A$6:$BP$215,BA$71,FALSE))</f>
        <v>-</v>
      </c>
      <c r="BB90" s="53" t="str">
        <f>IF($A90="-","-",VLOOKUP($A90,[2]Controle!$A$6:$BP$215,BB$71,FALSE))</f>
        <v>-</v>
      </c>
      <c r="BC90" s="53" t="str">
        <f>IF($A90="-","-",VLOOKUP($A90,[2]Controle!$A$6:$BP$215,BC$71,FALSE))</f>
        <v>-</v>
      </c>
      <c r="BD90" s="53" t="str">
        <f>IF($A90="-","-",VLOOKUP($A90,[2]Controle!$A$6:$BP$215,BD$71,FALSE))</f>
        <v>-</v>
      </c>
      <c r="BE90" s="53" t="str">
        <f>IF($A90="-","-",VLOOKUP($A90,[2]Controle!$A$6:$BP$215,BE$71,FALSE))</f>
        <v>-</v>
      </c>
      <c r="BF90" s="53" t="str">
        <f>IF($A90="-","-",VLOOKUP($A90,[2]Controle!$A$6:$BP$215,BF$71,FALSE))</f>
        <v>-</v>
      </c>
      <c r="BG90" s="53" t="str">
        <f>IF($A90="-","-",VLOOKUP($A90,[2]Controle!$A$6:$BP$215,BG$71,FALSE))</f>
        <v>-</v>
      </c>
      <c r="BH90" s="53" t="str">
        <f>IF($A90="-","-",VLOOKUP($A90,[2]Controle!$A$6:$BP$215,BH$71,FALSE))</f>
        <v>-</v>
      </c>
      <c r="BI90" s="53" t="str">
        <f>IF($A90="-","-",VLOOKUP($A90,[2]Controle!$A$6:$BP$215,BI$71,FALSE))</f>
        <v>-</v>
      </c>
      <c r="BJ90" s="53" t="str">
        <f>IF($A90="-","-",VLOOKUP($A90,[2]Controle!$A$6:$BP$215,BJ$71,FALSE))</f>
        <v>-</v>
      </c>
      <c r="BK90" s="53" t="str">
        <f>IF($A90="-","-",VLOOKUP($A90,[2]Controle!$A$6:$BP$215,BK$71,FALSE))</f>
        <v>-</v>
      </c>
      <c r="BL90" s="53" t="str">
        <f>IF($A90="-","-",VLOOKUP($A90,[2]Controle!$A$6:$BP$215,BL$71,FALSE))</f>
        <v>-</v>
      </c>
      <c r="BM90" s="53" t="str">
        <f>IF($A90="-","-",VLOOKUP($A90,[2]Controle!$A$6:$BP$215,BM$71,FALSE))</f>
        <v>-</v>
      </c>
      <c r="BN90" s="53" t="str">
        <f>IF($A90="-","-",VLOOKUP($A90,[2]Controle!$A$6:$BP$215,BN$71,FALSE))</f>
        <v>-</v>
      </c>
      <c r="BO90" s="53" t="str">
        <f>IF($A90="-","-",VLOOKUP($A90,[2]Controle!$A$6:$BP$215,BO$71,FALSE))</f>
        <v>-</v>
      </c>
      <c r="BP90" s="53" t="str">
        <f>IF($A90="-","-",VLOOKUP($A90,[2]Controle!$A$6:$BP$215,BP$71,FALSE))</f>
        <v>-</v>
      </c>
      <c r="CT90" s="41">
        <f>IF(CV90="-",0,MAX($CT$74:CT89)+1)</f>
        <v>0</v>
      </c>
      <c r="CU90" s="53" t="str">
        <f t="shared" si="38"/>
        <v>-</v>
      </c>
      <c r="CV90" s="53" t="str">
        <f t="shared" si="33"/>
        <v>-</v>
      </c>
      <c r="CW90" s="53" t="str">
        <f t="shared" si="39"/>
        <v>-</v>
      </c>
      <c r="CY90" s="41" t="str">
        <f t="shared" si="35"/>
        <v>-</v>
      </c>
    </row>
    <row r="91" spans="1:103" x14ac:dyDescent="0.3">
      <c r="A91" s="56" t="s">
        <v>54</v>
      </c>
      <c r="B91" s="53" t="str">
        <f>IF($A91="-","-",VLOOKUP($A91,[2]Controle!$A$6:$BP$215,B$71,FALSE))</f>
        <v>-</v>
      </c>
      <c r="C91" s="53" t="str">
        <f>IF($A91="-","-",VLOOKUP($A91,[2]Controle!$A$6:$BP$215,C$71,FALSE))</f>
        <v>-</v>
      </c>
      <c r="D91" s="53" t="str">
        <f>IF($A91="-","-",VLOOKUP($A91,[2]Controle!$A$6:$BP$215,D$71,FALSE))</f>
        <v>-</v>
      </c>
      <c r="E91" s="53" t="str">
        <f>IF($A91="-","-",VLOOKUP($A91,[2]Controle!$A$6:$BP$215,E$71,FALSE))</f>
        <v>-</v>
      </c>
      <c r="F91" s="53" t="str">
        <f>IF($A91="-","-",VLOOKUP($A91,[2]Controle!$A$6:$BP$215,F$71,FALSE))</f>
        <v>-</v>
      </c>
      <c r="G91" s="54" t="str">
        <f>IF($A91="-","-",VLOOKUP($A91,[2]Controle!$A$6:$BP$215,G$71,FALSE))</f>
        <v>-</v>
      </c>
      <c r="H91" s="55" t="str">
        <f>IF($A91="-","-",VLOOKUP($A91,[2]Controle!$A$6:$BP$215,H$71,FALSE))</f>
        <v>-</v>
      </c>
      <c r="I91" s="53" t="str">
        <f>IF($A91="-","-",VLOOKUP($A91,[2]Controle!$A$6:$BP$215,I$71,FALSE))</f>
        <v>-</v>
      </c>
      <c r="J91" s="53" t="str">
        <f>IF($A91="-","-",VLOOKUP($A91,[2]Controle!$A$6:$BP$215,J$71,FALSE))</f>
        <v>-</v>
      </c>
      <c r="K91" s="53" t="str">
        <f>IF($A91="-","-",VLOOKUP($A91,[2]Controle!$A$6:$BP$215,K$71,FALSE))</f>
        <v>-</v>
      </c>
      <c r="L91" s="53" t="str">
        <f>IF($A91="-","-",VLOOKUP($A91,[2]Controle!$A$6:$BP$215,L$71,FALSE))</f>
        <v>-</v>
      </c>
      <c r="M91" s="53" t="str">
        <f>IF($A91="-","-",VLOOKUP($A91,[2]Controle!$A$6:$BP$215,M$71,FALSE))</f>
        <v>-</v>
      </c>
      <c r="N91" s="53" t="str">
        <f>IF($A91="-","-",VLOOKUP($A91,[2]Controle!$A$6:$BP$215,N$71,FALSE))</f>
        <v>-</v>
      </c>
      <c r="O91" s="53" t="str">
        <f>IF($A91="-","-",VLOOKUP($A91,[2]Controle!$A$6:$BP$215,O$71,FALSE))</f>
        <v>-</v>
      </c>
      <c r="P91" s="53" t="str">
        <f>IF($A91="-","-",VLOOKUP($A91,[2]Controle!$A$6:$BP$215,P$71,FALSE))</f>
        <v>-</v>
      </c>
      <c r="Q91" s="53" t="str">
        <f>IF($A91="-","-",VLOOKUP($A91,[2]Controle!$A$6:$BP$215,Q$71,FALSE))</f>
        <v>-</v>
      </c>
      <c r="R91" s="53" t="str">
        <f>IF($A91="-","-",VLOOKUP($A91,[2]Controle!$A$6:$BP$215,R$71,FALSE))</f>
        <v>-</v>
      </c>
      <c r="S91" s="53" t="str">
        <f>IF($A91="-","-",VLOOKUP($A91,[2]Controle!$A$6:$BP$215,S$71,FALSE))</f>
        <v>-</v>
      </c>
      <c r="T91" s="53" t="str">
        <f>IF($A91="-","-",VLOOKUP($A91,[2]Controle!$A$6:$BP$215,T$71,FALSE))</f>
        <v>-</v>
      </c>
      <c r="U91" s="53" t="str">
        <f>IF($A91="-","-",VLOOKUP($A91,[2]Controle!$A$6:$BP$215,U$71,FALSE))</f>
        <v>-</v>
      </c>
      <c r="V91" s="53" t="str">
        <f>IF($A91="-","-",VLOOKUP($A91,[2]Controle!$A$6:$BP$215,V$71,FALSE))</f>
        <v>-</v>
      </c>
      <c r="W91" s="53" t="str">
        <f>IF($A91="-","-",VLOOKUP($A91,[2]Controle!$A$6:$BP$215,W$71,FALSE))</f>
        <v>-</v>
      </c>
      <c r="X91" s="53" t="str">
        <f>IF($A91="-","-",VLOOKUP($A91,[2]Controle!$A$6:$BP$215,X$71,FALSE))</f>
        <v>-</v>
      </c>
      <c r="Y91" s="53" t="str">
        <f>IF($A91="-","-",VLOOKUP($A91,[2]Controle!$A$6:$BP$215,Y$71,FALSE))</f>
        <v>-</v>
      </c>
      <c r="Z91" s="53" t="str">
        <f>IF($A91="-","-",VLOOKUP($A91,[2]Controle!$A$6:$BP$215,Z$71,FALSE))</f>
        <v>-</v>
      </c>
      <c r="AA91" s="53" t="str">
        <f>IF($A91="-","-",VLOOKUP($A91,[2]Controle!$A$6:$BP$215,AA$71,FALSE))</f>
        <v>-</v>
      </c>
      <c r="AB91" s="53" t="str">
        <f>IF($A91="-","-",VLOOKUP($A91,[2]Controle!$A$6:$BP$215,AB$71,FALSE))</f>
        <v>-</v>
      </c>
      <c r="AC91" s="53" t="str">
        <f>IF($A91="-","-",VLOOKUP($A91,[2]Controle!$A$6:$BP$215,AC$71,FALSE))</f>
        <v>-</v>
      </c>
      <c r="AD91" s="53" t="str">
        <f>IF($A91="-","-",VLOOKUP($A91,[2]Controle!$A$6:$BP$215,AD$71,FALSE))</f>
        <v>-</v>
      </c>
      <c r="AE91" s="53" t="str">
        <f>IF($A91="-","-",VLOOKUP($A91,[2]Controle!$A$6:$BP$215,AE$71,FALSE))</f>
        <v>-</v>
      </c>
      <c r="AF91" s="53" t="str">
        <f>IF($A91="-","-",VLOOKUP($A91,[2]Controle!$A$6:$BP$215,AF$71,FALSE))</f>
        <v>-</v>
      </c>
      <c r="AG91" s="53" t="str">
        <f>IF($A91="-","-",VLOOKUP($A91,[2]Controle!$A$6:$BP$215,AG$71,FALSE))</f>
        <v>-</v>
      </c>
      <c r="AH91" s="53" t="str">
        <f>IF($A91="-","-",VLOOKUP($A91,[2]Controle!$A$6:$BP$215,AH$71,FALSE))</f>
        <v>-</v>
      </c>
      <c r="AI91" s="53" t="str">
        <f>IF($A91="-","-",VLOOKUP($A91,[2]Controle!$A$6:$BP$215,AI$71,FALSE))</f>
        <v>-</v>
      </c>
      <c r="AJ91" s="53" t="str">
        <f>IF($A91="-","-",VLOOKUP($A91,[2]Controle!$A$6:$BP$215,AJ$71,FALSE))</f>
        <v>-</v>
      </c>
      <c r="AK91" s="53" t="str">
        <f>IF($A91="-","-",VLOOKUP($A91,[2]Controle!$A$6:$BP$215,AK$71,FALSE))</f>
        <v>-</v>
      </c>
      <c r="AL91" s="53" t="str">
        <f>IF($A91="-","-",VLOOKUP($A91,[2]Controle!$A$6:$BP$215,AL$71,FALSE))</f>
        <v>-</v>
      </c>
      <c r="AM91" s="53" t="str">
        <f>IF($A91="-","-",VLOOKUP($A91,[2]Controle!$A$6:$BP$215,AM$71,FALSE))</f>
        <v>-</v>
      </c>
      <c r="AN91" s="53" t="str">
        <f>IF($A91="-","-",VLOOKUP($A91,[2]Controle!$A$6:$BP$215,AN$71,FALSE))</f>
        <v>-</v>
      </c>
      <c r="AO91" s="53" t="str">
        <f>IF($A91="-","-",VLOOKUP($A91,[2]Controle!$A$6:$BP$215,AO$71,FALSE))</f>
        <v>-</v>
      </c>
      <c r="AP91" s="53" t="str">
        <f>IF($A91="-","-",VLOOKUP($A91,[2]Controle!$A$6:$BP$215,AP$71,FALSE))</f>
        <v>-</v>
      </c>
      <c r="AQ91" s="53" t="str">
        <f>IF($A91="-","-",VLOOKUP($A91,[2]Controle!$A$6:$BP$215,AQ$71,FALSE))</f>
        <v>-</v>
      </c>
      <c r="AR91" s="53" t="str">
        <f>IF($A91="-","-",VLOOKUP($A91,[2]Controle!$A$6:$BP$215,AR$71,FALSE))</f>
        <v>-</v>
      </c>
      <c r="AS91" s="53" t="str">
        <f>IF($A91="-","-",VLOOKUP($A91,[2]Controle!$A$6:$BP$215,AS$71,FALSE))</f>
        <v>-</v>
      </c>
      <c r="AT91" s="53" t="str">
        <f>IF($A91="-","-",VLOOKUP($A91,[2]Controle!$A$6:$BP$215,AT$71,FALSE))</f>
        <v>-</v>
      </c>
      <c r="AU91" s="53" t="str">
        <f>IF($A91="-","-",VLOOKUP($A91,[2]Controle!$A$6:$BP$215,AU$71,FALSE))</f>
        <v>-</v>
      </c>
      <c r="AV91" s="53" t="str">
        <f>IF($A91="-","-",VLOOKUP($A91,[2]Controle!$A$6:$BP$215,AV$71,FALSE))</f>
        <v>-</v>
      </c>
      <c r="AW91" s="53" t="str">
        <f>IF($A91="-","-",VLOOKUP($A91,[2]Controle!$A$6:$BP$215,AW$71,FALSE))</f>
        <v>-</v>
      </c>
      <c r="AX91" s="53" t="str">
        <f>IF($A91="-","-",VLOOKUP($A91,[2]Controle!$A$6:$BP$215,AX$71,FALSE))</f>
        <v>-</v>
      </c>
      <c r="AY91" s="53" t="str">
        <f>IF($A91="-","-",VLOOKUP($A91,[2]Controle!$A$6:$BP$215,AY$71,FALSE))</f>
        <v>-</v>
      </c>
      <c r="AZ91" s="53" t="str">
        <f>IF($A91="-","-",VLOOKUP($A91,[2]Controle!$A$6:$BP$215,AZ$71,FALSE))</f>
        <v>-</v>
      </c>
      <c r="BA91" s="53" t="str">
        <f>IF($A91="-","-",VLOOKUP($A91,[2]Controle!$A$6:$BP$215,BA$71,FALSE))</f>
        <v>-</v>
      </c>
      <c r="BB91" s="53" t="str">
        <f>IF($A91="-","-",VLOOKUP($A91,[2]Controle!$A$6:$BP$215,BB$71,FALSE))</f>
        <v>-</v>
      </c>
      <c r="BC91" s="53" t="str">
        <f>IF($A91="-","-",VLOOKUP($A91,[2]Controle!$A$6:$BP$215,BC$71,FALSE))</f>
        <v>-</v>
      </c>
      <c r="BD91" s="53" t="str">
        <f>IF($A91="-","-",VLOOKUP($A91,[2]Controle!$A$6:$BP$215,BD$71,FALSE))</f>
        <v>-</v>
      </c>
      <c r="BE91" s="53" t="str">
        <f>IF($A91="-","-",VLOOKUP($A91,[2]Controle!$A$6:$BP$215,BE$71,FALSE))</f>
        <v>-</v>
      </c>
      <c r="BF91" s="53" t="str">
        <f>IF($A91="-","-",VLOOKUP($A91,[2]Controle!$A$6:$BP$215,BF$71,FALSE))</f>
        <v>-</v>
      </c>
      <c r="BG91" s="53" t="str">
        <f>IF($A91="-","-",VLOOKUP($A91,[2]Controle!$A$6:$BP$215,BG$71,FALSE))</f>
        <v>-</v>
      </c>
      <c r="BH91" s="53" t="str">
        <f>IF($A91="-","-",VLOOKUP($A91,[2]Controle!$A$6:$BP$215,BH$71,FALSE))</f>
        <v>-</v>
      </c>
      <c r="BI91" s="53" t="str">
        <f>IF($A91="-","-",VLOOKUP($A91,[2]Controle!$A$6:$BP$215,BI$71,FALSE))</f>
        <v>-</v>
      </c>
      <c r="BJ91" s="53" t="str">
        <f>IF($A91="-","-",VLOOKUP($A91,[2]Controle!$A$6:$BP$215,BJ$71,FALSE))</f>
        <v>-</v>
      </c>
      <c r="BK91" s="53" t="str">
        <f>IF($A91="-","-",VLOOKUP($A91,[2]Controle!$A$6:$BP$215,BK$71,FALSE))</f>
        <v>-</v>
      </c>
      <c r="BL91" s="53" t="str">
        <f>IF($A91="-","-",VLOOKUP($A91,[2]Controle!$A$6:$BP$215,BL$71,FALSE))</f>
        <v>-</v>
      </c>
      <c r="BM91" s="53" t="str">
        <f>IF($A91="-","-",VLOOKUP($A91,[2]Controle!$A$6:$BP$215,BM$71,FALSE))</f>
        <v>-</v>
      </c>
      <c r="BN91" s="53" t="str">
        <f>IF($A91="-","-",VLOOKUP($A91,[2]Controle!$A$6:$BP$215,BN$71,FALSE))</f>
        <v>-</v>
      </c>
      <c r="BO91" s="53" t="str">
        <f>IF($A91="-","-",VLOOKUP($A91,[2]Controle!$A$6:$BP$215,BO$71,FALSE))</f>
        <v>-</v>
      </c>
      <c r="BP91" s="53" t="str">
        <f>IF($A91="-","-",VLOOKUP($A91,[2]Controle!$A$6:$BP$215,BP$71,FALSE))</f>
        <v>-</v>
      </c>
      <c r="CT91" s="41">
        <f>IF(CV91="-",0,MAX($CT$74:CT90)+1)</f>
        <v>0</v>
      </c>
      <c r="CU91" s="53" t="str">
        <f t="shared" si="38"/>
        <v>-</v>
      </c>
      <c r="CV91" s="53" t="str">
        <f t="shared" si="33"/>
        <v>-</v>
      </c>
      <c r="CW91" s="53" t="str">
        <f t="shared" si="39"/>
        <v>-</v>
      </c>
      <c r="CY91" s="41" t="str">
        <f t="shared" si="35"/>
        <v>-</v>
      </c>
    </row>
    <row r="92" spans="1:103" x14ac:dyDescent="0.3">
      <c r="A92" s="56" t="s">
        <v>54</v>
      </c>
      <c r="B92" s="53" t="str">
        <f>IF($A92="-","-",VLOOKUP($A92,[2]Controle!$A$6:$BP$215,B$71,FALSE))</f>
        <v>-</v>
      </c>
      <c r="C92" s="53" t="str">
        <f>IF($A92="-","-",VLOOKUP($A92,[2]Controle!$A$6:$BP$215,C$71,FALSE))</f>
        <v>-</v>
      </c>
      <c r="D92" s="53" t="str">
        <f>IF($A92="-","-",VLOOKUP($A92,[2]Controle!$A$6:$BP$215,D$71,FALSE))</f>
        <v>-</v>
      </c>
      <c r="E92" s="53" t="str">
        <f>IF($A92="-","-",VLOOKUP($A92,[2]Controle!$A$6:$BP$215,E$71,FALSE))</f>
        <v>-</v>
      </c>
      <c r="F92" s="53" t="str">
        <f>IF($A92="-","-",VLOOKUP($A92,[2]Controle!$A$6:$BP$215,F$71,FALSE))</f>
        <v>-</v>
      </c>
      <c r="G92" s="54" t="str">
        <f>IF($A92="-","-",VLOOKUP($A92,[2]Controle!$A$6:$BP$215,G$71,FALSE))</f>
        <v>-</v>
      </c>
      <c r="H92" s="55" t="str">
        <f>IF($A92="-","-",VLOOKUP($A92,[2]Controle!$A$6:$BP$215,H$71,FALSE))</f>
        <v>-</v>
      </c>
      <c r="I92" s="53" t="str">
        <f>IF($A92="-","-",VLOOKUP($A92,[2]Controle!$A$6:$BP$215,I$71,FALSE))</f>
        <v>-</v>
      </c>
      <c r="J92" s="53" t="str">
        <f>IF($A92="-","-",VLOOKUP($A92,[2]Controle!$A$6:$BP$215,J$71,FALSE))</f>
        <v>-</v>
      </c>
      <c r="K92" s="53" t="str">
        <f>IF($A92="-","-",VLOOKUP($A92,[2]Controle!$A$6:$BP$215,K$71,FALSE))</f>
        <v>-</v>
      </c>
      <c r="L92" s="53" t="str">
        <f>IF($A92="-","-",VLOOKUP($A92,[2]Controle!$A$6:$BP$215,L$71,FALSE))</f>
        <v>-</v>
      </c>
      <c r="M92" s="53" t="str">
        <f>IF($A92="-","-",VLOOKUP($A92,[2]Controle!$A$6:$BP$215,M$71,FALSE))</f>
        <v>-</v>
      </c>
      <c r="N92" s="53" t="str">
        <f>IF($A92="-","-",VLOOKUP($A92,[2]Controle!$A$6:$BP$215,N$71,FALSE))</f>
        <v>-</v>
      </c>
      <c r="O92" s="53" t="str">
        <f>IF($A92="-","-",VLOOKUP($A92,[2]Controle!$A$6:$BP$215,O$71,FALSE))</f>
        <v>-</v>
      </c>
      <c r="P92" s="53" t="str">
        <f>IF($A92="-","-",VLOOKUP($A92,[2]Controle!$A$6:$BP$215,P$71,FALSE))</f>
        <v>-</v>
      </c>
      <c r="Q92" s="53" t="str">
        <f>IF($A92="-","-",VLOOKUP($A92,[2]Controle!$A$6:$BP$215,Q$71,FALSE))</f>
        <v>-</v>
      </c>
      <c r="R92" s="53" t="str">
        <f>IF($A92="-","-",VLOOKUP($A92,[2]Controle!$A$6:$BP$215,R$71,FALSE))</f>
        <v>-</v>
      </c>
      <c r="S92" s="53" t="str">
        <f>IF($A92="-","-",VLOOKUP($A92,[2]Controle!$A$6:$BP$215,S$71,FALSE))</f>
        <v>-</v>
      </c>
      <c r="T92" s="53" t="str">
        <f>IF($A92="-","-",VLOOKUP($A92,[2]Controle!$A$6:$BP$215,T$71,FALSE))</f>
        <v>-</v>
      </c>
      <c r="U92" s="53" t="str">
        <f>IF($A92="-","-",VLOOKUP($A92,[2]Controle!$A$6:$BP$215,U$71,FALSE))</f>
        <v>-</v>
      </c>
      <c r="V92" s="53" t="str">
        <f>IF($A92="-","-",VLOOKUP($A92,[2]Controle!$A$6:$BP$215,V$71,FALSE))</f>
        <v>-</v>
      </c>
      <c r="W92" s="53" t="str">
        <f>IF($A92="-","-",VLOOKUP($A92,[2]Controle!$A$6:$BP$215,W$71,FALSE))</f>
        <v>-</v>
      </c>
      <c r="X92" s="53" t="str">
        <f>IF($A92="-","-",VLOOKUP($A92,[2]Controle!$A$6:$BP$215,X$71,FALSE))</f>
        <v>-</v>
      </c>
      <c r="Y92" s="53" t="str">
        <f>IF($A92="-","-",VLOOKUP($A92,[2]Controle!$A$6:$BP$215,Y$71,FALSE))</f>
        <v>-</v>
      </c>
      <c r="Z92" s="53" t="str">
        <f>IF($A92="-","-",VLOOKUP($A92,[2]Controle!$A$6:$BP$215,Z$71,FALSE))</f>
        <v>-</v>
      </c>
      <c r="AA92" s="53" t="str">
        <f>IF($A92="-","-",VLOOKUP($A92,[2]Controle!$A$6:$BP$215,AA$71,FALSE))</f>
        <v>-</v>
      </c>
      <c r="AB92" s="53" t="str">
        <f>IF($A92="-","-",VLOOKUP($A92,[2]Controle!$A$6:$BP$215,AB$71,FALSE))</f>
        <v>-</v>
      </c>
      <c r="AC92" s="53" t="str">
        <f>IF($A92="-","-",VLOOKUP($A92,[2]Controle!$A$6:$BP$215,AC$71,FALSE))</f>
        <v>-</v>
      </c>
      <c r="AD92" s="53" t="str">
        <f>IF($A92="-","-",VLOOKUP($A92,[2]Controle!$A$6:$BP$215,AD$71,FALSE))</f>
        <v>-</v>
      </c>
      <c r="AE92" s="53" t="str">
        <f>IF($A92="-","-",VLOOKUP($A92,[2]Controle!$A$6:$BP$215,AE$71,FALSE))</f>
        <v>-</v>
      </c>
      <c r="AF92" s="53" t="str">
        <f>IF($A92="-","-",VLOOKUP($A92,[2]Controle!$A$6:$BP$215,AF$71,FALSE))</f>
        <v>-</v>
      </c>
      <c r="AG92" s="53" t="str">
        <f>IF($A92="-","-",VLOOKUP($A92,[2]Controle!$A$6:$BP$215,AG$71,FALSE))</f>
        <v>-</v>
      </c>
      <c r="AH92" s="53" t="str">
        <f>IF($A92="-","-",VLOOKUP($A92,[2]Controle!$A$6:$BP$215,AH$71,FALSE))</f>
        <v>-</v>
      </c>
      <c r="AI92" s="53" t="str">
        <f>IF($A92="-","-",VLOOKUP($A92,[2]Controle!$A$6:$BP$215,AI$71,FALSE))</f>
        <v>-</v>
      </c>
      <c r="AJ92" s="53" t="str">
        <f>IF($A92="-","-",VLOOKUP($A92,[2]Controle!$A$6:$BP$215,AJ$71,FALSE))</f>
        <v>-</v>
      </c>
      <c r="AK92" s="53" t="str">
        <f>IF($A92="-","-",VLOOKUP($A92,[2]Controle!$A$6:$BP$215,AK$71,FALSE))</f>
        <v>-</v>
      </c>
      <c r="AL92" s="53" t="str">
        <f>IF($A92="-","-",VLOOKUP($A92,[2]Controle!$A$6:$BP$215,AL$71,FALSE))</f>
        <v>-</v>
      </c>
      <c r="AM92" s="53" t="str">
        <f>IF($A92="-","-",VLOOKUP($A92,[2]Controle!$A$6:$BP$215,AM$71,FALSE))</f>
        <v>-</v>
      </c>
      <c r="AN92" s="53" t="str">
        <f>IF($A92="-","-",VLOOKUP($A92,[2]Controle!$A$6:$BP$215,AN$71,FALSE))</f>
        <v>-</v>
      </c>
      <c r="AO92" s="53" t="str">
        <f>IF($A92="-","-",VLOOKUP($A92,[2]Controle!$A$6:$BP$215,AO$71,FALSE))</f>
        <v>-</v>
      </c>
      <c r="AP92" s="53" t="str">
        <f>IF($A92="-","-",VLOOKUP($A92,[2]Controle!$A$6:$BP$215,AP$71,FALSE))</f>
        <v>-</v>
      </c>
      <c r="AQ92" s="53" t="str">
        <f>IF($A92="-","-",VLOOKUP($A92,[2]Controle!$A$6:$BP$215,AQ$71,FALSE))</f>
        <v>-</v>
      </c>
      <c r="AR92" s="53" t="str">
        <f>IF($A92="-","-",VLOOKUP($A92,[2]Controle!$A$6:$BP$215,AR$71,FALSE))</f>
        <v>-</v>
      </c>
      <c r="AS92" s="53" t="str">
        <f>IF($A92="-","-",VLOOKUP($A92,[2]Controle!$A$6:$BP$215,AS$71,FALSE))</f>
        <v>-</v>
      </c>
      <c r="AT92" s="53" t="str">
        <f>IF($A92="-","-",VLOOKUP($A92,[2]Controle!$A$6:$BP$215,AT$71,FALSE))</f>
        <v>-</v>
      </c>
      <c r="AU92" s="53" t="str">
        <f>IF($A92="-","-",VLOOKUP($A92,[2]Controle!$A$6:$BP$215,AU$71,FALSE))</f>
        <v>-</v>
      </c>
      <c r="AV92" s="53" t="str">
        <f>IF($A92="-","-",VLOOKUP($A92,[2]Controle!$A$6:$BP$215,AV$71,FALSE))</f>
        <v>-</v>
      </c>
      <c r="AW92" s="53" t="str">
        <f>IF($A92="-","-",VLOOKUP($A92,[2]Controle!$A$6:$BP$215,AW$71,FALSE))</f>
        <v>-</v>
      </c>
      <c r="AX92" s="53" t="str">
        <f>IF($A92="-","-",VLOOKUP($A92,[2]Controle!$A$6:$BP$215,AX$71,FALSE))</f>
        <v>-</v>
      </c>
      <c r="AY92" s="53" t="str">
        <f>IF($A92="-","-",VLOOKUP($A92,[2]Controle!$A$6:$BP$215,AY$71,FALSE))</f>
        <v>-</v>
      </c>
      <c r="AZ92" s="53" t="str">
        <f>IF($A92="-","-",VLOOKUP($A92,[2]Controle!$A$6:$BP$215,AZ$71,FALSE))</f>
        <v>-</v>
      </c>
      <c r="BA92" s="53" t="str">
        <f>IF($A92="-","-",VLOOKUP($A92,[2]Controle!$A$6:$BP$215,BA$71,FALSE))</f>
        <v>-</v>
      </c>
      <c r="BB92" s="53" t="str">
        <f>IF($A92="-","-",VLOOKUP($A92,[2]Controle!$A$6:$BP$215,BB$71,FALSE))</f>
        <v>-</v>
      </c>
      <c r="BC92" s="53" t="str">
        <f>IF($A92="-","-",VLOOKUP($A92,[2]Controle!$A$6:$BP$215,BC$71,FALSE))</f>
        <v>-</v>
      </c>
      <c r="BD92" s="53" t="str">
        <f>IF($A92="-","-",VLOOKUP($A92,[2]Controle!$A$6:$BP$215,BD$71,FALSE))</f>
        <v>-</v>
      </c>
      <c r="BE92" s="53" t="str">
        <f>IF($A92="-","-",VLOOKUP($A92,[2]Controle!$A$6:$BP$215,BE$71,FALSE))</f>
        <v>-</v>
      </c>
      <c r="BF92" s="53" t="str">
        <f>IF($A92="-","-",VLOOKUP($A92,[2]Controle!$A$6:$BP$215,BF$71,FALSE))</f>
        <v>-</v>
      </c>
      <c r="BG92" s="53" t="str">
        <f>IF($A92="-","-",VLOOKUP($A92,[2]Controle!$A$6:$BP$215,BG$71,FALSE))</f>
        <v>-</v>
      </c>
      <c r="BH92" s="53" t="str">
        <f>IF($A92="-","-",VLOOKUP($A92,[2]Controle!$A$6:$BP$215,BH$71,FALSE))</f>
        <v>-</v>
      </c>
      <c r="BI92" s="53" t="str">
        <f>IF($A92="-","-",VLOOKUP($A92,[2]Controle!$A$6:$BP$215,BI$71,FALSE))</f>
        <v>-</v>
      </c>
      <c r="BJ92" s="53" t="str">
        <f>IF($A92="-","-",VLOOKUP($A92,[2]Controle!$A$6:$BP$215,BJ$71,FALSE))</f>
        <v>-</v>
      </c>
      <c r="BK92" s="53" t="str">
        <f>IF($A92="-","-",VLOOKUP($A92,[2]Controle!$A$6:$BP$215,BK$71,FALSE))</f>
        <v>-</v>
      </c>
      <c r="BL92" s="53" t="str">
        <f>IF($A92="-","-",VLOOKUP($A92,[2]Controle!$A$6:$BP$215,BL$71,FALSE))</f>
        <v>-</v>
      </c>
      <c r="BM92" s="53" t="str">
        <f>IF($A92="-","-",VLOOKUP($A92,[2]Controle!$A$6:$BP$215,BM$71,FALSE))</f>
        <v>-</v>
      </c>
      <c r="BN92" s="53" t="str">
        <f>IF($A92="-","-",VLOOKUP($A92,[2]Controle!$A$6:$BP$215,BN$71,FALSE))</f>
        <v>-</v>
      </c>
      <c r="BO92" s="53" t="str">
        <f>IF($A92="-","-",VLOOKUP($A92,[2]Controle!$A$6:$BP$215,BO$71,FALSE))</f>
        <v>-</v>
      </c>
      <c r="BP92" s="53" t="str">
        <f>IF($A92="-","-",VLOOKUP($A92,[2]Controle!$A$6:$BP$215,BP$71,FALSE))</f>
        <v>-</v>
      </c>
      <c r="CT92" s="41">
        <f>IF(CV92="-",0,MAX($CT$74:CT91)+1)</f>
        <v>0</v>
      </c>
      <c r="CU92" s="53" t="str">
        <f t="shared" si="38"/>
        <v>-</v>
      </c>
      <c r="CV92" s="53" t="str">
        <f t="shared" si="33"/>
        <v>-</v>
      </c>
      <c r="CW92" s="53" t="str">
        <f t="shared" si="39"/>
        <v>-</v>
      </c>
      <c r="CY92" s="41" t="str">
        <f t="shared" si="35"/>
        <v>-</v>
      </c>
    </row>
    <row r="93" spans="1:103" x14ac:dyDescent="0.3">
      <c r="A93" s="56" t="s">
        <v>54</v>
      </c>
      <c r="B93" s="53" t="str">
        <f>IF($A93="-","-",VLOOKUP($A93,[2]Controle!$A$6:$BP$215,B$71,FALSE))</f>
        <v>-</v>
      </c>
      <c r="C93" s="53" t="str">
        <f>IF($A93="-","-",VLOOKUP($A93,[2]Controle!$A$6:$BP$215,C$71,FALSE))</f>
        <v>-</v>
      </c>
      <c r="D93" s="53" t="str">
        <f>IF($A93="-","-",VLOOKUP($A93,[2]Controle!$A$6:$BP$215,D$71,FALSE))</f>
        <v>-</v>
      </c>
      <c r="E93" s="53" t="str">
        <f>IF($A93="-","-",VLOOKUP($A93,[2]Controle!$A$6:$BP$215,E$71,FALSE))</f>
        <v>-</v>
      </c>
      <c r="F93" s="53" t="str">
        <f>IF($A93="-","-",VLOOKUP($A93,[2]Controle!$A$6:$BP$215,F$71,FALSE))</f>
        <v>-</v>
      </c>
      <c r="G93" s="54" t="str">
        <f>IF($A93="-","-",VLOOKUP($A93,[2]Controle!$A$6:$BP$215,G$71,FALSE))</f>
        <v>-</v>
      </c>
      <c r="H93" s="55" t="str">
        <f>IF($A93="-","-",VLOOKUP($A93,[2]Controle!$A$6:$BP$215,H$71,FALSE))</f>
        <v>-</v>
      </c>
      <c r="I93" s="53" t="str">
        <f>IF($A93="-","-",VLOOKUP($A93,[2]Controle!$A$6:$BP$215,I$71,FALSE))</f>
        <v>-</v>
      </c>
      <c r="J93" s="53" t="str">
        <f>IF($A93="-","-",VLOOKUP($A93,[2]Controle!$A$6:$BP$215,J$71,FALSE))</f>
        <v>-</v>
      </c>
      <c r="K93" s="53" t="str">
        <f>IF($A93="-","-",VLOOKUP($A93,[2]Controle!$A$6:$BP$215,K$71,FALSE))</f>
        <v>-</v>
      </c>
      <c r="L93" s="53" t="str">
        <f>IF($A93="-","-",VLOOKUP($A93,[2]Controle!$A$6:$BP$215,L$71,FALSE))</f>
        <v>-</v>
      </c>
      <c r="M93" s="53" t="str">
        <f>IF($A93="-","-",VLOOKUP($A93,[2]Controle!$A$6:$BP$215,M$71,FALSE))</f>
        <v>-</v>
      </c>
      <c r="N93" s="53" t="str">
        <f>IF($A93="-","-",VLOOKUP($A93,[2]Controle!$A$6:$BP$215,N$71,FALSE))</f>
        <v>-</v>
      </c>
      <c r="O93" s="53" t="str">
        <f>IF($A93="-","-",VLOOKUP($A93,[2]Controle!$A$6:$BP$215,O$71,FALSE))</f>
        <v>-</v>
      </c>
      <c r="P93" s="53" t="str">
        <f>IF($A93="-","-",VLOOKUP($A93,[2]Controle!$A$6:$BP$215,P$71,FALSE))</f>
        <v>-</v>
      </c>
      <c r="Q93" s="53" t="str">
        <f>IF($A93="-","-",VLOOKUP($A93,[2]Controle!$A$6:$BP$215,Q$71,FALSE))</f>
        <v>-</v>
      </c>
      <c r="R93" s="53" t="str">
        <f>IF($A93="-","-",VLOOKUP($A93,[2]Controle!$A$6:$BP$215,R$71,FALSE))</f>
        <v>-</v>
      </c>
      <c r="S93" s="53" t="str">
        <f>IF($A93="-","-",VLOOKUP($A93,[2]Controle!$A$6:$BP$215,S$71,FALSE))</f>
        <v>-</v>
      </c>
      <c r="T93" s="53" t="str">
        <f>IF($A93="-","-",VLOOKUP($A93,[2]Controle!$A$6:$BP$215,T$71,FALSE))</f>
        <v>-</v>
      </c>
      <c r="U93" s="53" t="str">
        <f>IF($A93="-","-",VLOOKUP($A93,[2]Controle!$A$6:$BP$215,U$71,FALSE))</f>
        <v>-</v>
      </c>
      <c r="V93" s="53" t="str">
        <f>IF($A93="-","-",VLOOKUP($A93,[2]Controle!$A$6:$BP$215,V$71,FALSE))</f>
        <v>-</v>
      </c>
      <c r="W93" s="53" t="str">
        <f>IF($A93="-","-",VLOOKUP($A93,[2]Controle!$A$6:$BP$215,W$71,FALSE))</f>
        <v>-</v>
      </c>
      <c r="X93" s="53" t="str">
        <f>IF($A93="-","-",VLOOKUP($A93,[2]Controle!$A$6:$BP$215,X$71,FALSE))</f>
        <v>-</v>
      </c>
      <c r="Y93" s="53" t="str">
        <f>IF($A93="-","-",VLOOKUP($A93,[2]Controle!$A$6:$BP$215,Y$71,FALSE))</f>
        <v>-</v>
      </c>
      <c r="Z93" s="53" t="str">
        <f>IF($A93="-","-",VLOOKUP($A93,[2]Controle!$A$6:$BP$215,Z$71,FALSE))</f>
        <v>-</v>
      </c>
      <c r="AA93" s="53" t="str">
        <f>IF($A93="-","-",VLOOKUP($A93,[2]Controle!$A$6:$BP$215,AA$71,FALSE))</f>
        <v>-</v>
      </c>
      <c r="AB93" s="53" t="str">
        <f>IF($A93="-","-",VLOOKUP($A93,[2]Controle!$A$6:$BP$215,AB$71,FALSE))</f>
        <v>-</v>
      </c>
      <c r="AC93" s="53" t="str">
        <f>IF($A93="-","-",VLOOKUP($A93,[2]Controle!$A$6:$BP$215,AC$71,FALSE))</f>
        <v>-</v>
      </c>
      <c r="AD93" s="53" t="str">
        <f>IF($A93="-","-",VLOOKUP($A93,[2]Controle!$A$6:$BP$215,AD$71,FALSE))</f>
        <v>-</v>
      </c>
      <c r="AE93" s="53" t="str">
        <f>IF($A93="-","-",VLOOKUP($A93,[2]Controle!$A$6:$BP$215,AE$71,FALSE))</f>
        <v>-</v>
      </c>
      <c r="AF93" s="53" t="str">
        <f>IF($A93="-","-",VLOOKUP($A93,[2]Controle!$A$6:$BP$215,AF$71,FALSE))</f>
        <v>-</v>
      </c>
      <c r="AG93" s="53" t="str">
        <f>IF($A93="-","-",VLOOKUP($A93,[2]Controle!$A$6:$BP$215,AG$71,FALSE))</f>
        <v>-</v>
      </c>
      <c r="AH93" s="53" t="str">
        <f>IF($A93="-","-",VLOOKUP($A93,[2]Controle!$A$6:$BP$215,AH$71,FALSE))</f>
        <v>-</v>
      </c>
      <c r="AI93" s="53" t="str">
        <f>IF($A93="-","-",VLOOKUP($A93,[2]Controle!$A$6:$BP$215,AI$71,FALSE))</f>
        <v>-</v>
      </c>
      <c r="AJ93" s="53" t="str">
        <f>IF($A93="-","-",VLOOKUP($A93,[2]Controle!$A$6:$BP$215,AJ$71,FALSE))</f>
        <v>-</v>
      </c>
      <c r="AK93" s="53" t="str">
        <f>IF($A93="-","-",VLOOKUP($A93,[2]Controle!$A$6:$BP$215,AK$71,FALSE))</f>
        <v>-</v>
      </c>
      <c r="AL93" s="53" t="str">
        <f>IF($A93="-","-",VLOOKUP($A93,[2]Controle!$A$6:$BP$215,AL$71,FALSE))</f>
        <v>-</v>
      </c>
      <c r="AM93" s="53" t="str">
        <f>IF($A93="-","-",VLOOKUP($A93,[2]Controle!$A$6:$BP$215,AM$71,FALSE))</f>
        <v>-</v>
      </c>
      <c r="AN93" s="53" t="str">
        <f>IF($A93="-","-",VLOOKUP($A93,[2]Controle!$A$6:$BP$215,AN$71,FALSE))</f>
        <v>-</v>
      </c>
      <c r="AO93" s="53" t="str">
        <f>IF($A93="-","-",VLOOKUP($A93,[2]Controle!$A$6:$BP$215,AO$71,FALSE))</f>
        <v>-</v>
      </c>
      <c r="AP93" s="53" t="str">
        <f>IF($A93="-","-",VLOOKUP($A93,[2]Controle!$A$6:$BP$215,AP$71,FALSE))</f>
        <v>-</v>
      </c>
      <c r="AQ93" s="53" t="str">
        <f>IF($A93="-","-",VLOOKUP($A93,[2]Controle!$A$6:$BP$215,AQ$71,FALSE))</f>
        <v>-</v>
      </c>
      <c r="AR93" s="53" t="str">
        <f>IF($A93="-","-",VLOOKUP($A93,[2]Controle!$A$6:$BP$215,AR$71,FALSE))</f>
        <v>-</v>
      </c>
      <c r="AS93" s="53" t="str">
        <f>IF($A93="-","-",VLOOKUP($A93,[2]Controle!$A$6:$BP$215,AS$71,FALSE))</f>
        <v>-</v>
      </c>
      <c r="AT93" s="53" t="str">
        <f>IF($A93="-","-",VLOOKUP($A93,[2]Controle!$A$6:$BP$215,AT$71,FALSE))</f>
        <v>-</v>
      </c>
      <c r="AU93" s="53" t="str">
        <f>IF($A93="-","-",VLOOKUP($A93,[2]Controle!$A$6:$BP$215,AU$71,FALSE))</f>
        <v>-</v>
      </c>
      <c r="AV93" s="53" t="str">
        <f>IF($A93="-","-",VLOOKUP($A93,[2]Controle!$A$6:$BP$215,AV$71,FALSE))</f>
        <v>-</v>
      </c>
      <c r="AW93" s="53" t="str">
        <f>IF($A93="-","-",VLOOKUP($A93,[2]Controle!$A$6:$BP$215,AW$71,FALSE))</f>
        <v>-</v>
      </c>
      <c r="AX93" s="53" t="str">
        <f>IF($A93="-","-",VLOOKUP($A93,[2]Controle!$A$6:$BP$215,AX$71,FALSE))</f>
        <v>-</v>
      </c>
      <c r="AY93" s="53" t="str">
        <f>IF($A93="-","-",VLOOKUP($A93,[2]Controle!$A$6:$BP$215,AY$71,FALSE))</f>
        <v>-</v>
      </c>
      <c r="AZ93" s="53" t="str">
        <f>IF($A93="-","-",VLOOKUP($A93,[2]Controle!$A$6:$BP$215,AZ$71,FALSE))</f>
        <v>-</v>
      </c>
      <c r="BA93" s="53" t="str">
        <f>IF($A93="-","-",VLOOKUP($A93,[2]Controle!$A$6:$BP$215,BA$71,FALSE))</f>
        <v>-</v>
      </c>
      <c r="BB93" s="53" t="str">
        <f>IF($A93="-","-",VLOOKUP($A93,[2]Controle!$A$6:$BP$215,BB$71,FALSE))</f>
        <v>-</v>
      </c>
      <c r="BC93" s="53" t="str">
        <f>IF($A93="-","-",VLOOKUP($A93,[2]Controle!$A$6:$BP$215,BC$71,FALSE))</f>
        <v>-</v>
      </c>
      <c r="BD93" s="53" t="str">
        <f>IF($A93="-","-",VLOOKUP($A93,[2]Controle!$A$6:$BP$215,BD$71,FALSE))</f>
        <v>-</v>
      </c>
      <c r="BE93" s="53" t="str">
        <f>IF($A93="-","-",VLOOKUP($A93,[2]Controle!$A$6:$BP$215,BE$71,FALSE))</f>
        <v>-</v>
      </c>
      <c r="BF93" s="53" t="str">
        <f>IF($A93="-","-",VLOOKUP($A93,[2]Controle!$A$6:$BP$215,BF$71,FALSE))</f>
        <v>-</v>
      </c>
      <c r="BG93" s="53" t="str">
        <f>IF($A93="-","-",VLOOKUP($A93,[2]Controle!$A$6:$BP$215,BG$71,FALSE))</f>
        <v>-</v>
      </c>
      <c r="BH93" s="53" t="str">
        <f>IF($A93="-","-",VLOOKUP($A93,[2]Controle!$A$6:$BP$215,BH$71,FALSE))</f>
        <v>-</v>
      </c>
      <c r="BI93" s="53" t="str">
        <f>IF($A93="-","-",VLOOKUP($A93,[2]Controle!$A$6:$BP$215,BI$71,FALSE))</f>
        <v>-</v>
      </c>
      <c r="BJ93" s="53" t="str">
        <f>IF($A93="-","-",VLOOKUP($A93,[2]Controle!$A$6:$BP$215,BJ$71,FALSE))</f>
        <v>-</v>
      </c>
      <c r="BK93" s="53" t="str">
        <f>IF($A93="-","-",VLOOKUP($A93,[2]Controle!$A$6:$BP$215,BK$71,FALSE))</f>
        <v>-</v>
      </c>
      <c r="BL93" s="53" t="str">
        <f>IF($A93="-","-",VLOOKUP($A93,[2]Controle!$A$6:$BP$215,BL$71,FALSE))</f>
        <v>-</v>
      </c>
      <c r="BM93" s="53" t="str">
        <f>IF($A93="-","-",VLOOKUP($A93,[2]Controle!$A$6:$BP$215,BM$71,FALSE))</f>
        <v>-</v>
      </c>
      <c r="BN93" s="53" t="str">
        <f>IF($A93="-","-",VLOOKUP($A93,[2]Controle!$A$6:$BP$215,BN$71,FALSE))</f>
        <v>-</v>
      </c>
      <c r="BO93" s="53" t="str">
        <f>IF($A93="-","-",VLOOKUP($A93,[2]Controle!$A$6:$BP$215,BO$71,FALSE))</f>
        <v>-</v>
      </c>
      <c r="BP93" s="53" t="str">
        <f>IF($A93="-","-",VLOOKUP($A93,[2]Controle!$A$6:$BP$215,BP$71,FALSE))</f>
        <v>-</v>
      </c>
      <c r="CT93" s="41">
        <f>IF(CV93="-",0,MAX($CT$74:CT92)+1)</f>
        <v>0</v>
      </c>
      <c r="CU93" s="53" t="str">
        <f t="shared" si="38"/>
        <v>-</v>
      </c>
      <c r="CV93" s="53" t="str">
        <f t="shared" si="33"/>
        <v>-</v>
      </c>
      <c r="CW93" s="53" t="str">
        <f t="shared" si="39"/>
        <v>-</v>
      </c>
      <c r="CY93" s="41" t="str">
        <f t="shared" si="35"/>
        <v>-</v>
      </c>
    </row>
    <row r="94" spans="1:103" s="44" customFormat="1" x14ac:dyDescent="0.3">
      <c r="A94" s="43">
        <v>1</v>
      </c>
      <c r="B94" s="44">
        <f t="shared" ref="B94:BM94" si="40">A94+1</f>
        <v>2</v>
      </c>
      <c r="C94" s="44">
        <f t="shared" si="40"/>
        <v>3</v>
      </c>
      <c r="D94" s="44">
        <f t="shared" si="40"/>
        <v>4</v>
      </c>
      <c r="E94" s="44">
        <f t="shared" si="40"/>
        <v>5</v>
      </c>
      <c r="F94" s="44">
        <f t="shared" si="40"/>
        <v>6</v>
      </c>
      <c r="G94" s="44">
        <f t="shared" si="40"/>
        <v>7</v>
      </c>
      <c r="H94" s="44">
        <f t="shared" si="40"/>
        <v>8</v>
      </c>
      <c r="I94" s="44">
        <f t="shared" si="40"/>
        <v>9</v>
      </c>
      <c r="J94" s="44">
        <f t="shared" si="40"/>
        <v>10</v>
      </c>
      <c r="K94" s="44">
        <f t="shared" si="40"/>
        <v>11</v>
      </c>
      <c r="L94" s="44">
        <f t="shared" si="40"/>
        <v>12</v>
      </c>
      <c r="M94" s="44">
        <f t="shared" si="40"/>
        <v>13</v>
      </c>
      <c r="N94" s="44">
        <f t="shared" si="40"/>
        <v>14</v>
      </c>
      <c r="O94" s="44">
        <f t="shared" si="40"/>
        <v>15</v>
      </c>
      <c r="P94" s="44">
        <f t="shared" si="40"/>
        <v>16</v>
      </c>
      <c r="Q94" s="44">
        <f t="shared" si="40"/>
        <v>17</v>
      </c>
      <c r="R94" s="44">
        <f t="shared" si="40"/>
        <v>18</v>
      </c>
      <c r="S94" s="44">
        <f t="shared" si="40"/>
        <v>19</v>
      </c>
      <c r="T94" s="44">
        <f t="shared" si="40"/>
        <v>20</v>
      </c>
      <c r="U94" s="44">
        <f t="shared" si="40"/>
        <v>21</v>
      </c>
      <c r="V94" s="44">
        <f t="shared" si="40"/>
        <v>22</v>
      </c>
      <c r="W94" s="44">
        <f t="shared" si="40"/>
        <v>23</v>
      </c>
      <c r="X94" s="44">
        <f t="shared" si="40"/>
        <v>24</v>
      </c>
      <c r="Y94" s="44">
        <f t="shared" si="40"/>
        <v>25</v>
      </c>
      <c r="Z94" s="44">
        <f t="shared" si="40"/>
        <v>26</v>
      </c>
      <c r="AA94" s="44">
        <f t="shared" si="40"/>
        <v>27</v>
      </c>
      <c r="AB94" s="44">
        <f t="shared" si="40"/>
        <v>28</v>
      </c>
      <c r="AC94" s="44">
        <f t="shared" si="40"/>
        <v>29</v>
      </c>
      <c r="AD94" s="44">
        <f t="shared" si="40"/>
        <v>30</v>
      </c>
      <c r="AE94" s="44">
        <f t="shared" si="40"/>
        <v>31</v>
      </c>
      <c r="AF94" s="44">
        <f t="shared" si="40"/>
        <v>32</v>
      </c>
      <c r="AG94" s="44">
        <f t="shared" si="40"/>
        <v>33</v>
      </c>
      <c r="AH94" s="44">
        <f t="shared" si="40"/>
        <v>34</v>
      </c>
      <c r="AI94" s="44">
        <f t="shared" si="40"/>
        <v>35</v>
      </c>
      <c r="AJ94" s="44">
        <f t="shared" si="40"/>
        <v>36</v>
      </c>
      <c r="AK94" s="44">
        <f t="shared" si="40"/>
        <v>37</v>
      </c>
      <c r="AL94" s="44">
        <f t="shared" si="40"/>
        <v>38</v>
      </c>
      <c r="AM94" s="44">
        <f t="shared" si="40"/>
        <v>39</v>
      </c>
      <c r="AN94" s="44">
        <f t="shared" si="40"/>
        <v>40</v>
      </c>
      <c r="AO94" s="44">
        <f t="shared" si="40"/>
        <v>41</v>
      </c>
      <c r="AP94" s="44">
        <f t="shared" si="40"/>
        <v>42</v>
      </c>
      <c r="AQ94" s="44">
        <f t="shared" si="40"/>
        <v>43</v>
      </c>
      <c r="AR94" s="44">
        <f t="shared" si="40"/>
        <v>44</v>
      </c>
      <c r="AS94" s="44">
        <f t="shared" si="40"/>
        <v>45</v>
      </c>
      <c r="AT94" s="44">
        <f t="shared" si="40"/>
        <v>46</v>
      </c>
      <c r="AU94" s="44">
        <f t="shared" si="40"/>
        <v>47</v>
      </c>
      <c r="AV94" s="44">
        <f t="shared" si="40"/>
        <v>48</v>
      </c>
      <c r="AW94" s="44">
        <f t="shared" si="40"/>
        <v>49</v>
      </c>
      <c r="AX94" s="44">
        <f t="shared" si="40"/>
        <v>50</v>
      </c>
      <c r="AY94" s="44">
        <f t="shared" si="40"/>
        <v>51</v>
      </c>
      <c r="AZ94" s="44">
        <f t="shared" si="40"/>
        <v>52</v>
      </c>
      <c r="BA94" s="44">
        <f t="shared" si="40"/>
        <v>53</v>
      </c>
      <c r="BB94" s="44">
        <f t="shared" si="40"/>
        <v>54</v>
      </c>
      <c r="BC94" s="44">
        <f t="shared" si="40"/>
        <v>55</v>
      </c>
      <c r="BD94" s="44">
        <f t="shared" si="40"/>
        <v>56</v>
      </c>
      <c r="BE94" s="44">
        <f t="shared" si="40"/>
        <v>57</v>
      </c>
      <c r="BF94" s="44">
        <f t="shared" si="40"/>
        <v>58</v>
      </c>
      <c r="BG94" s="44">
        <f t="shared" si="40"/>
        <v>59</v>
      </c>
      <c r="BH94" s="44">
        <f t="shared" si="40"/>
        <v>60</v>
      </c>
      <c r="BI94" s="44">
        <f t="shared" si="40"/>
        <v>61</v>
      </c>
      <c r="BJ94" s="44">
        <f t="shared" si="40"/>
        <v>62</v>
      </c>
      <c r="BK94" s="44">
        <f t="shared" si="40"/>
        <v>63</v>
      </c>
      <c r="BL94" s="44">
        <f t="shared" si="40"/>
        <v>64</v>
      </c>
      <c r="BM94" s="44">
        <f t="shared" si="40"/>
        <v>65</v>
      </c>
      <c r="BN94" s="44">
        <f t="shared" ref="BN94:CV94" si="41">BM94+1</f>
        <v>66</v>
      </c>
      <c r="BO94" s="44">
        <f t="shared" si="41"/>
        <v>67</v>
      </c>
      <c r="BP94" s="44">
        <f t="shared" si="41"/>
        <v>68</v>
      </c>
      <c r="BQ94" s="44">
        <f t="shared" si="41"/>
        <v>69</v>
      </c>
      <c r="BR94" s="44">
        <f t="shared" si="41"/>
        <v>70</v>
      </c>
      <c r="BS94" s="44">
        <f t="shared" si="41"/>
        <v>71</v>
      </c>
      <c r="BT94" s="44">
        <f t="shared" si="41"/>
        <v>72</v>
      </c>
      <c r="BU94" s="44">
        <f t="shared" si="41"/>
        <v>73</v>
      </c>
      <c r="BV94" s="44">
        <f t="shared" si="41"/>
        <v>74</v>
      </c>
      <c r="BW94" s="44">
        <f t="shared" si="41"/>
        <v>75</v>
      </c>
      <c r="BX94" s="44">
        <f t="shared" si="41"/>
        <v>76</v>
      </c>
      <c r="BY94" s="44">
        <f t="shared" si="41"/>
        <v>77</v>
      </c>
      <c r="BZ94" s="44">
        <f t="shared" si="41"/>
        <v>78</v>
      </c>
      <c r="CA94" s="44">
        <f t="shared" si="41"/>
        <v>79</v>
      </c>
      <c r="CB94" s="44">
        <f t="shared" si="41"/>
        <v>80</v>
      </c>
      <c r="CC94" s="44">
        <f t="shared" si="41"/>
        <v>81</v>
      </c>
      <c r="CD94" s="44">
        <f t="shared" si="41"/>
        <v>82</v>
      </c>
      <c r="CE94" s="44">
        <f t="shared" si="41"/>
        <v>83</v>
      </c>
      <c r="CF94" s="44">
        <f t="shared" si="41"/>
        <v>84</v>
      </c>
      <c r="CG94" s="44">
        <f t="shared" si="41"/>
        <v>85</v>
      </c>
      <c r="CH94" s="44">
        <f t="shared" si="41"/>
        <v>86</v>
      </c>
      <c r="CI94" s="44">
        <f t="shared" si="41"/>
        <v>87</v>
      </c>
      <c r="CJ94" s="44">
        <f t="shared" si="41"/>
        <v>88</v>
      </c>
      <c r="CK94" s="44">
        <f t="shared" si="41"/>
        <v>89</v>
      </c>
      <c r="CL94" s="44">
        <f t="shared" si="41"/>
        <v>90</v>
      </c>
      <c r="CM94" s="44">
        <f t="shared" si="41"/>
        <v>91</v>
      </c>
      <c r="CN94" s="44">
        <f t="shared" si="41"/>
        <v>92</v>
      </c>
      <c r="CO94" s="44">
        <f t="shared" si="41"/>
        <v>93</v>
      </c>
      <c r="CP94" s="44">
        <f t="shared" si="41"/>
        <v>94</v>
      </c>
      <c r="CQ94" s="44">
        <f t="shared" si="41"/>
        <v>95</v>
      </c>
      <c r="CR94" s="44">
        <f t="shared" si="41"/>
        <v>96</v>
      </c>
      <c r="CS94" s="44">
        <f t="shared" si="41"/>
        <v>97</v>
      </c>
      <c r="CT94" s="44">
        <f t="shared" si="41"/>
        <v>98</v>
      </c>
      <c r="CU94" s="44">
        <f t="shared" si="41"/>
        <v>99</v>
      </c>
      <c r="CV94" s="44">
        <f t="shared" si="41"/>
        <v>100</v>
      </c>
    </row>
    <row r="95" spans="1:103" s="28" customFormat="1" ht="21" x14ac:dyDescent="0.3">
      <c r="A95" s="45"/>
      <c r="B95" s="40" t="s">
        <v>254</v>
      </c>
      <c r="Q95" s="515" t="s">
        <v>141</v>
      </c>
      <c r="R95" s="516"/>
      <c r="S95" s="516"/>
      <c r="T95" s="516"/>
      <c r="U95" s="516"/>
      <c r="V95" s="516"/>
      <c r="W95" s="516"/>
      <c r="X95" s="516"/>
      <c r="Y95" s="516"/>
      <c r="Z95" s="516"/>
      <c r="AA95" s="517"/>
      <c r="AB95" s="518" t="s">
        <v>142</v>
      </c>
      <c r="AC95" s="519"/>
      <c r="AD95" s="519"/>
      <c r="AE95" s="520"/>
      <c r="AF95" s="511" t="s">
        <v>143</v>
      </c>
      <c r="AG95" s="512"/>
      <c r="AH95" s="512"/>
      <c r="AI95" s="513"/>
      <c r="AJ95" s="518" t="s">
        <v>144</v>
      </c>
      <c r="AK95" s="519"/>
      <c r="AL95" s="519"/>
      <c r="AM95" s="520"/>
      <c r="AN95" s="511" t="s">
        <v>145</v>
      </c>
      <c r="AO95" s="512"/>
      <c r="AP95" s="512"/>
      <c r="AQ95" s="513"/>
      <c r="AR95" s="518" t="s">
        <v>146</v>
      </c>
      <c r="AS95" s="519"/>
      <c r="AT95" s="519"/>
      <c r="AU95" s="520"/>
      <c r="AV95" s="511" t="s">
        <v>147</v>
      </c>
      <c r="AW95" s="512"/>
      <c r="AX95" s="512"/>
      <c r="AY95" s="513"/>
      <c r="AZ95" s="518" t="s">
        <v>148</v>
      </c>
      <c r="BA95" s="519"/>
      <c r="BB95" s="519"/>
      <c r="BC95" s="520"/>
      <c r="BD95" s="511" t="s">
        <v>149</v>
      </c>
      <c r="BE95" s="512"/>
      <c r="BF95" s="512"/>
      <c r="BG95" s="513"/>
      <c r="BH95" s="518" t="s">
        <v>150</v>
      </c>
      <c r="BI95" s="519"/>
      <c r="BJ95" s="519"/>
      <c r="BK95" s="520"/>
      <c r="BL95" s="511" t="s">
        <v>151</v>
      </c>
      <c r="BM95" s="512"/>
      <c r="BN95" s="512"/>
      <c r="BO95" s="513"/>
      <c r="BP95" s="318" t="s">
        <v>644</v>
      </c>
      <c r="BQ95" s="318" t="s">
        <v>645</v>
      </c>
      <c r="BR95" s="318" t="s">
        <v>646</v>
      </c>
      <c r="BS95" s="318" t="s">
        <v>647</v>
      </c>
      <c r="BT95" s="318" t="s">
        <v>648</v>
      </c>
      <c r="BU95" s="318" t="s">
        <v>649</v>
      </c>
      <c r="BV95" s="318" t="s">
        <v>650</v>
      </c>
      <c r="BW95" s="318" t="s">
        <v>651</v>
      </c>
      <c r="BX95" s="318" t="s">
        <v>652</v>
      </c>
      <c r="BY95" s="318" t="s">
        <v>653</v>
      </c>
      <c r="BZ95" s="319" t="s">
        <v>654</v>
      </c>
      <c r="CA95" s="319" t="s">
        <v>655</v>
      </c>
      <c r="CB95" s="319" t="s">
        <v>656</v>
      </c>
      <c r="CC95" s="319" t="s">
        <v>657</v>
      </c>
      <c r="CD95" s="319" t="s">
        <v>658</v>
      </c>
      <c r="CE95" s="319" t="s">
        <v>659</v>
      </c>
      <c r="CF95" s="319" t="s">
        <v>660</v>
      </c>
      <c r="CG95" s="319" t="s">
        <v>661</v>
      </c>
      <c r="CH95" s="319" t="s">
        <v>662</v>
      </c>
      <c r="CI95" s="319" t="s">
        <v>663</v>
      </c>
    </row>
    <row r="96" spans="1:103" s="28" customFormat="1" x14ac:dyDescent="0.3">
      <c r="A96" s="45"/>
      <c r="B96" s="47" t="s">
        <v>152</v>
      </c>
      <c r="C96" s="47" t="s">
        <v>153</v>
      </c>
      <c r="D96" s="47" t="s">
        <v>154</v>
      </c>
      <c r="E96" s="47" t="s">
        <v>155</v>
      </c>
      <c r="F96" s="47" t="s">
        <v>156</v>
      </c>
      <c r="G96" s="47" t="s">
        <v>157</v>
      </c>
      <c r="H96" s="47" t="s">
        <v>158</v>
      </c>
      <c r="I96" s="47" t="s">
        <v>159</v>
      </c>
      <c r="J96" s="47" t="s">
        <v>162</v>
      </c>
      <c r="K96" s="47" t="s">
        <v>163</v>
      </c>
      <c r="L96" s="47" t="s">
        <v>134</v>
      </c>
      <c r="M96" s="47" t="s">
        <v>164</v>
      </c>
      <c r="N96" s="47" t="s">
        <v>165</v>
      </c>
      <c r="O96" s="47" t="s">
        <v>135</v>
      </c>
      <c r="P96" s="47" t="s">
        <v>255</v>
      </c>
      <c r="Q96" s="48" t="s">
        <v>166</v>
      </c>
      <c r="R96" s="48" t="s">
        <v>167</v>
      </c>
      <c r="S96" s="48" t="s">
        <v>168</v>
      </c>
      <c r="T96" s="48" t="s">
        <v>169</v>
      </c>
      <c r="U96" s="48" t="s">
        <v>170</v>
      </c>
      <c r="V96" s="48" t="s">
        <v>171</v>
      </c>
      <c r="W96" s="48" t="s">
        <v>172</v>
      </c>
      <c r="X96" s="48" t="s">
        <v>173</v>
      </c>
      <c r="Y96" s="48" t="s">
        <v>174</v>
      </c>
      <c r="Z96" s="48" t="s">
        <v>175</v>
      </c>
      <c r="AA96" s="48" t="s">
        <v>176</v>
      </c>
      <c r="AB96" s="49" t="s">
        <v>177</v>
      </c>
      <c r="AC96" s="49" t="s">
        <v>178</v>
      </c>
      <c r="AD96" s="49" t="s">
        <v>179</v>
      </c>
      <c r="AE96" s="49" t="s">
        <v>180</v>
      </c>
      <c r="AF96" s="50" t="s">
        <v>181</v>
      </c>
      <c r="AG96" s="50" t="s">
        <v>182</v>
      </c>
      <c r="AH96" s="50" t="s">
        <v>183</v>
      </c>
      <c r="AI96" s="50" t="s">
        <v>184</v>
      </c>
      <c r="AJ96" s="49" t="s">
        <v>185</v>
      </c>
      <c r="AK96" s="49" t="s">
        <v>186</v>
      </c>
      <c r="AL96" s="49" t="s">
        <v>187</v>
      </c>
      <c r="AM96" s="49" t="s">
        <v>188</v>
      </c>
      <c r="AN96" s="50" t="s">
        <v>189</v>
      </c>
      <c r="AO96" s="50" t="s">
        <v>190</v>
      </c>
      <c r="AP96" s="50" t="s">
        <v>191</v>
      </c>
      <c r="AQ96" s="50" t="s">
        <v>192</v>
      </c>
      <c r="AR96" s="49" t="s">
        <v>193</v>
      </c>
      <c r="AS96" s="49" t="s">
        <v>194</v>
      </c>
      <c r="AT96" s="49" t="s">
        <v>195</v>
      </c>
      <c r="AU96" s="49" t="s">
        <v>196</v>
      </c>
      <c r="AV96" s="50" t="s">
        <v>197</v>
      </c>
      <c r="AW96" s="50" t="s">
        <v>198</v>
      </c>
      <c r="AX96" s="50" t="s">
        <v>199</v>
      </c>
      <c r="AY96" s="50" t="s">
        <v>200</v>
      </c>
      <c r="AZ96" s="49" t="s">
        <v>201</v>
      </c>
      <c r="BA96" s="49" t="s">
        <v>202</v>
      </c>
      <c r="BB96" s="49" t="s">
        <v>203</v>
      </c>
      <c r="BC96" s="49" t="s">
        <v>204</v>
      </c>
      <c r="BD96" s="50" t="s">
        <v>205</v>
      </c>
      <c r="BE96" s="50" t="s">
        <v>206</v>
      </c>
      <c r="BF96" s="50" t="s">
        <v>207</v>
      </c>
      <c r="BG96" s="50" t="s">
        <v>208</v>
      </c>
      <c r="BH96" s="49" t="s">
        <v>209</v>
      </c>
      <c r="BI96" s="49" t="s">
        <v>210</v>
      </c>
      <c r="BJ96" s="49" t="s">
        <v>211</v>
      </c>
      <c r="BK96" s="49" t="s">
        <v>212</v>
      </c>
      <c r="BL96" s="50" t="s">
        <v>213</v>
      </c>
      <c r="BM96" s="50" t="s">
        <v>214</v>
      </c>
      <c r="BN96" s="50" t="s">
        <v>215</v>
      </c>
      <c r="BO96" s="50" t="s">
        <v>216</v>
      </c>
      <c r="BP96" s="318" t="str">
        <f>CONCATENATE(BP94-67,"-ER")</f>
        <v>1-ER</v>
      </c>
      <c r="BQ96" s="318" t="str">
        <f t="shared" ref="BQ96:BY96" si="42">CONCATENATE(BQ94-67,"-ER")</f>
        <v>2-ER</v>
      </c>
      <c r="BR96" s="318" t="str">
        <f t="shared" si="42"/>
        <v>3-ER</v>
      </c>
      <c r="BS96" s="318" t="str">
        <f t="shared" si="42"/>
        <v>4-ER</v>
      </c>
      <c r="BT96" s="318" t="str">
        <f t="shared" si="42"/>
        <v>5-ER</v>
      </c>
      <c r="BU96" s="318" t="str">
        <f t="shared" si="42"/>
        <v>6-ER</v>
      </c>
      <c r="BV96" s="318" t="str">
        <f t="shared" si="42"/>
        <v>7-ER</v>
      </c>
      <c r="BW96" s="318" t="str">
        <f t="shared" si="42"/>
        <v>8-ER</v>
      </c>
      <c r="BX96" s="318" t="str">
        <f t="shared" si="42"/>
        <v>9-ER</v>
      </c>
      <c r="BY96" s="318" t="str">
        <f t="shared" si="42"/>
        <v>10-ER</v>
      </c>
      <c r="BZ96" s="319" t="str">
        <f>CONCATENATE(BZ94-77,"-D")</f>
        <v>1-D</v>
      </c>
      <c r="CA96" s="319" t="str">
        <f t="shared" ref="CA96:CI96" si="43">CONCATENATE(CA94-77,"-D")</f>
        <v>2-D</v>
      </c>
      <c r="CB96" s="319" t="str">
        <f t="shared" si="43"/>
        <v>3-D</v>
      </c>
      <c r="CC96" s="319" t="str">
        <f t="shared" si="43"/>
        <v>4-D</v>
      </c>
      <c r="CD96" s="319" t="str">
        <f t="shared" si="43"/>
        <v>5-D</v>
      </c>
      <c r="CE96" s="319" t="str">
        <f t="shared" si="43"/>
        <v>6-D</v>
      </c>
      <c r="CF96" s="319" t="str">
        <f t="shared" si="43"/>
        <v>7-D</v>
      </c>
      <c r="CG96" s="319" t="str">
        <f t="shared" si="43"/>
        <v>8-D</v>
      </c>
      <c r="CH96" s="319" t="str">
        <f t="shared" si="43"/>
        <v>9-D</v>
      </c>
      <c r="CI96" s="319" t="str">
        <f t="shared" si="43"/>
        <v>10-D</v>
      </c>
      <c r="CT96" s="28">
        <f ca="1">MAX(CT97:CT116)</f>
        <v>8</v>
      </c>
      <c r="CU96" s="51" t="s">
        <v>217</v>
      </c>
      <c r="CV96" s="51" t="s">
        <v>256</v>
      </c>
    </row>
    <row r="97" spans="1:103" x14ac:dyDescent="0.3">
      <c r="A97" s="52">
        <v>14</v>
      </c>
      <c r="B97" s="53" t="str">
        <f>IF($A97="-","-",VLOOKUP($A97,[5]Controle!$A$6:$BO$25,B$94,FALSE))</f>
        <v>E.MS.LQ-001</v>
      </c>
      <c r="C97" s="53" t="str">
        <f>IF($A97="-","-",VLOOKUP($A97,[5]Controle!$A$6:$BO$25,C$94,FALSE))</f>
        <v>Balança Analítica</v>
      </c>
      <c r="D97" s="53" t="str">
        <f>IF($A97="-","-",VLOOKUP($A97,[5]Controle!$A$6:$BO$25,D$94,FALSE))</f>
        <v xml:space="preserve">Elus </v>
      </c>
      <c r="E97" s="53" t="str">
        <f>IF($A97="-","-",VLOOKUP($A97,[5]Controle!$A$6:$BO$25,E$94,FALSE))</f>
        <v>RBC - CAL 0439</v>
      </c>
      <c r="F97" s="53" t="str">
        <f>IF($A97="-","-",VLOOKUP($A97,[5]Controle!$A$6:$BO$25,F$94,FALSE))</f>
        <v>E0498/25</v>
      </c>
      <c r="G97" s="54">
        <f>IF($A97="-","-",VLOOKUP($A97,[5]Controle!$A$6:$BO$25,G$94,FALSE))</f>
        <v>45873</v>
      </c>
      <c r="H97" s="55">
        <f>IF($A97="-","-",VLOOKUP($A97,[5]Controle!$A$6:$BO$25,H$94,FALSE))</f>
        <v>46264</v>
      </c>
      <c r="I97" s="53" t="str">
        <f>IF($A97="-","-",VLOOKUP($A97,[5]Controle!$A$6:$BO$25,I$94,FALSE))</f>
        <v>g</v>
      </c>
      <c r="J97" s="53">
        <f>IF($A97="-","-",VLOOKUP($A97,[5]Controle!$A$6:$BO$25,J$94,FALSE))</f>
        <v>100</v>
      </c>
      <c r="K97" s="53">
        <f>IF($A97="-","-",VLOOKUP($A97,[5]Controle!$A$6:$BO$25,K$94,FALSE))</f>
        <v>10000</v>
      </c>
      <c r="L97" s="53">
        <f>IF($A97="-","-",VLOOKUP($A97,[5]Controle!$A$6:$BO$25,L$94,FALSE))</f>
        <v>0.1</v>
      </c>
      <c r="M97" s="53">
        <f>IF($A97="-","-",VLOOKUP($A97,[5]Controle!$A$6:$BO$25,M$94,FALSE))</f>
        <v>0.1000000000003638</v>
      </c>
      <c r="N97" s="53">
        <f>IF($A97="-","-",VLOOKUP($A97,[5]Controle!$A$6:$BO$25,N$94,FALSE))</f>
        <v>0.3</v>
      </c>
      <c r="O97" s="53">
        <f>IF($A97="-","-",VLOOKUP($A97,[5]Controle!$A$6:$BO$25,O$94,FALSE))</f>
        <v>0</v>
      </c>
      <c r="P97" s="53">
        <f>IF($A97="-","-",VLOOKUP($A97,[5]Controle!$A$6:$BO$25,P$94,FALSE))</f>
        <v>3.3333333333303017E-3</v>
      </c>
      <c r="Q97" s="53">
        <f>IF($A97="-","-",VLOOKUP($A97,[5]Controle!$A$6:$BO$25,Q$94,FALSE))</f>
        <v>2.5322681510147049E-3</v>
      </c>
      <c r="R97" s="53">
        <f>IF($A97="-","-",VLOOKUP($A97,[5]Controle!$A$6:$BO$25,R$94,FALSE))</f>
        <v>5</v>
      </c>
      <c r="S97" s="53">
        <f>IF($A97="-","-",VLOOKUP($A97,[5]Controle!$A$6:$BO$25,S$94,FALSE))</f>
        <v>0</v>
      </c>
      <c r="T97" s="53">
        <f>IF($A97="-","-",VLOOKUP($A97,[5]Controle!$A$6:$BO$25,T$94,FALSE))</f>
        <v>0</v>
      </c>
      <c r="U97" s="53">
        <f>IF($A97="-","-",VLOOKUP($A97,[5]Controle!$A$6:$BO$25,U$94,FALSE))</f>
        <v>0</v>
      </c>
      <c r="V97" s="53">
        <f>IF($A97="-","-",VLOOKUP($A97,[5]Controle!$A$6:$BO$25,V$94,FALSE))</f>
        <v>1.0393305689147921E-19</v>
      </c>
      <c r="W97" s="53">
        <f>IF($A97="-","-",VLOOKUP($A97,[5]Controle!$A$6:$BO$25,W$94,FALSE))</f>
        <v>-2.2832890181026651E-15</v>
      </c>
      <c r="X97" s="53">
        <f>IF($A97="-","-",VLOOKUP($A97,[5]Controle!$A$6:$BO$25,X$94,FALSE))</f>
        <v>1.5919498419661782E-11</v>
      </c>
      <c r="Y97" s="53">
        <f>IF($A97="-","-",VLOOKUP($A97,[5]Controle!$A$6:$BO$25,Y$94,FALSE))</f>
        <v>-3.6143265162539399E-8</v>
      </c>
      <c r="Z97" s="53">
        <f>IF($A97="-","-",VLOOKUP($A97,[5]Controle!$A$6:$BO$25,Z$94,FALSE))</f>
        <v>1.0000237187205856</v>
      </c>
      <c r="AA97" s="53">
        <f>IF($A97="-","-",VLOOKUP($A97,[5]Controle!$A$6:$BO$25,AA$94,FALSE))</f>
        <v>-2.7634804119944789E-3</v>
      </c>
      <c r="AB97" s="53">
        <f>IF($A97="-","-",VLOOKUP($A97,[5]Controle!$A$6:$BO$25,AB$94,FALSE))</f>
        <v>100</v>
      </c>
      <c r="AC97" s="53">
        <f>IF($A97="-","-",VLOOKUP($A97,[5]Controle!$A$6:$BO$25,AC$94,FALSE))</f>
        <v>0.2</v>
      </c>
      <c r="AD97" s="53">
        <f>IF($A97="-","-",VLOOKUP($A97,[5]Controle!$A$6:$BO$25,AD$94,FALSE))</f>
        <v>2</v>
      </c>
      <c r="AE97" s="53">
        <f>IF($A97="-","-",VLOOKUP($A97,[5]Controle!$A$6:$BO$25,AE$94,FALSE))</f>
        <v>1000000</v>
      </c>
      <c r="AF97" s="53">
        <f>IF($A97="-","-",VLOOKUP($A97,[5]Controle!$A$6:$BO$25,AF$94,FALSE))</f>
        <v>500</v>
      </c>
      <c r="AG97" s="53">
        <f>IF($A97="-","-",VLOOKUP($A97,[5]Controle!$A$6:$BO$25,AG$94,FALSE))</f>
        <v>0.2</v>
      </c>
      <c r="AH97" s="53">
        <f>IF($A97="-","-",VLOOKUP($A97,[5]Controle!$A$6:$BO$25,AH$94,FALSE))</f>
        <v>2</v>
      </c>
      <c r="AI97" s="53">
        <f>IF($A97="-","-",VLOOKUP($A97,[5]Controle!$A$6:$BO$25,AI$94,FALSE))</f>
        <v>1000000</v>
      </c>
      <c r="AJ97" s="53">
        <f>IF($A97="-","-",VLOOKUP($A97,[5]Controle!$A$6:$BO$25,AJ$94,FALSE))</f>
        <v>1000</v>
      </c>
      <c r="AK97" s="53">
        <f>IF($A97="-","-",VLOOKUP($A97,[5]Controle!$A$6:$BO$25,AK$94,FALSE))</f>
        <v>0.2</v>
      </c>
      <c r="AL97" s="53">
        <f>IF($A97="-","-",VLOOKUP($A97,[5]Controle!$A$6:$BO$25,AL$94,FALSE))</f>
        <v>2</v>
      </c>
      <c r="AM97" s="53">
        <f>IF($A97="-","-",VLOOKUP($A97,[5]Controle!$A$6:$BO$25,AM$94,FALSE))</f>
        <v>1000000</v>
      </c>
      <c r="AN97" s="53">
        <f>IF($A97="-","-",VLOOKUP($A97,[5]Controle!$A$6:$BO$25,AN$94,FALSE))</f>
        <v>2500</v>
      </c>
      <c r="AO97" s="53">
        <f>IF($A97="-","-",VLOOKUP($A97,[5]Controle!$A$6:$BO$25,AO$94,FALSE))</f>
        <v>0.2</v>
      </c>
      <c r="AP97" s="53">
        <f>IF($A97="-","-",VLOOKUP($A97,[5]Controle!$A$6:$BO$25,AP$94,FALSE))</f>
        <v>2</v>
      </c>
      <c r="AQ97" s="53">
        <f>IF($A97="-","-",VLOOKUP($A97,[5]Controle!$A$6:$BO$25,AQ$94,FALSE))</f>
        <v>1000000</v>
      </c>
      <c r="AR97" s="53">
        <f>IF($A97="-","-",VLOOKUP($A97,[5]Controle!$A$6:$BO$25,AR$94,FALSE))</f>
        <v>5000</v>
      </c>
      <c r="AS97" s="53">
        <f>IF($A97="-","-",VLOOKUP($A97,[5]Controle!$A$6:$BO$25,AS$94,FALSE))</f>
        <v>0.2</v>
      </c>
      <c r="AT97" s="53">
        <f>IF($A97="-","-",VLOOKUP($A97,[5]Controle!$A$6:$BO$25,AT$94,FALSE))</f>
        <v>2.02</v>
      </c>
      <c r="AU97" s="53">
        <f>IF($A97="-","-",VLOOKUP($A97,[5]Controle!$A$6:$BO$25,AU$94,FALSE))</f>
        <v>120</v>
      </c>
      <c r="AV97" s="53">
        <f>IF($A97="-","-",VLOOKUP($A97,[5]Controle!$A$6:$BO$25,AV$94,FALSE))</f>
        <v>7500</v>
      </c>
      <c r="AW97" s="53">
        <f>IF($A97="-","-",VLOOKUP($A97,[5]Controle!$A$6:$BO$25,AW$94,FALSE))</f>
        <v>0.2</v>
      </c>
      <c r="AX97" s="53">
        <f>IF($A97="-","-",VLOOKUP($A97,[5]Controle!$A$6:$BO$25,AX$94,FALSE))</f>
        <v>2.02</v>
      </c>
      <c r="AY97" s="53">
        <f>IF($A97="-","-",VLOOKUP($A97,[5]Controle!$A$6:$BO$25,AY$94,FALSE))</f>
        <v>153</v>
      </c>
      <c r="AZ97" s="53">
        <f>IF($A97="-","-",VLOOKUP($A97,[5]Controle!$A$6:$BO$25,AZ$94,FALSE))</f>
        <v>10000</v>
      </c>
      <c r="BA97" s="53">
        <f>IF($A97="-","-",VLOOKUP($A97,[5]Controle!$A$6:$BO$25,BA$94,FALSE))</f>
        <v>0.3</v>
      </c>
      <c r="BB97" s="53">
        <f>IF($A97="-","-",VLOOKUP($A97,[5]Controle!$A$6:$BO$25,BB$94,FALSE))</f>
        <v>2</v>
      </c>
      <c r="BC97" s="53">
        <f>IF($A97="-","-",VLOOKUP($A97,[5]Controle!$A$6:$BO$25,BC$94,FALSE))</f>
        <v>1000000</v>
      </c>
      <c r="BD97" s="53" t="str">
        <f>IF($A97="-","-",VLOOKUP($A97,[5]Controle!$A$6:$BO$25,BD$94,FALSE))</f>
        <v>-</v>
      </c>
      <c r="BE97" s="53" t="str">
        <f>IF($A97="-","-",VLOOKUP($A97,[5]Controle!$A$6:$BO$25,BE$94,FALSE))</f>
        <v>-</v>
      </c>
      <c r="BF97" s="53" t="str">
        <f>IF($A97="-","-",VLOOKUP($A97,[5]Controle!$A$6:$BO$25,BF$94,FALSE))</f>
        <v>-</v>
      </c>
      <c r="BG97" s="53" t="str">
        <f>IF($A97="-","-",VLOOKUP($A97,[5]Controle!$A$6:$BO$25,BG$94,FALSE))</f>
        <v>-</v>
      </c>
      <c r="BH97" s="53" t="str">
        <f>IF($A97="-","-",VLOOKUP($A97,[5]Controle!$A$6:$BO$25,BH$94,FALSE))</f>
        <v>-</v>
      </c>
      <c r="BI97" s="53" t="str">
        <f>IF($A97="-","-",VLOOKUP($A97,[5]Controle!$A$6:$BO$25,BI$94,FALSE))</f>
        <v>-</v>
      </c>
      <c r="BJ97" s="53" t="str">
        <f>IF($A97="-","-",VLOOKUP($A97,[5]Controle!$A$6:$BO$25,BJ$94,FALSE))</f>
        <v>-</v>
      </c>
      <c r="BK97" s="53" t="str">
        <f>IF($A97="-","-",VLOOKUP($A97,[5]Controle!$A$6:$BO$25,BK$94,FALSE))</f>
        <v>-</v>
      </c>
      <c r="BL97" s="53" t="str">
        <f>IF($A97="-","-",VLOOKUP($A97,[5]Controle!$A$6:$BO$25,BL$94,FALSE))</f>
        <v>-</v>
      </c>
      <c r="BM97" s="53" t="str">
        <f>IF($A97="-","-",VLOOKUP($A97,[5]Controle!$A$6:$BO$25,BM$94,FALSE))</f>
        <v>-</v>
      </c>
      <c r="BN97" s="53" t="str">
        <f>IF($A97="-","-",VLOOKUP($A97,[5]Controle!$A$6:$BO$25,BN$94,FALSE))</f>
        <v>-</v>
      </c>
      <c r="BO97" s="53" t="str">
        <f>IF($A97="-","-",VLOOKUP($A97,[5]Controle!$A$6:$BO$25,BO$94,FALSE))</f>
        <v>-</v>
      </c>
      <c r="BP97" s="53">
        <f>IF($A97="-","-",VLOOKUP($A97,[5]Controle!$A$6:$BY$25,BP$94,FALSE))</f>
        <v>0</v>
      </c>
      <c r="BQ97" s="53">
        <f>IF($A97="-","-",VLOOKUP($A97,[5]Controle!$A$6:$BY$25,BQ$94,FALSE))</f>
        <v>0</v>
      </c>
      <c r="BR97" s="53">
        <f>IF($A97="-","-",VLOOKUP($A97,[5]Controle!$A$6:$BY$25,BR$94,FALSE))</f>
        <v>0</v>
      </c>
      <c r="BS97" s="53">
        <f>IF($A97="-","-",VLOOKUP($A97,[5]Controle!$A$6:$BY$25,BS$94,FALSE))</f>
        <v>0</v>
      </c>
      <c r="BT97" s="53">
        <f>IF($A97="-","-",VLOOKUP($A97,[5]Controle!$A$6:$BY$25,BT$94,FALSE))</f>
        <v>-0.1000000000003638</v>
      </c>
      <c r="BU97" s="53">
        <f>IF($A97="-","-",VLOOKUP($A97,[5]Controle!$A$6:$BY$25,BU$94,FALSE))</f>
        <v>-0.1000000000003638</v>
      </c>
      <c r="BV97" s="53">
        <f>IF($A97="-","-",VLOOKUP($A97,[5]Controle!$A$6:$BY$25,BV$94,FALSE))</f>
        <v>-0.1000000000003638</v>
      </c>
      <c r="BW97" s="53">
        <f>IF($A97="-","-",VLOOKUP($A97,[5]Controle!$A$6:$BY$25,BW$94,FALSE))</f>
        <v>0</v>
      </c>
      <c r="BX97" s="53">
        <f>IF($A97="-","-",VLOOKUP($A97,[5]Controle!$A$6:$BY$25,BX$94,FALSE))</f>
        <v>0</v>
      </c>
      <c r="BY97" s="53">
        <f>IF($A97="-","-",VLOOKUP($A97,[5]Controle!$A$6:$BY$25,BY$94,FALSE))</f>
        <v>0</v>
      </c>
      <c r="BZ97" s="53">
        <f>IF($A97="-","-",VLOOKUP($A97,[5]Controle!$A$6:$CI$25,BZ$94,FALSE))</f>
        <v>0</v>
      </c>
      <c r="CA97" s="53">
        <f>IF($A97="-","-",VLOOKUP($A97,[5]Controle!$A$6:$CI$25,CA$94,FALSE))</f>
        <v>0</v>
      </c>
      <c r="CB97" s="53">
        <f>IF($A97="-","-",VLOOKUP($A97,[5]Controle!$A$6:$CI$25,CB$94,FALSE))</f>
        <v>0</v>
      </c>
      <c r="CC97" s="53">
        <f>IF($A97="-","-",VLOOKUP($A97,[5]Controle!$A$6:$CI$25,CC$94,FALSE))</f>
        <v>0</v>
      </c>
      <c r="CD97" s="53">
        <f>IF($A97="-","-",VLOOKUP($A97,[5]Controle!$A$6:$CI$25,CD$94,FALSE))</f>
        <v>0</v>
      </c>
      <c r="CE97" s="53">
        <f>IF($A97="-","-",VLOOKUP($A97,[5]Controle!$A$6:$CI$25,CE$94,FALSE))</f>
        <v>0</v>
      </c>
      <c r="CF97" s="53">
        <f>IF($A97="-","-",VLOOKUP($A97,[5]Controle!$A$6:$CI$25,CF$94,FALSE))</f>
        <v>0</v>
      </c>
      <c r="CG97" s="53">
        <f>IF($A97="-","-",VLOOKUP($A97,[5]Controle!$A$6:$CI$25,CG$94,FALSE))</f>
        <v>0</v>
      </c>
      <c r="CH97" s="53">
        <f>IF($A97="-","-",VLOOKUP($A97,[5]Controle!$A$6:$CI$25,CH$94,FALSE))</f>
        <v>0</v>
      </c>
      <c r="CI97" s="53">
        <f>IF($A97="-","-",VLOOKUP($A97,[5]Controle!$A$6:$CI$25,CI$94,FALSE))</f>
        <v>0</v>
      </c>
      <c r="CT97" s="41">
        <f ca="1">IF(CV97="-",0,1)</f>
        <v>1</v>
      </c>
      <c r="CU97" s="53" t="str">
        <f ca="1">IF(CW97="-","-",IF($G$1&lt;=H97,"VÁLIDO","VENCIDO"))</f>
        <v>VÁLIDO</v>
      </c>
      <c r="CV97" s="53" t="str">
        <f t="shared" ref="CV97:CV116" ca="1" si="44">IF(CW97="-","-",IF(CY97=$CY$1,IF(CU97="VENCIDO","-",B97),"-"))</f>
        <v>E.MS.LQ-001</v>
      </c>
      <c r="CW97" s="53">
        <f>A97</f>
        <v>14</v>
      </c>
      <c r="CX97" s="41">
        <v>1</v>
      </c>
      <c r="CY97" s="41" t="str">
        <f>LEFT(B97,1)</f>
        <v>E</v>
      </c>
    </row>
    <row r="98" spans="1:103" x14ac:dyDescent="0.3">
      <c r="A98" s="56">
        <v>1</v>
      </c>
      <c r="B98" s="53" t="str">
        <f>IF($A98="-","-",VLOOKUP($A98,[5]Controle!$A$6:$BO$25,B$94,FALSE))</f>
        <v>E.MS.LQ-003</v>
      </c>
      <c r="C98" s="53" t="str">
        <f>IF($A98="-","-",VLOOKUP($A98,[5]Controle!$A$6:$BO$25,C$94,FALSE))</f>
        <v>Balança Eletrônica</v>
      </c>
      <c r="D98" s="53" t="str">
        <f>IF($A98="-","-",VLOOKUP($A98,[5]Controle!$A$6:$BO$25,D$94,FALSE))</f>
        <v>Elus</v>
      </c>
      <c r="E98" s="53" t="str">
        <f>IF($A98="-","-",VLOOKUP($A98,[5]Controle!$A$6:$BO$25,E$94,FALSE))</f>
        <v>RBC - CAL 0439</v>
      </c>
      <c r="F98" s="53" t="str">
        <f>IF($A98="-","-",VLOOKUP($A98,[5]Controle!$A$6:$BO$25,F$94,FALSE))</f>
        <v>E0011/26</v>
      </c>
      <c r="G98" s="54">
        <f>IF($A98="-","-",VLOOKUP($A98,[5]Controle!$A$6:$BO$25,G$94,FALSE))</f>
        <v>46031</v>
      </c>
      <c r="H98" s="55">
        <f>IF($A98="-","-",VLOOKUP($A98,[5]Controle!$A$6:$BO$25,H$94,FALSE))</f>
        <v>46417</v>
      </c>
      <c r="I98" s="53" t="str">
        <f>IF($A98="-","-",VLOOKUP($A98,[5]Controle!$A$6:$BO$25,I$94,FALSE))</f>
        <v>g</v>
      </c>
      <c r="J98" s="53">
        <f>IF($A98="-","-",VLOOKUP($A98,[5]Controle!$A$6:$BO$25,J$94,FALSE))</f>
        <v>1</v>
      </c>
      <c r="K98" s="53">
        <f>IF($A98="-","-",VLOOKUP($A98,[5]Controle!$A$6:$BO$25,K$94,FALSE))</f>
        <v>2000</v>
      </c>
      <c r="L98" s="53">
        <f>IF($A98="-","-",VLOOKUP($A98,[5]Controle!$A$6:$BO$25,L$94,FALSE))</f>
        <v>0.01</v>
      </c>
      <c r="M98" s="53">
        <f>IF($A98="-","-",VLOOKUP($A98,[5]Controle!$A$6:$BO$25,M$94,FALSE))</f>
        <v>1.999999999998181E-2</v>
      </c>
      <c r="N98" s="53">
        <f>IF($A98="-","-",VLOOKUP($A98,[5]Controle!$A$6:$BO$25,N$94,FALSE))</f>
        <v>0.05</v>
      </c>
      <c r="O98" s="53">
        <f>IF($A98="-","-",VLOOKUP($A98,[5]Controle!$A$6:$BO$25,O$94,FALSE))</f>
        <v>9.9999999999909051E-3</v>
      </c>
      <c r="P98" s="53">
        <f>IF($A98="-","-",VLOOKUP($A98,[5]Controle!$A$6:$BO$25,P$94,FALSE))</f>
        <v>3.9999999999963624E-3</v>
      </c>
      <c r="Q98" s="53">
        <f>IF($A98="-","-",VLOOKUP($A98,[5]Controle!$A$6:$BO$25,Q$94,FALSE))</f>
        <v>8.3868147318000297E-4</v>
      </c>
      <c r="R98" s="53">
        <f>IF($A98="-","-",VLOOKUP($A98,[5]Controle!$A$6:$BO$25,R$94,FALSE))</f>
        <v>5</v>
      </c>
      <c r="S98" s="53">
        <f>IF($A98="-","-",VLOOKUP($A98,[5]Controle!$A$6:$BO$25,S$94,FALSE))</f>
        <v>0</v>
      </c>
      <c r="T98" s="53">
        <f>IF($A98="-","-",VLOOKUP($A98,[5]Controle!$A$6:$BO$25,T$94,FALSE))</f>
        <v>0</v>
      </c>
      <c r="U98" s="53">
        <f>IF($A98="-","-",VLOOKUP($A98,[5]Controle!$A$6:$BO$25,U$94,FALSE))</f>
        <v>0</v>
      </c>
      <c r="V98" s="53">
        <f>IF($A98="-","-",VLOOKUP($A98,[5]Controle!$A$6:$BO$25,V$94,FALSE))</f>
        <v>-2.1946623841346573E-17</v>
      </c>
      <c r="W98" s="53">
        <f>IF($A98="-","-",VLOOKUP($A98,[5]Controle!$A$6:$BO$25,W$94,FALSE))</f>
        <v>1.435668068304213E-13</v>
      </c>
      <c r="X98" s="53">
        <f>IF($A98="-","-",VLOOKUP($A98,[5]Controle!$A$6:$BO$25,X$94,FALSE))</f>
        <v>-3.21167452306003E-10</v>
      </c>
      <c r="Y98" s="53">
        <f>IF($A98="-","-",VLOOKUP($A98,[5]Controle!$A$6:$BO$25,Y$94,FALSE))</f>
        <v>3.1307290236240752E-7</v>
      </c>
      <c r="Z98" s="53">
        <f>IF($A98="-","-",VLOOKUP($A98,[5]Controle!$A$6:$BO$25,Z$94,FALSE))</f>
        <v>0.99986579442207157</v>
      </c>
      <c r="AA98" s="53">
        <f>IF($A98="-","-",VLOOKUP($A98,[5]Controle!$A$6:$BO$25,AA$94,FALSE))</f>
        <v>6.8337237960630626E-4</v>
      </c>
      <c r="AB98" s="53">
        <f>IF($A98="-","-",VLOOKUP($A98,[5]Controle!$A$6:$BO$25,AB$94,FALSE))</f>
        <v>1</v>
      </c>
      <c r="AC98" s="53">
        <f>IF($A98="-","-",VLOOKUP($A98,[5]Controle!$A$6:$BO$25,AC$94,FALSE))</f>
        <v>0.02</v>
      </c>
      <c r="AD98" s="53">
        <f>IF($A98="-","-",VLOOKUP($A98,[5]Controle!$A$6:$BO$25,AD$94,FALSE))</f>
        <v>2</v>
      </c>
      <c r="AE98" s="53">
        <f>IF($A98="-","-",VLOOKUP($A98,[5]Controle!$A$6:$BO$25,AE$94,FALSE))</f>
        <v>1000000</v>
      </c>
      <c r="AF98" s="53">
        <f>IF($A98="-","-",VLOOKUP($A98,[5]Controle!$A$6:$BO$25,AF$94,FALSE))</f>
        <v>10</v>
      </c>
      <c r="AG98" s="53">
        <f>IF($A98="-","-",VLOOKUP($A98,[5]Controle!$A$6:$BO$25,AG$94,FALSE))</f>
        <v>0.02</v>
      </c>
      <c r="AH98" s="53">
        <f>IF($A98="-","-",VLOOKUP($A98,[5]Controle!$A$6:$BO$25,AH$94,FALSE))</f>
        <v>2</v>
      </c>
      <c r="AI98" s="53">
        <f>IF($A98="-","-",VLOOKUP($A98,[5]Controle!$A$6:$BO$25,AI$94,FALSE))</f>
        <v>1000000</v>
      </c>
      <c r="AJ98" s="53">
        <f>IF($A98="-","-",VLOOKUP($A98,[5]Controle!$A$6:$BO$25,AJ$94,FALSE))</f>
        <v>100</v>
      </c>
      <c r="AK98" s="53">
        <f>IF($A98="-","-",VLOOKUP($A98,[5]Controle!$A$6:$BO$25,AK$94,FALSE))</f>
        <v>0.02</v>
      </c>
      <c r="AL98" s="53">
        <f>IF($A98="-","-",VLOOKUP($A98,[5]Controle!$A$6:$BO$25,AL$94,FALSE))</f>
        <v>2</v>
      </c>
      <c r="AM98" s="53">
        <f>IF($A98="-","-",VLOOKUP($A98,[5]Controle!$A$6:$BO$25,AM$94,FALSE))</f>
        <v>1000000</v>
      </c>
      <c r="AN98" s="53">
        <f>IF($A98="-","-",VLOOKUP($A98,[5]Controle!$A$6:$BO$25,AN$94,FALSE))</f>
        <v>500</v>
      </c>
      <c r="AO98" s="53">
        <f>IF($A98="-","-",VLOOKUP($A98,[5]Controle!$A$6:$BO$25,AO$94,FALSE))</f>
        <v>0.02</v>
      </c>
      <c r="AP98" s="53">
        <f>IF($A98="-","-",VLOOKUP($A98,[5]Controle!$A$6:$BO$25,AP$94,FALSE))</f>
        <v>2</v>
      </c>
      <c r="AQ98" s="53">
        <f>IF($A98="-","-",VLOOKUP($A98,[5]Controle!$A$6:$BO$25,AQ$94,FALSE))</f>
        <v>1000000</v>
      </c>
      <c r="AR98" s="53">
        <f>IF($A98="-","-",VLOOKUP($A98,[5]Controle!$A$6:$BO$25,AR$94,FALSE))</f>
        <v>1000</v>
      </c>
      <c r="AS98" s="53">
        <f>IF($A98="-","-",VLOOKUP($A98,[5]Controle!$A$6:$BO$25,AS$94,FALSE))</f>
        <v>0.03</v>
      </c>
      <c r="AT98" s="53">
        <f>IF($A98="-","-",VLOOKUP($A98,[5]Controle!$A$6:$BO$25,AT$94,FALSE))</f>
        <v>2</v>
      </c>
      <c r="AU98" s="53">
        <f>IF($A98="-","-",VLOOKUP($A98,[5]Controle!$A$6:$BO$25,AU$94,FALSE))</f>
        <v>574</v>
      </c>
      <c r="AV98" s="53">
        <f>IF($A98="-","-",VLOOKUP($A98,[5]Controle!$A$6:$BO$25,AV$94,FALSE))</f>
        <v>1500</v>
      </c>
      <c r="AW98" s="53">
        <f>IF($A98="-","-",VLOOKUP($A98,[5]Controle!$A$6:$BO$25,AW$94,FALSE))</f>
        <v>0.04</v>
      </c>
      <c r="AX98" s="53">
        <f>IF($A98="-","-",VLOOKUP($A98,[5]Controle!$A$6:$BO$25,AX$94,FALSE))</f>
        <v>2</v>
      </c>
      <c r="AY98" s="53">
        <f>IF($A98="-","-",VLOOKUP($A98,[5]Controle!$A$6:$BO$25,AY$94,FALSE))</f>
        <v>1000000</v>
      </c>
      <c r="AZ98" s="53">
        <f>IF($A98="-","-",VLOOKUP($A98,[5]Controle!$A$6:$BO$25,AZ$94,FALSE))</f>
        <v>2000</v>
      </c>
      <c r="BA98" s="53">
        <f>IF($A98="-","-",VLOOKUP($A98,[5]Controle!$A$6:$BO$25,BA$94,FALSE))</f>
        <v>0.05</v>
      </c>
      <c r="BB98" s="53">
        <f>IF($A98="-","-",VLOOKUP($A98,[5]Controle!$A$6:$BO$25,BB$94,FALSE))</f>
        <v>2</v>
      </c>
      <c r="BC98" s="53">
        <f>IF($A98="-","-",VLOOKUP($A98,[5]Controle!$A$6:$BO$25,BC$94,FALSE))</f>
        <v>1000000</v>
      </c>
      <c r="BD98" s="53" t="str">
        <f>IF($A98="-","-",VLOOKUP($A98,[5]Controle!$A$6:$BO$25,BD$94,FALSE))</f>
        <v>-</v>
      </c>
      <c r="BE98" s="53" t="str">
        <f>IF($A98="-","-",VLOOKUP($A98,[5]Controle!$A$6:$BO$25,BE$94,FALSE))</f>
        <v>-</v>
      </c>
      <c r="BF98" s="53" t="str">
        <f>IF($A98="-","-",VLOOKUP($A98,[5]Controle!$A$6:$BO$25,BF$94,FALSE))</f>
        <v>-</v>
      </c>
      <c r="BG98" s="53" t="str">
        <f>IF($A98="-","-",VLOOKUP($A98,[5]Controle!$A$6:$BO$25,BG$94,FALSE))</f>
        <v>-</v>
      </c>
      <c r="BH98" s="53" t="str">
        <f>IF($A98="-","-",VLOOKUP($A98,[5]Controle!$A$6:$BO$25,BH$94,FALSE))</f>
        <v>-</v>
      </c>
      <c r="BI98" s="53" t="str">
        <f>IF($A98="-","-",VLOOKUP($A98,[5]Controle!$A$6:$BO$25,BI$94,FALSE))</f>
        <v>-</v>
      </c>
      <c r="BJ98" s="53" t="str">
        <f>IF($A98="-","-",VLOOKUP($A98,[5]Controle!$A$6:$BO$25,BJ$94,FALSE))</f>
        <v>-</v>
      </c>
      <c r="BK98" s="53" t="str">
        <f>IF($A98="-","-",VLOOKUP($A98,[5]Controle!$A$6:$BO$25,BK$94,FALSE))</f>
        <v>-</v>
      </c>
      <c r="BL98" s="53" t="str">
        <f>IF($A98="-","-",VLOOKUP($A98,[5]Controle!$A$6:$BO$25,BL$94,FALSE))</f>
        <v>-</v>
      </c>
      <c r="BM98" s="53" t="str">
        <f>IF($A98="-","-",VLOOKUP($A98,[5]Controle!$A$6:$BO$25,BM$94,FALSE))</f>
        <v>-</v>
      </c>
      <c r="BN98" s="53" t="str">
        <f>IF($A98="-","-",VLOOKUP($A98,[5]Controle!$A$6:$BO$25,BN$94,FALSE))</f>
        <v>-</v>
      </c>
      <c r="BO98" s="53" t="str">
        <f>IF($A98="-","-",VLOOKUP($A98,[5]Controle!$A$6:$BO$25,BO$94,FALSE))</f>
        <v>-</v>
      </c>
      <c r="BP98" s="53">
        <f>IF($A98="-","-",VLOOKUP($A98,[5]Controle!$A$6:$BY$25,BP$94,FALSE))</f>
        <v>0</v>
      </c>
      <c r="BQ98" s="53">
        <f>IF($A98="-","-",VLOOKUP($A98,[5]Controle!$A$6:$BY$25,BQ$94,FALSE))</f>
        <v>0</v>
      </c>
      <c r="BR98" s="53">
        <f>IF($A98="-","-",VLOOKUP($A98,[5]Controle!$A$6:$BY$25,BR$94,FALSE))</f>
        <v>1.0000000000005116E-2</v>
      </c>
      <c r="BS98" s="53">
        <f>IF($A98="-","-",VLOOKUP($A98,[5]Controle!$A$6:$BY$25,BS$94,FALSE))</f>
        <v>1.999999999998181E-2</v>
      </c>
      <c r="BT98" s="53">
        <f>IF($A98="-","-",VLOOKUP($A98,[5]Controle!$A$6:$BY$25,BT$94,FALSE))</f>
        <v>1.999999999998181E-2</v>
      </c>
      <c r="BU98" s="53">
        <f>IF($A98="-","-",VLOOKUP($A98,[5]Controle!$A$6:$BY$25,BU$94,FALSE))</f>
        <v>1.999999999998181E-2</v>
      </c>
      <c r="BV98" s="53">
        <f>IF($A98="-","-",VLOOKUP($A98,[5]Controle!$A$6:$BY$25,BV$94,FALSE))</f>
        <v>-9.9999999999909051E-3</v>
      </c>
      <c r="BW98" s="53">
        <f>IF($A98="-","-",VLOOKUP($A98,[5]Controle!$A$6:$BY$25,BW$94,FALSE))</f>
        <v>0</v>
      </c>
      <c r="BX98" s="53">
        <f>IF($A98="-","-",VLOOKUP($A98,[5]Controle!$A$6:$BY$25,BX$94,FALSE))</f>
        <v>0</v>
      </c>
      <c r="BY98" s="53">
        <f>IF($A98="-","-",VLOOKUP($A98,[5]Controle!$A$6:$BY$25,BY$94,FALSE))</f>
        <v>0</v>
      </c>
      <c r="BZ98" s="53">
        <f>IF($A98="-","-",VLOOKUP($A98,[5]Controle!$A$6:$CI$25,BZ$94,FALSE))</f>
        <v>0</v>
      </c>
      <c r="CA98" s="53">
        <f>IF($A98="-","-",VLOOKUP($A98,[5]Controle!$A$6:$CI$25,CA$94,FALSE))</f>
        <v>0</v>
      </c>
      <c r="CB98" s="53">
        <f>IF($A98="-","-",VLOOKUP($A98,[5]Controle!$A$6:$CI$25,CB$94,FALSE))</f>
        <v>9.9999999999909051E-3</v>
      </c>
      <c r="CC98" s="53">
        <f>IF($A98="-","-",VLOOKUP($A98,[5]Controle!$A$6:$CI$25,CC$94,FALSE))</f>
        <v>0</v>
      </c>
      <c r="CD98" s="53">
        <f>IF($A98="-","-",VLOOKUP($A98,[5]Controle!$A$6:$CI$25,CD$94,FALSE))</f>
        <v>0</v>
      </c>
      <c r="CE98" s="53">
        <f>IF($A98="-","-",VLOOKUP($A98,[5]Controle!$A$6:$CI$25,CE$94,FALSE))</f>
        <v>-9.9999999999909051E-3</v>
      </c>
      <c r="CF98" s="53">
        <f>IF($A98="-","-",VLOOKUP($A98,[5]Controle!$A$6:$CI$25,CF$94,FALSE))</f>
        <v>9.9999999999909051E-3</v>
      </c>
      <c r="CG98" s="53">
        <f>IF($A98="-","-",VLOOKUP($A98,[5]Controle!$A$6:$CI$25,CG$94,FALSE))</f>
        <v>0</v>
      </c>
      <c r="CH98" s="53">
        <f>IF($A98="-","-",VLOOKUP($A98,[5]Controle!$A$6:$CI$25,CH$94,FALSE))</f>
        <v>0</v>
      </c>
      <c r="CI98" s="53">
        <f>IF($A98="-","-",VLOOKUP($A98,[5]Controle!$A$6:$CI$25,CI$94,FALSE))</f>
        <v>0</v>
      </c>
      <c r="CT98" s="41">
        <f ca="1">IF(CV98="-",0,MAX($CT$97:CT97)+1)</f>
        <v>2</v>
      </c>
      <c r="CU98" s="53" t="str">
        <f t="shared" ref="CU98:CU107" ca="1" si="45">IF(CW98="-","-",IF($G$1&lt;=H98,"VÁLIDO","VENCIDO"))</f>
        <v>VÁLIDO</v>
      </c>
      <c r="CV98" s="53" t="str">
        <f t="shared" ca="1" si="44"/>
        <v>E.MS.LQ-003</v>
      </c>
      <c r="CW98" s="53">
        <f t="shared" ref="CW98:CW107" si="46">A98</f>
        <v>1</v>
      </c>
      <c r="CX98" s="41">
        <f>CX97+1</f>
        <v>2</v>
      </c>
      <c r="CY98" s="41" t="str">
        <f t="shared" ref="CY98:CY107" si="47">LEFT(B98,1)</f>
        <v>E</v>
      </c>
    </row>
    <row r="99" spans="1:103" x14ac:dyDescent="0.3">
      <c r="A99" s="56">
        <v>6</v>
      </c>
      <c r="B99" s="53" t="str">
        <f>IF($A99="-","-",VLOOKUP($A99,[5]Controle!$A$6:$BO$25,B$94,FALSE))</f>
        <v>E.MS.LQ-004</v>
      </c>
      <c r="C99" s="53" t="str">
        <f>IF($A99="-","-",VLOOKUP($A99,[5]Controle!$A$6:$BO$25,C$94,FALSE))</f>
        <v>Balança Analítica</v>
      </c>
      <c r="D99" s="53" t="str">
        <f>IF($A99="-","-",VLOOKUP($A99,[5]Controle!$A$6:$BO$25,D$94,FALSE))</f>
        <v>Elus</v>
      </c>
      <c r="E99" s="53" t="str">
        <f>IF($A99="-","-",VLOOKUP($A99,[5]Controle!$A$6:$BO$25,E$94,FALSE))</f>
        <v>RBC - CAL 0439</v>
      </c>
      <c r="F99" s="53" t="str">
        <f>IF($A99="-","-",VLOOKUP($A99,[5]Controle!$A$6:$BO$25,F$94,FALSE))</f>
        <v>E0012/26</v>
      </c>
      <c r="G99" s="54">
        <f>IF($A99="-","-",VLOOKUP($A99,[5]Controle!$A$6:$BO$25,G$94,FALSE))</f>
        <v>46031</v>
      </c>
      <c r="H99" s="55">
        <f>IF($A99="-","-",VLOOKUP($A99,[5]Controle!$A$6:$BO$25,H$94,FALSE))</f>
        <v>46417</v>
      </c>
      <c r="I99" s="53" t="str">
        <f>IF($A99="-","-",VLOOKUP($A99,[5]Controle!$A$6:$BO$25,I$94,FALSE))</f>
        <v>g</v>
      </c>
      <c r="J99" s="53">
        <f>IF($A99="-","-",VLOOKUP($A99,[5]Controle!$A$6:$BO$25,J$94,FALSE))</f>
        <v>0.2</v>
      </c>
      <c r="K99" s="53">
        <f>IF($A99="-","-",VLOOKUP($A99,[5]Controle!$A$6:$BO$25,K$94,FALSE))</f>
        <v>200</v>
      </c>
      <c r="L99" s="53">
        <f>IF($A99="-","-",VLOOKUP($A99,[5]Controle!$A$6:$BO$25,L$94,FALSE))</f>
        <v>1E-4</v>
      </c>
      <c r="M99" s="53">
        <f>IF($A99="-","-",VLOOKUP($A99,[5]Controle!$A$6:$BO$25,M$94,FALSE))</f>
        <v>1.0000000000331966E-4</v>
      </c>
      <c r="N99" s="53">
        <f>IF($A99="-","-",VLOOKUP($A99,[5]Controle!$A$6:$BO$25,N$94,FALSE))</f>
        <v>6.9999999999999999E-4</v>
      </c>
      <c r="O99" s="53">
        <f>IF($A99="-","-",VLOOKUP($A99,[5]Controle!$A$6:$BO$25,O$94,FALSE))</f>
        <v>9.9999999999988987E-5</v>
      </c>
      <c r="P99" s="53">
        <f>IF($A99="-","-",VLOOKUP($A99,[5]Controle!$A$6:$BO$25,P$94,FALSE))</f>
        <v>1.4285714286188522E-4</v>
      </c>
      <c r="Q99" s="53">
        <f>IF($A99="-","-",VLOOKUP($A99,[5]Controle!$A$6:$BO$25,Q$94,FALSE))</f>
        <v>3.1373603714968112E-9</v>
      </c>
      <c r="R99" s="53">
        <f>IF($A99="-","-",VLOOKUP($A99,[5]Controle!$A$6:$BO$25,R$94,FALSE))</f>
        <v>5</v>
      </c>
      <c r="S99" s="53">
        <f>IF($A99="-","-",VLOOKUP($A99,[5]Controle!$A$6:$BO$25,S$94,FALSE))</f>
        <v>0</v>
      </c>
      <c r="T99" s="53">
        <f>IF($A99="-","-",VLOOKUP($A99,[5]Controle!$A$6:$BO$25,T$94,FALSE))</f>
        <v>0</v>
      </c>
      <c r="U99" s="53">
        <f>IF($A99="-","-",VLOOKUP($A99,[5]Controle!$A$6:$BO$25,U$94,FALSE))</f>
        <v>0</v>
      </c>
      <c r="V99" s="53">
        <f>IF($A99="-","-",VLOOKUP($A99,[5]Controle!$A$6:$BO$25,V$94,FALSE))</f>
        <v>-1.3753099726219241E-13</v>
      </c>
      <c r="W99" s="53">
        <f>IF($A99="-","-",VLOOKUP($A99,[5]Controle!$A$6:$BO$25,W$94,FALSE))</f>
        <v>4.2669812831905786E-11</v>
      </c>
      <c r="X99" s="53">
        <f>IF($A99="-","-",VLOOKUP($A99,[5]Controle!$A$6:$BO$25,X$94,FALSE))</f>
        <v>-3.2004747853589508E-9</v>
      </c>
      <c r="Y99" s="53">
        <f>IF($A99="-","-",VLOOKUP($A99,[5]Controle!$A$6:$BO$25,Y$94,FALSE))</f>
        <v>3.122138520800993E-8</v>
      </c>
      <c r="Z99" s="53">
        <f>IF($A99="-","-",VLOOKUP($A99,[5]Controle!$A$6:$BO$25,Z$94,FALSE))</f>
        <v>0.99999996582486339</v>
      </c>
      <c r="AA99" s="53">
        <f>IF($A99="-","-",VLOOKUP($A99,[5]Controle!$A$6:$BO$25,AA$94,FALSE))</f>
        <v>7.1363804353755111E-9</v>
      </c>
      <c r="AB99" s="53">
        <f>IF($A99="-","-",VLOOKUP($A99,[5]Controle!$A$6:$BO$25,AB$94,FALSE))</f>
        <v>0.2</v>
      </c>
      <c r="AC99" s="53">
        <f>IF($A99="-","-",VLOOKUP($A99,[5]Controle!$A$6:$BO$25,AC$94,FALSE))</f>
        <v>2.0000000000000001E-4</v>
      </c>
      <c r="AD99" s="53">
        <f>IF($A99="-","-",VLOOKUP($A99,[5]Controle!$A$6:$BO$25,AD$94,FALSE))</f>
        <v>2</v>
      </c>
      <c r="AE99" s="53">
        <f>IF($A99="-","-",VLOOKUP($A99,[5]Controle!$A$6:$BO$25,AE$94,FALSE))</f>
        <v>1000000</v>
      </c>
      <c r="AF99" s="53">
        <f>IF($A99="-","-",VLOOKUP($A99,[5]Controle!$A$6:$BO$25,AF$94,FALSE))</f>
        <v>0.5</v>
      </c>
      <c r="AG99" s="53">
        <f>IF($A99="-","-",VLOOKUP($A99,[5]Controle!$A$6:$BO$25,AG$94,FALSE))</f>
        <v>2.0000000000000001E-4</v>
      </c>
      <c r="AH99" s="53">
        <f>IF($A99="-","-",VLOOKUP($A99,[5]Controle!$A$6:$BO$25,AH$94,FALSE))</f>
        <v>2</v>
      </c>
      <c r="AI99" s="53">
        <f>IF($A99="-","-",VLOOKUP($A99,[5]Controle!$A$6:$BO$25,AI$94,FALSE))</f>
        <v>1000000</v>
      </c>
      <c r="AJ99" s="53">
        <f>IF($A99="-","-",VLOOKUP($A99,[5]Controle!$A$6:$BO$25,AJ$94,FALSE))</f>
        <v>1</v>
      </c>
      <c r="AK99" s="53">
        <f>IF($A99="-","-",VLOOKUP($A99,[5]Controle!$A$6:$BO$25,AK$94,FALSE))</f>
        <v>2.0000000000000001E-4</v>
      </c>
      <c r="AL99" s="53">
        <f>IF($A99="-","-",VLOOKUP($A99,[5]Controle!$A$6:$BO$25,AL$94,FALSE))</f>
        <v>2</v>
      </c>
      <c r="AM99" s="53">
        <f>IF($A99="-","-",VLOOKUP($A99,[5]Controle!$A$6:$BO$25,AM$94,FALSE))</f>
        <v>1000000</v>
      </c>
      <c r="AN99" s="53">
        <f>IF($A99="-","-",VLOOKUP($A99,[5]Controle!$A$6:$BO$25,AN$94,FALSE))</f>
        <v>10</v>
      </c>
      <c r="AO99" s="53">
        <f>IF($A99="-","-",VLOOKUP($A99,[5]Controle!$A$6:$BO$25,AO$94,FALSE))</f>
        <v>2.0000000000000001E-4</v>
      </c>
      <c r="AP99" s="53">
        <f>IF($A99="-","-",VLOOKUP($A99,[5]Controle!$A$6:$BO$25,AP$94,FALSE))</f>
        <v>2</v>
      </c>
      <c r="AQ99" s="53">
        <f>IF($A99="-","-",VLOOKUP($A99,[5]Controle!$A$6:$BO$25,AQ$94,FALSE))</f>
        <v>1000000</v>
      </c>
      <c r="AR99" s="53">
        <f>IF($A99="-","-",VLOOKUP($A99,[5]Controle!$A$6:$BO$25,AR$94,FALSE))</f>
        <v>50</v>
      </c>
      <c r="AS99" s="53">
        <f>IF($A99="-","-",VLOOKUP($A99,[5]Controle!$A$6:$BO$25,AS$94,FALSE))</f>
        <v>2.9999999999999997E-4</v>
      </c>
      <c r="AT99" s="53">
        <f>IF($A99="-","-",VLOOKUP($A99,[5]Controle!$A$6:$BO$25,AT$94,FALSE))</f>
        <v>2</v>
      </c>
      <c r="AU99" s="53">
        <f>IF($A99="-","-",VLOOKUP($A99,[5]Controle!$A$6:$BO$25,AU$94,FALSE))</f>
        <v>1000000</v>
      </c>
      <c r="AV99" s="53">
        <f>IF($A99="-","-",VLOOKUP($A99,[5]Controle!$A$6:$BO$25,AV$94,FALSE))</f>
        <v>100</v>
      </c>
      <c r="AW99" s="53">
        <f>IF($A99="-","-",VLOOKUP($A99,[5]Controle!$A$6:$BO$25,AW$94,FALSE))</f>
        <v>4.0000000000000002E-4</v>
      </c>
      <c r="AX99" s="53">
        <f>IF($A99="-","-",VLOOKUP($A99,[5]Controle!$A$6:$BO$25,AX$94,FALSE))</f>
        <v>2</v>
      </c>
      <c r="AY99" s="53">
        <f>IF($A99="-","-",VLOOKUP($A99,[5]Controle!$A$6:$BO$25,AY$94,FALSE))</f>
        <v>1000000</v>
      </c>
      <c r="AZ99" s="53">
        <f>IF($A99="-","-",VLOOKUP($A99,[5]Controle!$A$6:$BO$25,AZ$94,FALSE))</f>
        <v>200</v>
      </c>
      <c r="BA99" s="53">
        <f>IF($A99="-","-",VLOOKUP($A99,[5]Controle!$A$6:$BO$25,BA$94,FALSE))</f>
        <v>6.9999999999999999E-4</v>
      </c>
      <c r="BB99" s="53">
        <f>IF($A99="-","-",VLOOKUP($A99,[5]Controle!$A$6:$BO$25,BB$94,FALSE))</f>
        <v>2</v>
      </c>
      <c r="BC99" s="53">
        <f>IF($A99="-","-",VLOOKUP($A99,[5]Controle!$A$6:$BO$25,BC$94,FALSE))</f>
        <v>1000000</v>
      </c>
      <c r="BD99" s="53" t="str">
        <f>IF($A99="-","-",VLOOKUP($A99,[5]Controle!$A$6:$BO$25,BD$94,FALSE))</f>
        <v>-</v>
      </c>
      <c r="BE99" s="53" t="str">
        <f>IF($A99="-","-",VLOOKUP($A99,[5]Controle!$A$6:$BO$25,BE$94,FALSE))</f>
        <v>-</v>
      </c>
      <c r="BF99" s="53" t="str">
        <f>IF($A99="-","-",VLOOKUP($A99,[5]Controle!$A$6:$BO$25,BF$94,FALSE))</f>
        <v>-</v>
      </c>
      <c r="BG99" s="53" t="str">
        <f>IF($A99="-","-",VLOOKUP($A99,[5]Controle!$A$6:$BO$25,BG$94,FALSE))</f>
        <v>-</v>
      </c>
      <c r="BH99" s="53" t="str">
        <f>IF($A99="-","-",VLOOKUP($A99,[5]Controle!$A$6:$BO$25,BH$94,FALSE))</f>
        <v>-</v>
      </c>
      <c r="BI99" s="53" t="str">
        <f>IF($A99="-","-",VLOOKUP($A99,[5]Controle!$A$6:$BO$25,BI$94,FALSE))</f>
        <v>-</v>
      </c>
      <c r="BJ99" s="53" t="str">
        <f>IF($A99="-","-",VLOOKUP($A99,[5]Controle!$A$6:$BO$25,BJ$94,FALSE))</f>
        <v>-</v>
      </c>
      <c r="BK99" s="53" t="str">
        <f>IF($A99="-","-",VLOOKUP($A99,[5]Controle!$A$6:$BO$25,BK$94,FALSE))</f>
        <v>-</v>
      </c>
      <c r="BL99" s="53" t="str">
        <f>IF($A99="-","-",VLOOKUP($A99,[5]Controle!$A$6:$BO$25,BL$94,FALSE))</f>
        <v>-</v>
      </c>
      <c r="BM99" s="53" t="str">
        <f>IF($A99="-","-",VLOOKUP($A99,[5]Controle!$A$6:$BO$25,BM$94,FALSE))</f>
        <v>-</v>
      </c>
      <c r="BN99" s="53" t="str">
        <f>IF($A99="-","-",VLOOKUP($A99,[5]Controle!$A$6:$BO$25,BN$94,FALSE))</f>
        <v>-</v>
      </c>
      <c r="BO99" s="53" t="str">
        <f>IF($A99="-","-",VLOOKUP($A99,[5]Controle!$A$6:$BO$25,BO$94,FALSE))</f>
        <v>-</v>
      </c>
      <c r="BP99" s="53">
        <f>IF($A99="-","-",VLOOKUP($A99,[5]Controle!$A$6:$BY$25,BP$94,FALSE))</f>
        <v>0</v>
      </c>
      <c r="BQ99" s="53">
        <f>IF($A99="-","-",VLOOKUP($A99,[5]Controle!$A$6:$BY$25,BQ$94,FALSE))</f>
        <v>0</v>
      </c>
      <c r="BR99" s="53">
        <f>IF($A99="-","-",VLOOKUP($A99,[5]Controle!$A$6:$BY$25,BR$94,FALSE))</f>
        <v>0</v>
      </c>
      <c r="BS99" s="53">
        <f>IF($A99="-","-",VLOOKUP($A99,[5]Controle!$A$6:$BY$25,BS$94,FALSE))</f>
        <v>0</v>
      </c>
      <c r="BT99" s="53">
        <f>IF($A99="-","-",VLOOKUP($A99,[5]Controle!$A$6:$BY$25,BT$94,FALSE))</f>
        <v>1.0000000000331966E-4</v>
      </c>
      <c r="BU99" s="53">
        <f>IF($A99="-","-",VLOOKUP($A99,[5]Controle!$A$6:$BY$25,BU$94,FALSE))</f>
        <v>0</v>
      </c>
      <c r="BV99" s="53">
        <f>IF($A99="-","-",VLOOKUP($A99,[5]Controle!$A$6:$BY$25,BV$94,FALSE))</f>
        <v>1.0000000000331966E-4</v>
      </c>
      <c r="BW99" s="53">
        <f>IF($A99="-","-",VLOOKUP($A99,[5]Controle!$A$6:$BY$25,BW$94,FALSE))</f>
        <v>0</v>
      </c>
      <c r="BX99" s="53">
        <f>IF($A99="-","-",VLOOKUP($A99,[5]Controle!$A$6:$BY$25,BX$94,FALSE))</f>
        <v>0</v>
      </c>
      <c r="BY99" s="53">
        <f>IF($A99="-","-",VLOOKUP($A99,[5]Controle!$A$6:$BY$25,BY$94,FALSE))</f>
        <v>0</v>
      </c>
      <c r="BZ99" s="53">
        <f>IF($A99="-","-",VLOOKUP($A99,[5]Controle!$A$6:$CI$25,BZ$94,FALSE))</f>
        <v>0</v>
      </c>
      <c r="CA99" s="53">
        <f>IF($A99="-","-",VLOOKUP($A99,[5]Controle!$A$6:$CI$25,CA$94,FALSE))</f>
        <v>9.9999999999988987E-5</v>
      </c>
      <c r="CB99" s="53">
        <f>IF($A99="-","-",VLOOKUP($A99,[5]Controle!$A$6:$CI$25,CB$94,FALSE))</f>
        <v>9.9999999999988987E-5</v>
      </c>
      <c r="CC99" s="53">
        <f>IF($A99="-","-",VLOOKUP($A99,[5]Controle!$A$6:$CI$25,CC$94,FALSE))</f>
        <v>9.9999999999766942E-5</v>
      </c>
      <c r="CD99" s="53">
        <f>IF($A99="-","-",VLOOKUP($A99,[5]Controle!$A$6:$CI$25,CD$94,FALSE))</f>
        <v>0</v>
      </c>
      <c r="CE99" s="53">
        <f>IF($A99="-","-",VLOOKUP($A99,[5]Controle!$A$6:$CI$25,CE$94,FALSE))</f>
        <v>0</v>
      </c>
      <c r="CF99" s="53">
        <f>IF($A99="-","-",VLOOKUP($A99,[5]Controle!$A$6:$CI$25,CF$94,FALSE))</f>
        <v>0</v>
      </c>
      <c r="CG99" s="53">
        <f>IF($A99="-","-",VLOOKUP($A99,[5]Controle!$A$6:$CI$25,CG$94,FALSE))</f>
        <v>0</v>
      </c>
      <c r="CH99" s="53">
        <f>IF($A99="-","-",VLOOKUP($A99,[5]Controle!$A$6:$CI$25,CH$94,FALSE))</f>
        <v>0</v>
      </c>
      <c r="CI99" s="53">
        <f>IF($A99="-","-",VLOOKUP($A99,[5]Controle!$A$6:$CI$25,CI$94,FALSE))</f>
        <v>0</v>
      </c>
      <c r="CT99" s="41">
        <f ca="1">IF(CV99="-",0,MAX($CT$97:CT98)+1)</f>
        <v>3</v>
      </c>
      <c r="CU99" s="53" t="str">
        <f t="shared" ca="1" si="45"/>
        <v>VÁLIDO</v>
      </c>
      <c r="CV99" s="53" t="str">
        <f t="shared" ca="1" si="44"/>
        <v>E.MS.LQ-004</v>
      </c>
      <c r="CW99" s="53">
        <f t="shared" si="46"/>
        <v>6</v>
      </c>
      <c r="CX99" s="41">
        <f t="shared" ref="CX99:CX116" si="48">CX98+1</f>
        <v>3</v>
      </c>
      <c r="CY99" s="41" t="str">
        <f t="shared" si="47"/>
        <v>E</v>
      </c>
    </row>
    <row r="100" spans="1:103" x14ac:dyDescent="0.3">
      <c r="A100" s="56">
        <v>10</v>
      </c>
      <c r="B100" s="53" t="str">
        <f>IF($A100="-","-",VLOOKUP($A100,[5]Controle!$A$6:$BO$25,B$94,FALSE))</f>
        <v>E.MS.LQ-005</v>
      </c>
      <c r="C100" s="53" t="str">
        <f>IF($A100="-","-",VLOOKUP($A100,[5]Controle!$A$6:$BO$25,C$94,FALSE))</f>
        <v>Balança Analítica</v>
      </c>
      <c r="D100" s="53" t="str">
        <f>IF($A100="-","-",VLOOKUP($A100,[5]Controle!$A$6:$BO$25,D$94,FALSE))</f>
        <v xml:space="preserve">Elus </v>
      </c>
      <c r="E100" s="53" t="str">
        <f>IF($A100="-","-",VLOOKUP($A100,[5]Controle!$A$6:$BO$25,E$94,FALSE))</f>
        <v>RBC - CAL 0439</v>
      </c>
      <c r="F100" s="53" t="str">
        <f>IF($A100="-","-",VLOOKUP($A100,[5]Controle!$A$6:$BO$25,F$94,FALSE))</f>
        <v>E0013/26</v>
      </c>
      <c r="G100" s="54">
        <f>IF($A100="-","-",VLOOKUP($A100,[5]Controle!$A$6:$BO$25,G$94,FALSE))</f>
        <v>46031</v>
      </c>
      <c r="H100" s="55">
        <f>IF($A100="-","-",VLOOKUP($A100,[5]Controle!$A$6:$BO$25,H$94,FALSE))</f>
        <v>46417</v>
      </c>
      <c r="I100" s="53" t="str">
        <f>IF($A100="-","-",VLOOKUP($A100,[5]Controle!$A$6:$BO$25,I$94,FALSE))</f>
        <v>g</v>
      </c>
      <c r="J100" s="53">
        <f>IF($A100="-","-",VLOOKUP($A100,[5]Controle!$A$6:$BO$25,J$94,FALSE))</f>
        <v>1E-3</v>
      </c>
      <c r="K100" s="53">
        <f>IF($A100="-","-",VLOOKUP($A100,[5]Controle!$A$6:$BO$25,K$94,FALSE))</f>
        <v>220</v>
      </c>
      <c r="L100" s="53">
        <f>IF($A100="-","-",VLOOKUP($A100,[5]Controle!$A$6:$BO$25,L$94,FALSE))</f>
        <v>1.0000000000000001E-5</v>
      </c>
      <c r="M100" s="53">
        <f>IF($A100="-","-",VLOOKUP($A100,[5]Controle!$A$6:$BO$25,M$94,FALSE))</f>
        <v>1.0000000000331966E-4</v>
      </c>
      <c r="N100" s="53">
        <f>IF($A100="-","-",VLOOKUP($A100,[5]Controle!$A$6:$BO$25,N$94,FALSE))</f>
        <v>8.0000000000000004E-4</v>
      </c>
      <c r="O100" s="53">
        <f>IF($A100="-","-",VLOOKUP($A100,[5]Controle!$A$6:$BO$25,O$94,FALSE))</f>
        <v>2.0000000000663931E-4</v>
      </c>
      <c r="P100" s="53">
        <f>IF($A100="-","-",VLOOKUP($A100,[5]Controle!$A$6:$BO$25,P$94,FALSE))</f>
        <v>0</v>
      </c>
      <c r="Q100" s="53">
        <f>IF($A100="-","-",VLOOKUP($A100,[5]Controle!$A$6:$BO$25,Q$94,FALSE))</f>
        <v>7.067691130346887E-6</v>
      </c>
      <c r="R100" s="53">
        <f>IF($A100="-","-",VLOOKUP($A100,[5]Controle!$A$6:$BO$25,R$94,FALSE))</f>
        <v>5</v>
      </c>
      <c r="S100" s="53">
        <f>IF($A100="-","-",VLOOKUP($A100,[5]Controle!$A$6:$BO$25,S$94,FALSE))</f>
        <v>0</v>
      </c>
      <c r="T100" s="53">
        <f>IF($A100="-","-",VLOOKUP($A100,[5]Controle!$A$6:$BO$25,T$94,FALSE))</f>
        <v>0</v>
      </c>
      <c r="U100" s="53">
        <f>IF($A100="-","-",VLOOKUP($A100,[5]Controle!$A$6:$BO$25,U$94,FALSE))</f>
        <v>0</v>
      </c>
      <c r="V100" s="53">
        <f>IF($A100="-","-",VLOOKUP($A100,[5]Controle!$A$6:$BO$25,V$94,FALSE))</f>
        <v>-5.212734296335124E-15</v>
      </c>
      <c r="W100" s="53">
        <f>IF($A100="-","-",VLOOKUP($A100,[5]Controle!$A$6:$BO$25,W$94,FALSE))</f>
        <v>2.5973353895409455E-12</v>
      </c>
      <c r="X100" s="53">
        <f>IF($A100="-","-",VLOOKUP($A100,[5]Controle!$A$6:$BO$25,X$94,FALSE))</f>
        <v>-4.8674512694499971E-10</v>
      </c>
      <c r="Y100" s="53">
        <f>IF($A100="-","-",VLOOKUP($A100,[5]Controle!$A$6:$BO$25,Y$94,FALSE))</f>
        <v>4.033339705586922E-8</v>
      </c>
      <c r="Z100" s="53">
        <f>IF($A100="-","-",VLOOKUP($A100,[5]Controle!$A$6:$BO$25,Z$94,FALSE))</f>
        <v>0.99999880798902774</v>
      </c>
      <c r="AA100" s="53">
        <f>IF($A100="-","-",VLOOKUP($A100,[5]Controle!$A$6:$BO$25,AA$94,FALSE))</f>
        <v>-4.9940003418139523E-6</v>
      </c>
      <c r="AB100" s="53">
        <f>IF($A100="-","-",VLOOKUP($A100,[5]Controle!$A$6:$BO$25,AB$94,FALSE))</f>
        <v>1E-3</v>
      </c>
      <c r="AC100" s="53">
        <f>IF($A100="-","-",VLOOKUP($A100,[5]Controle!$A$6:$BO$25,AC$94,FALSE))</f>
        <v>2.0000000000000002E-5</v>
      </c>
      <c r="AD100" s="53">
        <f>IF($A100="-","-",VLOOKUP($A100,[5]Controle!$A$6:$BO$25,AD$94,FALSE))</f>
        <v>2.02</v>
      </c>
      <c r="AE100" s="53">
        <f>IF($A100="-","-",VLOOKUP($A100,[5]Controle!$A$6:$BO$25,AE$94,FALSE))</f>
        <v>142</v>
      </c>
      <c r="AF100" s="53">
        <f>IF($A100="-","-",VLOOKUP($A100,[5]Controle!$A$6:$BO$25,AF$94,FALSE))</f>
        <v>5.0000000000000001E-3</v>
      </c>
      <c r="AG100" s="53">
        <f>IF($A100="-","-",VLOOKUP($A100,[5]Controle!$A$6:$BO$25,AG$94,FALSE))</f>
        <v>2.0000000000000002E-5</v>
      </c>
      <c r="AH100" s="53">
        <f>IF($A100="-","-",VLOOKUP($A100,[5]Controle!$A$6:$BO$25,AH$94,FALSE))</f>
        <v>2.02</v>
      </c>
      <c r="AI100" s="53">
        <f>IF($A100="-","-",VLOOKUP($A100,[5]Controle!$A$6:$BO$25,AI$94,FALSE))</f>
        <v>141</v>
      </c>
      <c r="AJ100" s="53">
        <f>IF($A100="-","-",VLOOKUP($A100,[5]Controle!$A$6:$BO$25,AJ$94,FALSE))</f>
        <v>5</v>
      </c>
      <c r="AK100" s="53">
        <f>IF($A100="-","-",VLOOKUP($A100,[5]Controle!$A$6:$BO$25,AK$94,FALSE))</f>
        <v>3.0000000000000001E-5</v>
      </c>
      <c r="AL100" s="53">
        <f>IF($A100="-","-",VLOOKUP($A100,[5]Controle!$A$6:$BO$25,AL$94,FALSE))</f>
        <v>2</v>
      </c>
      <c r="AM100" s="53">
        <f>IF($A100="-","-",VLOOKUP($A100,[5]Controle!$A$6:$BO$25,AM$94,FALSE))</f>
        <v>880</v>
      </c>
      <c r="AN100" s="53">
        <f>IF($A100="-","-",VLOOKUP($A100,[5]Controle!$A$6:$BO$25,AN$94,FALSE))</f>
        <v>50</v>
      </c>
      <c r="AO100" s="53">
        <f>IF($A100="-","-",VLOOKUP($A100,[5]Controle!$A$6:$BO$25,AO$94,FALSE))</f>
        <v>1.4999999999999999E-4</v>
      </c>
      <c r="AP100" s="53">
        <f>IF($A100="-","-",VLOOKUP($A100,[5]Controle!$A$6:$BO$25,AP$94,FALSE))</f>
        <v>2</v>
      </c>
      <c r="AQ100" s="53">
        <f>IF($A100="-","-",VLOOKUP($A100,[5]Controle!$A$6:$BO$25,AQ$94,FALSE))</f>
        <v>1000000</v>
      </c>
      <c r="AR100" s="53">
        <f>IF($A100="-","-",VLOOKUP($A100,[5]Controle!$A$6:$BO$25,AR$94,FALSE))</f>
        <v>100</v>
      </c>
      <c r="AS100" s="53">
        <f>IF($A100="-","-",VLOOKUP($A100,[5]Controle!$A$6:$BO$25,AS$94,FALSE))</f>
        <v>4.0000000000000002E-4</v>
      </c>
      <c r="AT100" s="53">
        <f>IF($A100="-","-",VLOOKUP($A100,[5]Controle!$A$6:$BO$25,AT$94,FALSE))</f>
        <v>2</v>
      </c>
      <c r="AU100" s="53">
        <f>IF($A100="-","-",VLOOKUP($A100,[5]Controle!$A$6:$BO$25,AU$94,FALSE))</f>
        <v>1000000</v>
      </c>
      <c r="AV100" s="53">
        <f>IF($A100="-","-",VLOOKUP($A100,[5]Controle!$A$6:$BO$25,AV$94,FALSE))</f>
        <v>150</v>
      </c>
      <c r="AW100" s="53">
        <f>IF($A100="-","-",VLOOKUP($A100,[5]Controle!$A$6:$BO$25,AW$94,FALSE))</f>
        <v>5.0000000000000001E-4</v>
      </c>
      <c r="AX100" s="53">
        <f>IF($A100="-","-",VLOOKUP($A100,[5]Controle!$A$6:$BO$25,AX$94,FALSE))</f>
        <v>2</v>
      </c>
      <c r="AY100" s="53">
        <f>IF($A100="-","-",VLOOKUP($A100,[5]Controle!$A$6:$BO$25,AY$94,FALSE))</f>
        <v>1000000</v>
      </c>
      <c r="AZ100" s="53">
        <f>IF($A100="-","-",VLOOKUP($A100,[5]Controle!$A$6:$BO$25,AZ$94,FALSE))</f>
        <v>220</v>
      </c>
      <c r="BA100" s="53">
        <f>IF($A100="-","-",VLOOKUP($A100,[5]Controle!$A$6:$BO$25,BA$94,FALSE))</f>
        <v>8.0000000000000004E-4</v>
      </c>
      <c r="BB100" s="53">
        <f>IF($A100="-","-",VLOOKUP($A100,[5]Controle!$A$6:$BO$25,BB$94,FALSE))</f>
        <v>2</v>
      </c>
      <c r="BC100" s="53">
        <f>IF($A100="-","-",VLOOKUP($A100,[5]Controle!$A$6:$BO$25,BC$94,FALSE))</f>
        <v>1000000</v>
      </c>
      <c r="BD100" s="53" t="str">
        <f>IF($A100="-","-",VLOOKUP($A100,[5]Controle!$A$6:$BO$25,BD$94,FALSE))</f>
        <v>-</v>
      </c>
      <c r="BE100" s="53" t="str">
        <f>IF($A100="-","-",VLOOKUP($A100,[5]Controle!$A$6:$BO$25,BE$94,FALSE))</f>
        <v>-</v>
      </c>
      <c r="BF100" s="53" t="str">
        <f>IF($A100="-","-",VLOOKUP($A100,[5]Controle!$A$6:$BO$25,BF$94,FALSE))</f>
        <v>-</v>
      </c>
      <c r="BG100" s="53" t="str">
        <f>IF($A100="-","-",VLOOKUP($A100,[5]Controle!$A$6:$BO$25,BG$94,FALSE))</f>
        <v>-</v>
      </c>
      <c r="BH100" s="53" t="str">
        <f>IF($A100="-","-",VLOOKUP($A100,[5]Controle!$A$6:$BO$25,BH$94,FALSE))</f>
        <v>-</v>
      </c>
      <c r="BI100" s="53" t="str">
        <f>IF($A100="-","-",VLOOKUP($A100,[5]Controle!$A$6:$BO$25,BI$94,FALSE))</f>
        <v>-</v>
      </c>
      <c r="BJ100" s="53" t="str">
        <f>IF($A100="-","-",VLOOKUP($A100,[5]Controle!$A$6:$BO$25,BJ$94,FALSE))</f>
        <v>-</v>
      </c>
      <c r="BK100" s="53" t="str">
        <f>IF($A100="-","-",VLOOKUP($A100,[5]Controle!$A$6:$BO$25,BK$94,FALSE))</f>
        <v>-</v>
      </c>
      <c r="BL100" s="53" t="str">
        <f>IF($A100="-","-",VLOOKUP($A100,[5]Controle!$A$6:$BO$25,BL$94,FALSE))</f>
        <v>-</v>
      </c>
      <c r="BM100" s="53" t="str">
        <f>IF($A100="-","-",VLOOKUP($A100,[5]Controle!$A$6:$BO$25,BM$94,FALSE))</f>
        <v>-</v>
      </c>
      <c r="BN100" s="53" t="str">
        <f>IF($A100="-","-",VLOOKUP($A100,[5]Controle!$A$6:$BO$25,BN$94,FALSE))</f>
        <v>-</v>
      </c>
      <c r="BO100" s="53" t="str">
        <f>IF($A100="-","-",VLOOKUP($A100,[5]Controle!$A$6:$BO$25,BO$94,FALSE))</f>
        <v>-</v>
      </c>
      <c r="BP100" s="53">
        <f>IF($A100="-","-",VLOOKUP($A100,[5]Controle!$A$6:$BY$25,BP$94,FALSE))</f>
        <v>0</v>
      </c>
      <c r="BQ100" s="53">
        <f>IF($A100="-","-",VLOOKUP($A100,[5]Controle!$A$6:$BY$25,BQ$94,FALSE))</f>
        <v>9.9999999999995925E-6</v>
      </c>
      <c r="BR100" s="53">
        <f>IF($A100="-","-",VLOOKUP($A100,[5]Controle!$A$6:$BY$25,BR$94,FALSE))</f>
        <v>9.9999999996214228E-6</v>
      </c>
      <c r="BS100" s="53">
        <f>IF($A100="-","-",VLOOKUP($A100,[5]Controle!$A$6:$BY$25,BS$94,FALSE))</f>
        <v>1.0000000003174137E-5</v>
      </c>
      <c r="BT100" s="53">
        <f>IF($A100="-","-",VLOOKUP($A100,[5]Controle!$A$6:$BY$25,BT$94,FALSE))</f>
        <v>0</v>
      </c>
      <c r="BU100" s="53">
        <f>IF($A100="-","-",VLOOKUP($A100,[5]Controle!$A$6:$BY$25,BU$94,FALSE))</f>
        <v>0</v>
      </c>
      <c r="BV100" s="53">
        <f>IF($A100="-","-",VLOOKUP($A100,[5]Controle!$A$6:$BY$25,BV$94,FALSE))</f>
        <v>1.0000000000331966E-4</v>
      </c>
      <c r="BW100" s="53">
        <f>IF($A100="-","-",VLOOKUP($A100,[5]Controle!$A$6:$BY$25,BW$94,FALSE))</f>
        <v>0</v>
      </c>
      <c r="BX100" s="53">
        <f>IF($A100="-","-",VLOOKUP($A100,[5]Controle!$A$6:$BY$25,BX$94,FALSE))</f>
        <v>0</v>
      </c>
      <c r="BY100" s="53">
        <f>IF($A100="-","-",VLOOKUP($A100,[5]Controle!$A$6:$BY$25,BY$94,FALSE))</f>
        <v>0</v>
      </c>
      <c r="BZ100" s="53">
        <f>IF($A100="-","-",VLOOKUP($A100,[5]Controle!$A$6:$CI$25,BZ$94,FALSE))</f>
        <v>1.0000000000000026E-5</v>
      </c>
      <c r="CA100" s="53">
        <f>IF($A100="-","-",VLOOKUP($A100,[5]Controle!$A$6:$CI$25,CA$94,FALSE))</f>
        <v>0</v>
      </c>
      <c r="CB100" s="53">
        <f>IF($A100="-","-",VLOOKUP($A100,[5]Controle!$A$6:$CI$25,CB$94,FALSE))</f>
        <v>-9.9999999996214228E-6</v>
      </c>
      <c r="CC100" s="53">
        <f>IF($A100="-","-",VLOOKUP($A100,[5]Controle!$A$6:$CI$25,CC$94,FALSE))</f>
        <v>9.9999999960687092E-6</v>
      </c>
      <c r="CD100" s="53">
        <f>IF($A100="-","-",VLOOKUP($A100,[5]Controle!$A$6:$CI$25,CD$94,FALSE))</f>
        <v>0</v>
      </c>
      <c r="CE100" s="53">
        <f>IF($A100="-","-",VLOOKUP($A100,[5]Controle!$A$6:$CI$25,CE$94,FALSE))</f>
        <v>-1.0000000000331966E-4</v>
      </c>
      <c r="CF100" s="53">
        <f>IF($A100="-","-",VLOOKUP($A100,[5]Controle!$A$6:$CI$25,CF$94,FALSE))</f>
        <v>-2.0000000000663931E-4</v>
      </c>
      <c r="CG100" s="53">
        <f>IF($A100="-","-",VLOOKUP($A100,[5]Controle!$A$6:$CI$25,CG$94,FALSE))</f>
        <v>0</v>
      </c>
      <c r="CH100" s="53">
        <f>IF($A100="-","-",VLOOKUP($A100,[5]Controle!$A$6:$CI$25,CH$94,FALSE))</f>
        <v>0</v>
      </c>
      <c r="CI100" s="53">
        <f>IF($A100="-","-",VLOOKUP($A100,[5]Controle!$A$6:$CI$25,CI$94,FALSE))</f>
        <v>0</v>
      </c>
      <c r="CT100" s="41">
        <f ca="1">IF(CV100="-",0,MAX($CT$97:CT99)+1)</f>
        <v>4</v>
      </c>
      <c r="CU100" s="53" t="str">
        <f t="shared" ca="1" si="45"/>
        <v>VÁLIDO</v>
      </c>
      <c r="CV100" s="53" t="str">
        <f t="shared" ca="1" si="44"/>
        <v>E.MS.LQ-005</v>
      </c>
      <c r="CW100" s="53">
        <f t="shared" si="46"/>
        <v>10</v>
      </c>
      <c r="CX100" s="41">
        <f t="shared" si="48"/>
        <v>4</v>
      </c>
      <c r="CY100" s="41" t="str">
        <f t="shared" si="47"/>
        <v>E</v>
      </c>
    </row>
    <row r="101" spans="1:103" x14ac:dyDescent="0.3">
      <c r="A101" s="56">
        <v>9</v>
      </c>
      <c r="B101" s="53" t="str">
        <f>IF($A101="-","-",VLOOKUP($A101,[5]Controle!$A$6:$BO$25,B$94,FALSE))</f>
        <v>E.MS.LQ-006</v>
      </c>
      <c r="C101" s="53" t="str">
        <f>IF($A101="-","-",VLOOKUP($A101,[5]Controle!$A$6:$BO$25,C$94,FALSE))</f>
        <v>Balança Analítica</v>
      </c>
      <c r="D101" s="53" t="str">
        <f>IF($A101="-","-",VLOOKUP($A101,[5]Controle!$A$6:$BO$25,D$94,FALSE))</f>
        <v xml:space="preserve">Elus </v>
      </c>
      <c r="E101" s="53" t="str">
        <f>IF($A101="-","-",VLOOKUP($A101,[5]Controle!$A$6:$BO$25,E$94,FALSE))</f>
        <v>RBC - CAL 0439</v>
      </c>
      <c r="F101" s="53" t="str">
        <f>IF($A101="-","-",VLOOKUP($A101,[5]Controle!$A$6:$BO$25,F$94,FALSE))</f>
        <v>E0014/26</v>
      </c>
      <c r="G101" s="54">
        <f>IF($A101="-","-",VLOOKUP($A101,[5]Controle!$A$6:$BO$25,G$94,FALSE))</f>
        <v>46031</v>
      </c>
      <c r="H101" s="55">
        <f>IF($A101="-","-",VLOOKUP($A101,[5]Controle!$A$6:$BO$25,H$94,FALSE))</f>
        <v>46417</v>
      </c>
      <c r="I101" s="53" t="str">
        <f>IF($A101="-","-",VLOOKUP($A101,[5]Controle!$A$6:$BO$25,I$94,FALSE))</f>
        <v>g</v>
      </c>
      <c r="J101" s="53">
        <f>IF($A101="-","-",VLOOKUP($A101,[5]Controle!$A$6:$BO$25,J$94,FALSE))</f>
        <v>1E-3</v>
      </c>
      <c r="K101" s="53">
        <f>IF($A101="-","-",VLOOKUP($A101,[5]Controle!$A$6:$BO$25,K$94,FALSE))</f>
        <v>220</v>
      </c>
      <c r="L101" s="53">
        <f>IF($A101="-","-",VLOOKUP($A101,[5]Controle!$A$6:$BO$25,L$94,FALSE))</f>
        <v>1.0000000000000001E-5</v>
      </c>
      <c r="M101" s="53">
        <f>IF($A101="-","-",VLOOKUP($A101,[5]Controle!$A$6:$BO$25,M$94,FALSE))</f>
        <v>2.0000000000663931E-4</v>
      </c>
      <c r="N101" s="53">
        <f>IF($A101="-","-",VLOOKUP($A101,[5]Controle!$A$6:$BO$25,N$94,FALSE))</f>
        <v>8.0000000000000004E-4</v>
      </c>
      <c r="O101" s="53">
        <f>IF($A101="-","-",VLOOKUP($A101,[5]Controle!$A$6:$BO$25,O$94,FALSE))</f>
        <v>1.0000000000331966E-4</v>
      </c>
      <c r="P101" s="53">
        <f>IF($A101="-","-",VLOOKUP($A101,[5]Controle!$A$6:$BO$25,P$94,FALSE))</f>
        <v>1.0000000000331966E-4</v>
      </c>
      <c r="Q101" s="53">
        <f>IF($A101="-","-",VLOOKUP($A101,[5]Controle!$A$6:$BO$25,Q$94,FALSE))</f>
        <v>6.1803135942284371E-9</v>
      </c>
      <c r="R101" s="53">
        <f>IF($A101="-","-",VLOOKUP($A101,[5]Controle!$A$6:$BO$25,R$94,FALSE))</f>
        <v>5</v>
      </c>
      <c r="S101" s="53">
        <f>IF($A101="-","-",VLOOKUP($A101,[5]Controle!$A$6:$BO$25,S$94,FALSE))</f>
        <v>0</v>
      </c>
      <c r="T101" s="53">
        <f>IF($A101="-","-",VLOOKUP($A101,[5]Controle!$A$6:$BO$25,T$94,FALSE))</f>
        <v>0</v>
      </c>
      <c r="U101" s="53">
        <f>IF($A101="-","-",VLOOKUP($A101,[5]Controle!$A$6:$BO$25,U$94,FALSE))</f>
        <v>0</v>
      </c>
      <c r="V101" s="53">
        <f>IF($A101="-","-",VLOOKUP($A101,[5]Controle!$A$6:$BO$25,V$94,FALSE))</f>
        <v>9.2046017820784507E-15</v>
      </c>
      <c r="W101" s="53">
        <f>IF($A101="-","-",VLOOKUP($A101,[5]Controle!$A$6:$BO$25,W$94,FALSE))</f>
        <v>-3.7590928263780877E-12</v>
      </c>
      <c r="X101" s="53">
        <f>IF($A101="-","-",VLOOKUP($A101,[5]Controle!$A$6:$BO$25,X$94,FALSE))</f>
        <v>2.4576369888003372E-10</v>
      </c>
      <c r="Y101" s="53">
        <f>IF($A101="-","-",VLOOKUP($A101,[5]Controle!$A$6:$BO$25,Y$94,FALSE))</f>
        <v>3.5662296261772284E-8</v>
      </c>
      <c r="Z101" s="53">
        <f>IF($A101="-","-",VLOOKUP($A101,[5]Controle!$A$6:$BO$25,Z$94,FALSE))</f>
        <v>0.99999781470238691</v>
      </c>
      <c r="AA101" s="53">
        <f>IF($A101="-","-",VLOOKUP($A101,[5]Controle!$A$6:$BO$25,AA$94,FALSE))</f>
        <v>6.5532818904496387E-9</v>
      </c>
      <c r="AB101" s="53">
        <f>IF($A101="-","-",VLOOKUP($A101,[5]Controle!$A$6:$BO$25,AB$94,FALSE))</f>
        <v>1E-3</v>
      </c>
      <c r="AC101" s="53">
        <f>IF($A101="-","-",VLOOKUP($A101,[5]Controle!$A$6:$BO$25,AC$94,FALSE))</f>
        <v>2.0000000000000002E-5</v>
      </c>
      <c r="AD101" s="53">
        <f>IF($A101="-","-",VLOOKUP($A101,[5]Controle!$A$6:$BO$25,AD$94,FALSE))</f>
        <v>2.02</v>
      </c>
      <c r="AE101" s="53">
        <f>IF($A101="-","-",VLOOKUP($A101,[5]Controle!$A$6:$BO$25,AE$94,FALSE))</f>
        <v>142</v>
      </c>
      <c r="AF101" s="53">
        <f>IF($A101="-","-",VLOOKUP($A101,[5]Controle!$A$6:$BO$25,AF$94,FALSE))</f>
        <v>5.0000000000000001E-3</v>
      </c>
      <c r="AG101" s="53">
        <f>IF($A101="-","-",VLOOKUP($A101,[5]Controle!$A$6:$BO$25,AG$94,FALSE))</f>
        <v>2.0000000000000002E-5</v>
      </c>
      <c r="AH101" s="53">
        <f>IF($A101="-","-",VLOOKUP($A101,[5]Controle!$A$6:$BO$25,AH$94,FALSE))</f>
        <v>2</v>
      </c>
      <c r="AI101" s="53">
        <f>IF($A101="-","-",VLOOKUP($A101,[5]Controle!$A$6:$BO$25,AI$94,FALSE))</f>
        <v>1000000</v>
      </c>
      <c r="AJ101" s="53">
        <f>IF($A101="-","-",VLOOKUP($A101,[5]Controle!$A$6:$BO$25,AJ$94,FALSE))</f>
        <v>5</v>
      </c>
      <c r="AK101" s="53">
        <f>IF($A101="-","-",VLOOKUP($A101,[5]Controle!$A$6:$BO$25,AK$94,FALSE))</f>
        <v>3.0000000000000001E-5</v>
      </c>
      <c r="AL101" s="53">
        <f>IF($A101="-","-",VLOOKUP($A101,[5]Controle!$A$6:$BO$25,AL$94,FALSE))</f>
        <v>2</v>
      </c>
      <c r="AM101" s="53">
        <f>IF($A101="-","-",VLOOKUP($A101,[5]Controle!$A$6:$BO$25,AM$94,FALSE))</f>
        <v>1000000</v>
      </c>
      <c r="AN101" s="53">
        <f>IF($A101="-","-",VLOOKUP($A101,[5]Controle!$A$6:$BO$25,AN$94,FALSE))</f>
        <v>50</v>
      </c>
      <c r="AO101" s="53">
        <f>IF($A101="-","-",VLOOKUP($A101,[5]Controle!$A$6:$BO$25,AO$94,FALSE))</f>
        <v>1.4999999999999999E-4</v>
      </c>
      <c r="AP101" s="53">
        <f>IF($A101="-","-",VLOOKUP($A101,[5]Controle!$A$6:$BO$25,AP$94,FALSE))</f>
        <v>2</v>
      </c>
      <c r="AQ101" s="53">
        <f>IF($A101="-","-",VLOOKUP($A101,[5]Controle!$A$6:$BO$25,AQ$94,FALSE))</f>
        <v>1000000</v>
      </c>
      <c r="AR101" s="53">
        <f>IF($A101="-","-",VLOOKUP($A101,[5]Controle!$A$6:$BO$25,AR$94,FALSE))</f>
        <v>100</v>
      </c>
      <c r="AS101" s="53">
        <f>IF($A101="-","-",VLOOKUP($A101,[5]Controle!$A$6:$BO$25,AS$94,FALSE))</f>
        <v>4.0000000000000002E-4</v>
      </c>
      <c r="AT101" s="53">
        <f>IF($A101="-","-",VLOOKUP($A101,[5]Controle!$A$6:$BO$25,AT$94,FALSE))</f>
        <v>2</v>
      </c>
      <c r="AU101" s="53">
        <f>IF($A101="-","-",VLOOKUP($A101,[5]Controle!$A$6:$BO$25,AU$94,FALSE))</f>
        <v>1000000</v>
      </c>
      <c r="AV101" s="53">
        <f>IF($A101="-","-",VLOOKUP($A101,[5]Controle!$A$6:$BO$25,AV$94,FALSE))</f>
        <v>150</v>
      </c>
      <c r="AW101" s="53">
        <f>IF($A101="-","-",VLOOKUP($A101,[5]Controle!$A$6:$BO$25,AW$94,FALSE))</f>
        <v>5.0000000000000001E-4</v>
      </c>
      <c r="AX101" s="53">
        <f>IF($A101="-","-",VLOOKUP($A101,[5]Controle!$A$6:$BO$25,AX$94,FALSE))</f>
        <v>2</v>
      </c>
      <c r="AY101" s="53">
        <f>IF($A101="-","-",VLOOKUP($A101,[5]Controle!$A$6:$BO$25,AY$94,FALSE))</f>
        <v>1000000</v>
      </c>
      <c r="AZ101" s="53">
        <f>IF($A101="-","-",VLOOKUP($A101,[5]Controle!$A$6:$BO$25,AZ$94,FALSE))</f>
        <v>220</v>
      </c>
      <c r="BA101" s="53">
        <f>IF($A101="-","-",VLOOKUP($A101,[5]Controle!$A$6:$BO$25,BA$94,FALSE))</f>
        <v>8.0000000000000004E-4</v>
      </c>
      <c r="BB101" s="53">
        <f>IF($A101="-","-",VLOOKUP($A101,[5]Controle!$A$6:$BO$25,BB$94,FALSE))</f>
        <v>2</v>
      </c>
      <c r="BC101" s="53">
        <f>IF($A101="-","-",VLOOKUP($A101,[5]Controle!$A$6:$BO$25,BC$94,FALSE))</f>
        <v>1000000</v>
      </c>
      <c r="BD101" s="53" t="str">
        <f>IF($A101="-","-",VLOOKUP($A101,[5]Controle!$A$6:$BO$25,BD$94,FALSE))</f>
        <v>-</v>
      </c>
      <c r="BE101" s="53" t="str">
        <f>IF($A101="-","-",VLOOKUP($A101,[5]Controle!$A$6:$BO$25,BE$94,FALSE))</f>
        <v>-</v>
      </c>
      <c r="BF101" s="53" t="str">
        <f>IF($A101="-","-",VLOOKUP($A101,[5]Controle!$A$6:$BO$25,BF$94,FALSE))</f>
        <v>-</v>
      </c>
      <c r="BG101" s="53" t="str">
        <f>IF($A101="-","-",VLOOKUP($A101,[5]Controle!$A$6:$BO$25,BG$94,FALSE))</f>
        <v>-</v>
      </c>
      <c r="BH101" s="53" t="str">
        <f>IF($A101="-","-",VLOOKUP($A101,[5]Controle!$A$6:$BO$25,BH$94,FALSE))</f>
        <v>-</v>
      </c>
      <c r="BI101" s="53" t="str">
        <f>IF($A101="-","-",VLOOKUP($A101,[5]Controle!$A$6:$BO$25,BI$94,FALSE))</f>
        <v>-</v>
      </c>
      <c r="BJ101" s="53" t="str">
        <f>IF($A101="-","-",VLOOKUP($A101,[5]Controle!$A$6:$BO$25,BJ$94,FALSE))</f>
        <v>-</v>
      </c>
      <c r="BK101" s="53" t="str">
        <f>IF($A101="-","-",VLOOKUP($A101,[5]Controle!$A$6:$BO$25,BK$94,FALSE))</f>
        <v>-</v>
      </c>
      <c r="BL101" s="53" t="str">
        <f>IF($A101="-","-",VLOOKUP($A101,[5]Controle!$A$6:$BO$25,BL$94,FALSE))</f>
        <v>-</v>
      </c>
      <c r="BM101" s="53" t="str">
        <f>IF($A101="-","-",VLOOKUP($A101,[5]Controle!$A$6:$BO$25,BM$94,FALSE))</f>
        <v>-</v>
      </c>
      <c r="BN101" s="53" t="str">
        <f>IF($A101="-","-",VLOOKUP($A101,[5]Controle!$A$6:$BO$25,BN$94,FALSE))</f>
        <v>-</v>
      </c>
      <c r="BO101" s="53" t="str">
        <f>IF($A101="-","-",VLOOKUP($A101,[5]Controle!$A$6:$BO$25,BO$94,FALSE))</f>
        <v>-</v>
      </c>
      <c r="BP101" s="53">
        <f>IF($A101="-","-",VLOOKUP($A101,[5]Controle!$A$6:$BY$25,BP$94,FALSE))</f>
        <v>0</v>
      </c>
      <c r="BQ101" s="53">
        <f>IF($A101="-","-",VLOOKUP($A101,[5]Controle!$A$6:$BY$25,BQ$94,FALSE))</f>
        <v>0</v>
      </c>
      <c r="BR101" s="53">
        <f>IF($A101="-","-",VLOOKUP($A101,[5]Controle!$A$6:$BY$25,BR$94,FALSE))</f>
        <v>9.9999999996214228E-6</v>
      </c>
      <c r="BS101" s="53">
        <f>IF($A101="-","-",VLOOKUP($A101,[5]Controle!$A$6:$BY$25,BS$94,FALSE))</f>
        <v>1.0000000003174137E-5</v>
      </c>
      <c r="BT101" s="53">
        <f>IF($A101="-","-",VLOOKUP($A101,[5]Controle!$A$6:$BY$25,BT$94,FALSE))</f>
        <v>-1.0000000000331966E-4</v>
      </c>
      <c r="BU101" s="53">
        <f>IF($A101="-","-",VLOOKUP($A101,[5]Controle!$A$6:$BY$25,BU$94,FALSE))</f>
        <v>-1.0000000000331966E-4</v>
      </c>
      <c r="BV101" s="53">
        <f>IF($A101="-","-",VLOOKUP($A101,[5]Controle!$A$6:$BY$25,BV$94,FALSE))</f>
        <v>2.0000000000663931E-4</v>
      </c>
      <c r="BW101" s="53">
        <f>IF($A101="-","-",VLOOKUP($A101,[5]Controle!$A$6:$BY$25,BW$94,FALSE))</f>
        <v>0</v>
      </c>
      <c r="BX101" s="53">
        <f>IF($A101="-","-",VLOOKUP($A101,[5]Controle!$A$6:$BY$25,BX$94,FALSE))</f>
        <v>0</v>
      </c>
      <c r="BY101" s="53">
        <f>IF($A101="-","-",VLOOKUP($A101,[5]Controle!$A$6:$BY$25,BY$94,FALSE))</f>
        <v>0</v>
      </c>
      <c r="BZ101" s="53">
        <f>IF($A101="-","-",VLOOKUP($A101,[5]Controle!$A$6:$CI$25,BZ$94,FALSE))</f>
        <v>0</v>
      </c>
      <c r="CA101" s="53">
        <f>IF($A101="-","-",VLOOKUP($A101,[5]Controle!$A$6:$CI$25,CA$94,FALSE))</f>
        <v>0</v>
      </c>
      <c r="CB101" s="53">
        <f>IF($A101="-","-",VLOOKUP($A101,[5]Controle!$A$6:$CI$25,CB$94,FALSE))</f>
        <v>-9.9999999996214228E-6</v>
      </c>
      <c r="CC101" s="53">
        <f>IF($A101="-","-",VLOOKUP($A101,[5]Controle!$A$6:$CI$25,CC$94,FALSE))</f>
        <v>0</v>
      </c>
      <c r="CD101" s="53">
        <f>IF($A101="-","-",VLOOKUP($A101,[5]Controle!$A$6:$CI$25,CD$94,FALSE))</f>
        <v>1.0000000000331966E-4</v>
      </c>
      <c r="CE101" s="53">
        <f>IF($A101="-","-",VLOOKUP($A101,[5]Controle!$A$6:$CI$25,CE$94,FALSE))</f>
        <v>1.0000000000331966E-4</v>
      </c>
      <c r="CF101" s="53">
        <f>IF($A101="-","-",VLOOKUP($A101,[5]Controle!$A$6:$CI$25,CF$94,FALSE))</f>
        <v>1.0000000000331966E-4</v>
      </c>
      <c r="CG101" s="53">
        <f>IF($A101="-","-",VLOOKUP($A101,[5]Controle!$A$6:$CI$25,CG$94,FALSE))</f>
        <v>0</v>
      </c>
      <c r="CH101" s="53">
        <f>IF($A101="-","-",VLOOKUP($A101,[5]Controle!$A$6:$CI$25,CH$94,FALSE))</f>
        <v>0</v>
      </c>
      <c r="CI101" s="53">
        <f>IF($A101="-","-",VLOOKUP($A101,[5]Controle!$A$6:$CI$25,CI$94,FALSE))</f>
        <v>0</v>
      </c>
      <c r="CT101" s="41">
        <f ca="1">IF(CV101="-",0,MAX($CT$97:CT100)+1)</f>
        <v>5</v>
      </c>
      <c r="CU101" s="53" t="str">
        <f t="shared" ca="1" si="45"/>
        <v>VÁLIDO</v>
      </c>
      <c r="CV101" s="53" t="str">
        <f t="shared" ca="1" si="44"/>
        <v>E.MS.LQ-006</v>
      </c>
      <c r="CW101" s="53">
        <f t="shared" si="46"/>
        <v>9</v>
      </c>
      <c r="CX101" s="41">
        <f t="shared" si="48"/>
        <v>5</v>
      </c>
      <c r="CY101" s="41" t="str">
        <f t="shared" si="47"/>
        <v>E</v>
      </c>
    </row>
    <row r="102" spans="1:103" x14ac:dyDescent="0.3">
      <c r="A102" s="56">
        <v>11</v>
      </c>
      <c r="B102" s="53" t="str">
        <f>IF($A102="-","-",VLOOKUP($A102,[5]Controle!$A$6:$BO$25,B$94,FALSE))</f>
        <v>E.MS.LQ-007</v>
      </c>
      <c r="C102" s="53" t="str">
        <f>IF($A102="-","-",VLOOKUP($A102,[5]Controle!$A$6:$BO$25,C$94,FALSE))</f>
        <v>Balança Digital</v>
      </c>
      <c r="D102" s="53" t="str">
        <f>IF($A102="-","-",VLOOKUP($A102,[5]Controle!$A$6:$BO$25,D$94,FALSE))</f>
        <v xml:space="preserve">Elus </v>
      </c>
      <c r="E102" s="53" t="str">
        <f>IF($A102="-","-",VLOOKUP($A102,[5]Controle!$A$6:$BO$25,E$94,FALSE))</f>
        <v>RBC - CAL 0439</v>
      </c>
      <c r="F102" s="53" t="str">
        <f>IF($A102="-","-",VLOOKUP($A102,[5]Controle!$A$6:$BO$25,F$94,FALSE))</f>
        <v>E0015/26</v>
      </c>
      <c r="G102" s="54">
        <f>IF($A102="-","-",VLOOKUP($A102,[5]Controle!$A$6:$BO$25,G$94,FALSE))</f>
        <v>46031</v>
      </c>
      <c r="H102" s="55">
        <f>IF($A102="-","-",VLOOKUP($A102,[5]Controle!$A$6:$BO$25,H$94,FALSE))</f>
        <v>46417</v>
      </c>
      <c r="I102" s="53" t="str">
        <f>IF($A102="-","-",VLOOKUP($A102,[5]Controle!$A$6:$BO$25,I$94,FALSE))</f>
        <v>g</v>
      </c>
      <c r="J102" s="53">
        <f>IF($A102="-","-",VLOOKUP($A102,[5]Controle!$A$6:$BO$25,J$94,FALSE))</f>
        <v>0.5</v>
      </c>
      <c r="K102" s="53">
        <f>IF($A102="-","-",VLOOKUP($A102,[5]Controle!$A$6:$BO$25,K$94,FALSE))</f>
        <v>6000</v>
      </c>
      <c r="L102" s="53">
        <f>IF($A102="-","-",VLOOKUP($A102,[5]Controle!$A$6:$BO$25,L$94,FALSE))</f>
        <v>0.01</v>
      </c>
      <c r="M102" s="53">
        <f>IF($A102="-","-",VLOOKUP($A102,[5]Controle!$A$6:$BO$25,M$94,FALSE))</f>
        <v>1.0000000000218279E-2</v>
      </c>
      <c r="N102" s="53">
        <f>IF($A102="-","-",VLOOKUP($A102,[5]Controle!$A$6:$BO$25,N$94,FALSE))</f>
        <v>0.05</v>
      </c>
      <c r="O102" s="53">
        <f>IF($A102="-","-",VLOOKUP($A102,[5]Controle!$A$6:$BO$25,O$94,FALSE))</f>
        <v>9.9999999999997868E-3</v>
      </c>
      <c r="P102" s="53">
        <f>IF($A102="-","-",VLOOKUP($A102,[5]Controle!$A$6:$BO$25,P$94,FALSE))</f>
        <v>3.9999999999963624E-3</v>
      </c>
      <c r="Q102" s="53">
        <f>IF($A102="-","-",VLOOKUP($A102,[5]Controle!$A$6:$BO$25,Q$94,FALSE))</f>
        <v>6.6026300443766672E-3</v>
      </c>
      <c r="R102" s="53">
        <f>IF($A102="-","-",VLOOKUP($A102,[5]Controle!$A$6:$BO$25,R$94,FALSE))</f>
        <v>5</v>
      </c>
      <c r="S102" s="53">
        <f>IF($A102="-","-",VLOOKUP($A102,[5]Controle!$A$6:$BO$25,S$94,FALSE))</f>
        <v>0</v>
      </c>
      <c r="T102" s="53">
        <f>IF($A102="-","-",VLOOKUP($A102,[5]Controle!$A$6:$BO$25,T$94,FALSE))</f>
        <v>0</v>
      </c>
      <c r="U102" s="53">
        <f>IF($A102="-","-",VLOOKUP($A102,[5]Controle!$A$6:$BO$25,U$94,FALSE))</f>
        <v>0</v>
      </c>
      <c r="V102" s="53">
        <f>IF($A102="-","-",VLOOKUP($A102,[5]Controle!$A$6:$BO$25,V$94,FALSE))</f>
        <v>-1.5008736051078918E-18</v>
      </c>
      <c r="W102" s="53">
        <f>IF($A102="-","-",VLOOKUP($A102,[5]Controle!$A$6:$BO$25,W$94,FALSE))</f>
        <v>1.9878244117221645E-14</v>
      </c>
      <c r="X102" s="53">
        <f>IF($A102="-","-",VLOOKUP($A102,[5]Controle!$A$6:$BO$25,X$94,FALSE))</f>
        <v>-8.8153370138416508E-11</v>
      </c>
      <c r="Y102" s="53">
        <f>IF($A102="-","-",VLOOKUP($A102,[5]Controle!$A$6:$BO$25,Y$94,FALSE))</f>
        <v>1.5064393921489811E-7</v>
      </c>
      <c r="Z102" s="53">
        <f>IF($A102="-","-",VLOOKUP($A102,[5]Controle!$A$6:$BO$25,Z$94,FALSE))</f>
        <v>0.99992347691789241</v>
      </c>
      <c r="AA102" s="53">
        <f>IF($A102="-","-",VLOOKUP($A102,[5]Controle!$A$6:$BO$25,AA$94,FALSE))</f>
        <v>-4.3300173080658144E-3</v>
      </c>
      <c r="AB102" s="53">
        <f>IF($A102="-","-",VLOOKUP($A102,[5]Controle!$A$6:$BO$25,AB$94,FALSE))</f>
        <v>0.5</v>
      </c>
      <c r="AC102" s="53">
        <f>IF($A102="-","-",VLOOKUP($A102,[5]Controle!$A$6:$BO$25,AC$94,FALSE))</f>
        <v>0.02</v>
      </c>
      <c r="AD102" s="53">
        <f>IF($A102="-","-",VLOOKUP($A102,[5]Controle!$A$6:$BO$25,AD$94,FALSE))</f>
        <v>2</v>
      </c>
      <c r="AE102" s="53">
        <f>IF($A102="-","-",VLOOKUP($A102,[5]Controle!$A$6:$BO$25,AE$94,FALSE))</f>
        <v>1000000</v>
      </c>
      <c r="AF102" s="53">
        <f>IF($A102="-","-",VLOOKUP($A102,[5]Controle!$A$6:$BO$25,AF$94,FALSE))</f>
        <v>10</v>
      </c>
      <c r="AG102" s="53">
        <f>IF($A102="-","-",VLOOKUP($A102,[5]Controle!$A$6:$BO$25,AG$94,FALSE))</f>
        <v>0.02</v>
      </c>
      <c r="AH102" s="53">
        <f>IF($A102="-","-",VLOOKUP($A102,[5]Controle!$A$6:$BO$25,AH$94,FALSE))</f>
        <v>2</v>
      </c>
      <c r="AI102" s="53">
        <f>IF($A102="-","-",VLOOKUP($A102,[5]Controle!$A$6:$BO$25,AI$94,FALSE))</f>
        <v>1000000</v>
      </c>
      <c r="AJ102" s="53">
        <f>IF($A102="-","-",VLOOKUP($A102,[5]Controle!$A$6:$BO$25,AJ$94,FALSE))</f>
        <v>100</v>
      </c>
      <c r="AK102" s="53">
        <f>IF($A102="-","-",VLOOKUP($A102,[5]Controle!$A$6:$BO$25,AK$94,FALSE))</f>
        <v>0.02</v>
      </c>
      <c r="AL102" s="53">
        <f>IF($A102="-","-",VLOOKUP($A102,[5]Controle!$A$6:$BO$25,AL$94,FALSE))</f>
        <v>2</v>
      </c>
      <c r="AM102" s="53">
        <f>IF($A102="-","-",VLOOKUP($A102,[5]Controle!$A$6:$BO$25,AM$94,FALSE))</f>
        <v>1000000</v>
      </c>
      <c r="AN102" s="53">
        <f>IF($A102="-","-",VLOOKUP($A102,[5]Controle!$A$6:$BO$25,AN$94,FALSE))</f>
        <v>1000</v>
      </c>
      <c r="AO102" s="53">
        <f>IF($A102="-","-",VLOOKUP($A102,[5]Controle!$A$6:$BO$25,AO$94,FALSE))</f>
        <v>0.02</v>
      </c>
      <c r="AP102" s="53">
        <f>IF($A102="-","-",VLOOKUP($A102,[5]Controle!$A$6:$BO$25,AP$94,FALSE))</f>
        <v>2</v>
      </c>
      <c r="AQ102" s="53">
        <f>IF($A102="-","-",VLOOKUP($A102,[5]Controle!$A$6:$BO$25,AQ$94,FALSE))</f>
        <v>1000000</v>
      </c>
      <c r="AR102" s="53">
        <f>IF($A102="-","-",VLOOKUP($A102,[5]Controle!$A$6:$BO$25,AR$94,FALSE))</f>
        <v>2000</v>
      </c>
      <c r="AS102" s="53">
        <f>IF($A102="-","-",VLOOKUP($A102,[5]Controle!$A$6:$BO$25,AS$94,FALSE))</f>
        <v>0.03</v>
      </c>
      <c r="AT102" s="53">
        <f>IF($A102="-","-",VLOOKUP($A102,[5]Controle!$A$6:$BO$25,AT$94,FALSE))</f>
        <v>2</v>
      </c>
      <c r="AU102" s="53">
        <f>IF($A102="-","-",VLOOKUP($A102,[5]Controle!$A$6:$BO$25,AU$94,FALSE))</f>
        <v>1000000</v>
      </c>
      <c r="AV102" s="53">
        <f>IF($A102="-","-",VLOOKUP($A102,[5]Controle!$A$6:$BO$25,AV$94,FALSE))</f>
        <v>4000</v>
      </c>
      <c r="AW102" s="53">
        <f>IF($A102="-","-",VLOOKUP($A102,[5]Controle!$A$6:$BO$25,AW$94,FALSE))</f>
        <v>0.04</v>
      </c>
      <c r="AX102" s="53">
        <f>IF($A102="-","-",VLOOKUP($A102,[5]Controle!$A$6:$BO$25,AX$94,FALSE))</f>
        <v>2</v>
      </c>
      <c r="AY102" s="53">
        <f>IF($A102="-","-",VLOOKUP($A102,[5]Controle!$A$6:$BO$25,AY$94,FALSE))</f>
        <v>1000000</v>
      </c>
      <c r="AZ102" s="53">
        <f>IF($A102="-","-",VLOOKUP($A102,[5]Controle!$A$6:$BO$25,AZ$94,FALSE))</f>
        <v>6000</v>
      </c>
      <c r="BA102" s="53">
        <f>IF($A102="-","-",VLOOKUP($A102,[5]Controle!$A$6:$BO$25,BA$94,FALSE))</f>
        <v>0.05</v>
      </c>
      <c r="BB102" s="53">
        <f>IF($A102="-","-",VLOOKUP($A102,[5]Controle!$A$6:$BO$25,BB$94,FALSE))</f>
        <v>2</v>
      </c>
      <c r="BC102" s="53">
        <f>IF($A102="-","-",VLOOKUP($A102,[5]Controle!$A$6:$BO$25,BC$94,FALSE))</f>
        <v>1000000</v>
      </c>
      <c r="BD102" s="53" t="str">
        <f>IF($A102="-","-",VLOOKUP($A102,[5]Controle!$A$6:$BO$25,BD$94,FALSE))</f>
        <v>-</v>
      </c>
      <c r="BE102" s="53" t="str">
        <f>IF($A102="-","-",VLOOKUP($A102,[5]Controle!$A$6:$BO$25,BE$94,FALSE))</f>
        <v>-</v>
      </c>
      <c r="BF102" s="53" t="str">
        <f>IF($A102="-","-",VLOOKUP($A102,[5]Controle!$A$6:$BO$25,BF$94,FALSE))</f>
        <v>-</v>
      </c>
      <c r="BG102" s="53" t="str">
        <f>IF($A102="-","-",VLOOKUP($A102,[5]Controle!$A$6:$BO$25,BG$94,FALSE))</f>
        <v>-</v>
      </c>
      <c r="BH102" s="53" t="str">
        <f>IF($A102="-","-",VLOOKUP($A102,[5]Controle!$A$6:$BO$25,BH$94,FALSE))</f>
        <v>-</v>
      </c>
      <c r="BI102" s="53" t="str">
        <f>IF($A102="-","-",VLOOKUP($A102,[5]Controle!$A$6:$BO$25,BI$94,FALSE))</f>
        <v>-</v>
      </c>
      <c r="BJ102" s="53" t="str">
        <f>IF($A102="-","-",VLOOKUP($A102,[5]Controle!$A$6:$BO$25,BJ$94,FALSE))</f>
        <v>-</v>
      </c>
      <c r="BK102" s="53" t="str">
        <f>IF($A102="-","-",VLOOKUP($A102,[5]Controle!$A$6:$BO$25,BK$94,FALSE))</f>
        <v>-</v>
      </c>
      <c r="BL102" s="53" t="str">
        <f>IF($A102="-","-",VLOOKUP($A102,[5]Controle!$A$6:$BO$25,BL$94,FALSE))</f>
        <v>-</v>
      </c>
      <c r="BM102" s="53" t="str">
        <f>IF($A102="-","-",VLOOKUP($A102,[5]Controle!$A$6:$BO$25,BM$94,FALSE))</f>
        <v>-</v>
      </c>
      <c r="BN102" s="53" t="str">
        <f>IF($A102="-","-",VLOOKUP($A102,[5]Controle!$A$6:$BO$25,BN$94,FALSE))</f>
        <v>-</v>
      </c>
      <c r="BO102" s="53" t="str">
        <f>IF($A102="-","-",VLOOKUP($A102,[5]Controle!$A$6:$BO$25,BO$94,FALSE))</f>
        <v>-</v>
      </c>
      <c r="BP102" s="53">
        <f>IF($A102="-","-",VLOOKUP($A102,[5]Controle!$A$6:$BY$25,BP$94,FALSE))</f>
        <v>0</v>
      </c>
      <c r="BQ102" s="53">
        <f>IF($A102="-","-",VLOOKUP($A102,[5]Controle!$A$6:$BY$25,BQ$94,FALSE))</f>
        <v>9.9999999999997868E-3</v>
      </c>
      <c r="BR102" s="53">
        <f>IF($A102="-","-",VLOOKUP($A102,[5]Controle!$A$6:$BY$25,BR$94,FALSE))</f>
        <v>1.0000000000005116E-2</v>
      </c>
      <c r="BS102" s="53">
        <f>IF($A102="-","-",VLOOKUP($A102,[5]Controle!$A$6:$BY$25,BS$94,FALSE))</f>
        <v>0</v>
      </c>
      <c r="BT102" s="53">
        <f>IF($A102="-","-",VLOOKUP($A102,[5]Controle!$A$6:$BY$25,BT$94,FALSE))</f>
        <v>-9.9999999999909051E-3</v>
      </c>
      <c r="BU102" s="53">
        <f>IF($A102="-","-",VLOOKUP($A102,[5]Controle!$A$6:$BY$25,BU$94,FALSE))</f>
        <v>-1.0000000000218279E-2</v>
      </c>
      <c r="BV102" s="53">
        <f>IF($A102="-","-",VLOOKUP($A102,[5]Controle!$A$6:$BY$25,BV$94,FALSE))</f>
        <v>-1.0000000000218279E-2</v>
      </c>
      <c r="BW102" s="53">
        <f>IF($A102="-","-",VLOOKUP($A102,[5]Controle!$A$6:$BY$25,BW$94,FALSE))</f>
        <v>0</v>
      </c>
      <c r="BX102" s="53">
        <f>IF($A102="-","-",VLOOKUP($A102,[5]Controle!$A$6:$BY$25,BX$94,FALSE))</f>
        <v>0</v>
      </c>
      <c r="BY102" s="53">
        <f>IF($A102="-","-",VLOOKUP($A102,[5]Controle!$A$6:$BY$25,BY$94,FALSE))</f>
        <v>0</v>
      </c>
      <c r="BZ102" s="53">
        <f>IF($A102="-","-",VLOOKUP($A102,[5]Controle!$A$6:$CI$25,BZ$94,FALSE))</f>
        <v>0</v>
      </c>
      <c r="CA102" s="53">
        <f>IF($A102="-","-",VLOOKUP($A102,[5]Controle!$A$6:$CI$25,CA$94,FALSE))</f>
        <v>-9.9999999999997868E-3</v>
      </c>
      <c r="CB102" s="53">
        <f>IF($A102="-","-",VLOOKUP($A102,[5]Controle!$A$6:$CI$25,CB$94,FALSE))</f>
        <v>0</v>
      </c>
      <c r="CC102" s="53">
        <f>IF($A102="-","-",VLOOKUP($A102,[5]Controle!$A$6:$CI$25,CC$94,FALSE))</f>
        <v>0</v>
      </c>
      <c r="CD102" s="53">
        <f>IF($A102="-","-",VLOOKUP($A102,[5]Controle!$A$6:$CI$25,CD$94,FALSE))</f>
        <v>9.9999999999909051E-3</v>
      </c>
      <c r="CE102" s="53">
        <f>IF($A102="-","-",VLOOKUP($A102,[5]Controle!$A$6:$CI$25,CE$94,FALSE))</f>
        <v>0</v>
      </c>
      <c r="CF102" s="53">
        <f>IF($A102="-","-",VLOOKUP($A102,[5]Controle!$A$6:$CI$25,CF$94,FALSE))</f>
        <v>0</v>
      </c>
      <c r="CG102" s="53">
        <f>IF($A102="-","-",VLOOKUP($A102,[5]Controle!$A$6:$CI$25,CG$94,FALSE))</f>
        <v>0</v>
      </c>
      <c r="CH102" s="53">
        <f>IF($A102="-","-",VLOOKUP($A102,[5]Controle!$A$6:$CI$25,CH$94,FALSE))</f>
        <v>0</v>
      </c>
      <c r="CI102" s="53">
        <f>IF($A102="-","-",VLOOKUP($A102,[5]Controle!$A$6:$CI$25,CI$94,FALSE))</f>
        <v>0</v>
      </c>
      <c r="CT102" s="41">
        <f ca="1">IF(CV102="-",0,MAX($CT$97:CT101)+1)</f>
        <v>6</v>
      </c>
      <c r="CU102" s="53" t="str">
        <f t="shared" ca="1" si="45"/>
        <v>VÁLIDO</v>
      </c>
      <c r="CV102" s="53" t="str">
        <f t="shared" ca="1" si="44"/>
        <v>E.MS.LQ-007</v>
      </c>
      <c r="CW102" s="53">
        <f t="shared" si="46"/>
        <v>11</v>
      </c>
      <c r="CX102" s="41">
        <f t="shared" si="48"/>
        <v>6</v>
      </c>
      <c r="CY102" s="41" t="str">
        <f t="shared" si="47"/>
        <v>E</v>
      </c>
    </row>
    <row r="103" spans="1:103" x14ac:dyDescent="0.3">
      <c r="A103" s="56">
        <v>19</v>
      </c>
      <c r="B103" s="53" t="str">
        <f>IF($A103="-","-",VLOOKUP($A103,[5]Controle!$A$6:$BO$25,B$94,FALSE))</f>
        <v>E.MS.LQ-009</v>
      </c>
      <c r="C103" s="53" t="str">
        <f>IF($A103="-","-",VLOOKUP($A103,[5]Controle!$A$6:$BO$25,C$94,FALSE))</f>
        <v>Balança Analítica</v>
      </c>
      <c r="D103" s="53" t="str">
        <f>IF($A103="-","-",VLOOKUP($A103,[5]Controle!$A$6:$BO$25,D$94,FALSE))</f>
        <v xml:space="preserve">Elus </v>
      </c>
      <c r="E103" s="53" t="str">
        <f>IF($A103="-","-",VLOOKUP($A103,[5]Controle!$A$6:$BO$25,E$94,FALSE))</f>
        <v>RBC - CAL 0439</v>
      </c>
      <c r="F103" s="53" t="str">
        <f>IF($A103="-","-",VLOOKUP($A103,[5]Controle!$A$6:$BO$25,F$94,FALSE))</f>
        <v>E0848/25</v>
      </c>
      <c r="G103" s="54">
        <f>IF($A103="-","-",VLOOKUP($A103,[5]Controle!$A$6:$BO$25,G$94,FALSE))</f>
        <v>45868</v>
      </c>
      <c r="H103" s="55">
        <f>IF($A103="-","-",VLOOKUP($A103,[5]Controle!$A$6:$BO$25,H$94,FALSE))</f>
        <v>46233</v>
      </c>
      <c r="I103" s="53" t="str">
        <f>IF($A103="-","-",VLOOKUP($A103,[5]Controle!$A$6:$BO$25,I$94,FALSE))</f>
        <v>g</v>
      </c>
      <c r="J103" s="53">
        <f>IF($A103="-","-",VLOOKUP($A103,[5]Controle!$A$6:$BO$25,J$94,FALSE))</f>
        <v>1E-3</v>
      </c>
      <c r="K103" s="53">
        <f>IF($A103="-","-",VLOOKUP($A103,[5]Controle!$A$6:$BO$25,K$94,FALSE))</f>
        <v>220</v>
      </c>
      <c r="L103" s="53">
        <f>IF($A103="-","-",VLOOKUP($A103,[5]Controle!$A$6:$BO$25,L$94,FALSE))</f>
        <v>1.0000000000000001E-5</v>
      </c>
      <c r="M103" s="53">
        <f>IF($A103="-","-",VLOOKUP($A103,[5]Controle!$A$6:$BO$25,M$94,FALSE))</f>
        <v>2.0000000000663931E-4</v>
      </c>
      <c r="N103" s="53">
        <f>IF($A103="-","-",VLOOKUP($A103,[5]Controle!$A$6:$BO$25,N$94,FALSE))</f>
        <v>8.0000000000000004E-4</v>
      </c>
      <c r="O103" s="53">
        <f>IF($A103="-","-",VLOOKUP($A103,[5]Controle!$A$6:$BO$25,O$94,FALSE))</f>
        <v>2.0000000000663931E-4</v>
      </c>
      <c r="P103" s="53">
        <f>IF($A103="-","-",VLOOKUP($A103,[5]Controle!$A$6:$BO$25,P$94,FALSE))</f>
        <v>2.0000000000663931E-4</v>
      </c>
      <c r="Q103" s="53">
        <f>IF($A103="-","-",VLOOKUP($A103,[5]Controle!$A$6:$BO$25,Q$94,FALSE))</f>
        <v>2.830433860290249E-5</v>
      </c>
      <c r="R103" s="53">
        <f>IF($A103="-","-",VLOOKUP($A103,[5]Controle!$A$6:$BO$25,R$94,FALSE))</f>
        <v>5</v>
      </c>
      <c r="S103" s="53">
        <f>IF($A103="-","-",VLOOKUP($A103,[5]Controle!$A$6:$BO$25,S$94,FALSE))</f>
        <v>0</v>
      </c>
      <c r="T103" s="53">
        <f>IF($A103="-","-",VLOOKUP($A103,[5]Controle!$A$6:$BO$25,T$94,FALSE))</f>
        <v>0</v>
      </c>
      <c r="U103" s="53">
        <f>IF($A103="-","-",VLOOKUP($A103,[5]Controle!$A$6:$BO$25,U$94,FALSE))</f>
        <v>0</v>
      </c>
      <c r="V103" s="53">
        <f>IF($A103="-","-",VLOOKUP($A103,[5]Controle!$A$6:$BO$25,V$94,FALSE))</f>
        <v>-1.1559172615534684E-14</v>
      </c>
      <c r="W103" s="53">
        <f>IF($A103="-","-",VLOOKUP($A103,[5]Controle!$A$6:$BO$25,W$94,FALSE))</f>
        <v>8.3974391316719149E-12</v>
      </c>
      <c r="X103" s="53">
        <f>IF($A103="-","-",VLOOKUP($A103,[5]Controle!$A$6:$BO$25,X$94,FALSE))</f>
        <v>-2.250138112949817E-9</v>
      </c>
      <c r="Y103" s="53">
        <f>IF($A103="-","-",VLOOKUP($A103,[5]Controle!$A$6:$BO$25,Y$94,FALSE))</f>
        <v>2.4424173114031842E-7</v>
      </c>
      <c r="Z103" s="53">
        <f>IF($A103="-","-",VLOOKUP($A103,[5]Controle!$A$6:$BO$25,Z$94,FALSE))</f>
        <v>0.99999283557315244</v>
      </c>
      <c r="AA103" s="53">
        <f>IF($A103="-","-",VLOOKUP($A103,[5]Controle!$A$6:$BO$25,AA$94,FALSE))</f>
        <v>1.1926576278659118E-8</v>
      </c>
      <c r="AB103" s="53">
        <f>IF($A103="-","-",VLOOKUP($A103,[5]Controle!$A$6:$BO$25,AB$94,FALSE))</f>
        <v>1E-3</v>
      </c>
      <c r="AC103" s="53">
        <f>IF($A103="-","-",VLOOKUP($A103,[5]Controle!$A$6:$BO$25,AC$94,FALSE))</f>
        <v>2.0000000000000002E-5</v>
      </c>
      <c r="AD103" s="53">
        <f>IF($A103="-","-",VLOOKUP($A103,[5]Controle!$A$6:$BO$25,AD$94,FALSE))</f>
        <v>2</v>
      </c>
      <c r="AE103" s="53">
        <f>IF($A103="-","-",VLOOKUP($A103,[5]Controle!$A$6:$BO$25,AE$94,FALSE))</f>
        <v>1000000</v>
      </c>
      <c r="AF103" s="53">
        <f>IF($A103="-","-",VLOOKUP($A103,[5]Controle!$A$6:$BO$25,AF$94,FALSE))</f>
        <v>5.0000000000000001E-3</v>
      </c>
      <c r="AG103" s="53">
        <f>IF($A103="-","-",VLOOKUP($A103,[5]Controle!$A$6:$BO$25,AG$94,FALSE))</f>
        <v>2.0000000000000002E-5</v>
      </c>
      <c r="AH103" s="53">
        <f>IF($A103="-","-",VLOOKUP($A103,[5]Controle!$A$6:$BO$25,AH$94,FALSE))</f>
        <v>2</v>
      </c>
      <c r="AI103" s="53">
        <f>IF($A103="-","-",VLOOKUP($A103,[5]Controle!$A$6:$BO$25,AI$94,FALSE))</f>
        <v>1000000</v>
      </c>
      <c r="AJ103" s="53">
        <f>IF($A103="-","-",VLOOKUP($A103,[5]Controle!$A$6:$BO$25,AJ$94,FALSE))</f>
        <v>5</v>
      </c>
      <c r="AK103" s="53">
        <f>IF($A103="-","-",VLOOKUP($A103,[5]Controle!$A$6:$BO$25,AK$94,FALSE))</f>
        <v>3.0000000000000001E-5</v>
      </c>
      <c r="AL103" s="53">
        <f>IF($A103="-","-",VLOOKUP($A103,[5]Controle!$A$6:$BO$25,AL$94,FALSE))</f>
        <v>2</v>
      </c>
      <c r="AM103" s="53">
        <f>IF($A103="-","-",VLOOKUP($A103,[5]Controle!$A$6:$BO$25,AM$94,FALSE))</f>
        <v>1000000</v>
      </c>
      <c r="AN103" s="53">
        <f>IF($A103="-","-",VLOOKUP($A103,[5]Controle!$A$6:$BO$25,AN$94,FALSE))</f>
        <v>50</v>
      </c>
      <c r="AO103" s="53">
        <f>IF($A103="-","-",VLOOKUP($A103,[5]Controle!$A$6:$BO$25,AO$94,FALSE))</f>
        <v>1.4999999999999999E-4</v>
      </c>
      <c r="AP103" s="53">
        <f>IF($A103="-","-",VLOOKUP($A103,[5]Controle!$A$6:$BO$25,AP$94,FALSE))</f>
        <v>2</v>
      </c>
      <c r="AQ103" s="53">
        <f>IF($A103="-","-",VLOOKUP($A103,[5]Controle!$A$6:$BO$25,AQ$94,FALSE))</f>
        <v>1000000</v>
      </c>
      <c r="AR103" s="53">
        <f>IF($A103="-","-",VLOOKUP($A103,[5]Controle!$A$6:$BO$25,AR$94,FALSE))</f>
        <v>100</v>
      </c>
      <c r="AS103" s="53">
        <f>IF($A103="-","-",VLOOKUP($A103,[5]Controle!$A$6:$BO$25,AS$94,FALSE))</f>
        <v>4.0000000000000002E-4</v>
      </c>
      <c r="AT103" s="53">
        <f>IF($A103="-","-",VLOOKUP($A103,[5]Controle!$A$6:$BO$25,AT$94,FALSE))</f>
        <v>2</v>
      </c>
      <c r="AU103" s="53">
        <f>IF($A103="-","-",VLOOKUP($A103,[5]Controle!$A$6:$BO$25,AU$94,FALSE))</f>
        <v>1000000</v>
      </c>
      <c r="AV103" s="53">
        <f>IF($A103="-","-",VLOOKUP($A103,[5]Controle!$A$6:$BO$25,AV$94,FALSE))</f>
        <v>150</v>
      </c>
      <c r="AW103" s="53">
        <f>IF($A103="-","-",VLOOKUP($A103,[5]Controle!$A$6:$BO$25,AW$94,FALSE))</f>
        <v>6.9999999999999999E-4</v>
      </c>
      <c r="AX103" s="53">
        <f>IF($A103="-","-",VLOOKUP($A103,[5]Controle!$A$6:$BO$25,AX$94,FALSE))</f>
        <v>2</v>
      </c>
      <c r="AY103" s="53">
        <f>IF($A103="-","-",VLOOKUP($A103,[5]Controle!$A$6:$BO$25,AY$94,FALSE))</f>
        <v>1000000</v>
      </c>
      <c r="AZ103" s="53">
        <f>IF($A103="-","-",VLOOKUP($A103,[5]Controle!$A$6:$BO$25,AZ$94,FALSE))</f>
        <v>220</v>
      </c>
      <c r="BA103" s="53">
        <f>IF($A103="-","-",VLOOKUP($A103,[5]Controle!$A$6:$BO$25,BA$94,FALSE))</f>
        <v>8.0000000000000004E-4</v>
      </c>
      <c r="BB103" s="53">
        <f>IF($A103="-","-",VLOOKUP($A103,[5]Controle!$A$6:$BO$25,BB$94,FALSE))</f>
        <v>2</v>
      </c>
      <c r="BC103" s="53">
        <f>IF($A103="-","-",VLOOKUP($A103,[5]Controle!$A$6:$BO$25,BC$94,FALSE))</f>
        <v>1000000</v>
      </c>
      <c r="BD103" s="53" t="str">
        <f>IF($A103="-","-",VLOOKUP($A103,[5]Controle!$A$6:$BO$25,BD$94,FALSE))</f>
        <v>-</v>
      </c>
      <c r="BE103" s="53" t="str">
        <f>IF($A103="-","-",VLOOKUP($A103,[5]Controle!$A$6:$BO$25,BE$94,FALSE))</f>
        <v>-</v>
      </c>
      <c r="BF103" s="53" t="str">
        <f>IF($A103="-","-",VLOOKUP($A103,[5]Controle!$A$6:$BO$25,BF$94,FALSE))</f>
        <v>-</v>
      </c>
      <c r="BG103" s="53" t="str">
        <f>IF($A103="-","-",VLOOKUP($A103,[5]Controle!$A$6:$BO$25,BG$94,FALSE))</f>
        <v>-</v>
      </c>
      <c r="BH103" s="53" t="str">
        <f>IF($A103="-","-",VLOOKUP($A103,[5]Controle!$A$6:$BO$25,BH$94,FALSE))</f>
        <v>-</v>
      </c>
      <c r="BI103" s="53" t="str">
        <f>IF($A103="-","-",VLOOKUP($A103,[5]Controle!$A$6:$BO$25,BI$94,FALSE))</f>
        <v>-</v>
      </c>
      <c r="BJ103" s="53" t="str">
        <f>IF($A103="-","-",VLOOKUP($A103,[5]Controle!$A$6:$BO$25,BJ$94,FALSE))</f>
        <v>-</v>
      </c>
      <c r="BK103" s="53" t="str">
        <f>IF($A103="-","-",VLOOKUP($A103,[5]Controle!$A$6:$BO$25,BK$94,FALSE))</f>
        <v>-</v>
      </c>
      <c r="BL103" s="53" t="str">
        <f>IF($A103="-","-",VLOOKUP($A103,[5]Controle!$A$6:$BO$25,BL$94,FALSE))</f>
        <v>-</v>
      </c>
      <c r="BM103" s="53" t="str">
        <f>IF($A103="-","-",VLOOKUP($A103,[5]Controle!$A$6:$BO$25,BM$94,FALSE))</f>
        <v>-</v>
      </c>
      <c r="BN103" s="53" t="str">
        <f>IF($A103="-","-",VLOOKUP($A103,[5]Controle!$A$6:$BO$25,BN$94,FALSE))</f>
        <v>-</v>
      </c>
      <c r="BO103" s="53" t="str">
        <f>IF($A103="-","-",VLOOKUP($A103,[5]Controle!$A$6:$BO$25,BO$94,FALSE))</f>
        <v>-</v>
      </c>
      <c r="BP103" s="53">
        <f>IF($A103="-","-",VLOOKUP($A103,[5]Controle!$A$6:$BY$25,BP$94,FALSE))</f>
        <v>2.0000000000000052E-5</v>
      </c>
      <c r="BQ103" s="53">
        <f>IF($A103="-","-",VLOOKUP($A103,[5]Controle!$A$6:$BY$25,BQ$94,FALSE))</f>
        <v>-2.0000000000000052E-5</v>
      </c>
      <c r="BR103" s="53">
        <f>IF($A103="-","-",VLOOKUP($A103,[5]Controle!$A$6:$BY$25,BR$94,FALSE))</f>
        <v>2.9999999999752447E-5</v>
      </c>
      <c r="BS103" s="53">
        <f>IF($A103="-","-",VLOOKUP($A103,[5]Controle!$A$6:$BY$25,BS$94,FALSE))</f>
        <v>-1.9999999999242846E-5</v>
      </c>
      <c r="BT103" s="53">
        <f>IF($A103="-","-",VLOOKUP($A103,[5]Controle!$A$6:$BY$25,BT$94,FALSE))</f>
        <v>-2.0000000000663931E-4</v>
      </c>
      <c r="BU103" s="53">
        <f>IF($A103="-","-",VLOOKUP($A103,[5]Controle!$A$6:$BY$25,BU$94,FALSE))</f>
        <v>-2.0000000000663931E-4</v>
      </c>
      <c r="BV103" s="53">
        <f>IF($A103="-","-",VLOOKUP($A103,[5]Controle!$A$6:$BY$25,BV$94,FALSE))</f>
        <v>0</v>
      </c>
      <c r="BW103" s="53">
        <f>IF($A103="-","-",VLOOKUP($A103,[5]Controle!$A$6:$BY$25,BW$94,FALSE))</f>
        <v>0</v>
      </c>
      <c r="BX103" s="53">
        <f>IF($A103="-","-",VLOOKUP($A103,[5]Controle!$A$6:$BY$25,BX$94,FALSE))</f>
        <v>0</v>
      </c>
      <c r="BY103" s="53">
        <f>IF($A103="-","-",VLOOKUP($A103,[5]Controle!$A$6:$BY$25,BY$94,FALSE))</f>
        <v>0</v>
      </c>
      <c r="BZ103" s="53">
        <f>IF($A103="-","-",VLOOKUP($A103,[5]Controle!$A$6:$CI$25,BZ$94,FALSE))</f>
        <v>-2.0000000000000052E-5</v>
      </c>
      <c r="CA103" s="53">
        <f>IF($A103="-","-",VLOOKUP($A103,[5]Controle!$A$6:$CI$25,CA$94,FALSE))</f>
        <v>2.0000000000000052E-5</v>
      </c>
      <c r="CB103" s="53">
        <f>IF($A103="-","-",VLOOKUP($A103,[5]Controle!$A$6:$CI$25,CB$94,FALSE))</f>
        <v>-2.9999999999752447E-5</v>
      </c>
      <c r="CC103" s="53">
        <f>IF($A103="-","-",VLOOKUP($A103,[5]Controle!$A$6:$CI$25,CC$94,FALSE))</f>
        <v>1.9999999999242846E-5</v>
      </c>
      <c r="CD103" s="53">
        <f>IF($A103="-","-",VLOOKUP($A103,[5]Controle!$A$6:$CI$25,CD$94,FALSE))</f>
        <v>2.0000000000663931E-4</v>
      </c>
      <c r="CE103" s="53">
        <f>IF($A103="-","-",VLOOKUP($A103,[5]Controle!$A$6:$CI$25,CE$94,FALSE))</f>
        <v>2.0000000000663931E-4</v>
      </c>
      <c r="CF103" s="53">
        <f>IF($A103="-","-",VLOOKUP($A103,[5]Controle!$A$6:$CI$25,CF$94,FALSE))</f>
        <v>0</v>
      </c>
      <c r="CG103" s="53">
        <f>IF($A103="-","-",VLOOKUP($A103,[5]Controle!$A$6:$CI$25,CG$94,FALSE))</f>
        <v>0</v>
      </c>
      <c r="CH103" s="53">
        <f>IF($A103="-","-",VLOOKUP($A103,[5]Controle!$A$6:$CI$25,CH$94,FALSE))</f>
        <v>0</v>
      </c>
      <c r="CI103" s="53">
        <f>IF($A103="-","-",VLOOKUP($A103,[5]Controle!$A$6:$CI$25,CI$94,FALSE))</f>
        <v>0</v>
      </c>
      <c r="CT103" s="41">
        <f ca="1">IF(CV103="-",0,MAX($CT$97:CT102)+1)</f>
        <v>7</v>
      </c>
      <c r="CU103" s="53" t="str">
        <f t="shared" ca="1" si="45"/>
        <v>VÁLIDO</v>
      </c>
      <c r="CV103" s="53" t="str">
        <f t="shared" ca="1" si="44"/>
        <v>E.MS.LQ-009</v>
      </c>
      <c r="CW103" s="53">
        <f t="shared" si="46"/>
        <v>19</v>
      </c>
      <c r="CX103" s="41">
        <f t="shared" si="48"/>
        <v>7</v>
      </c>
      <c r="CY103" s="41" t="str">
        <f t="shared" si="47"/>
        <v>E</v>
      </c>
    </row>
    <row r="104" spans="1:103" x14ac:dyDescent="0.3">
      <c r="A104" s="56">
        <v>8</v>
      </c>
      <c r="B104" s="53" t="str">
        <f>IF($A104="-","-",VLOOKUP($A104,[5]Controle!$A$6:$BO$25,B$94,FALSE))</f>
        <v>E.MS.PMR-003</v>
      </c>
      <c r="C104" s="53" t="str">
        <f>IF($A104="-","-",VLOOKUP($A104,[5]Controle!$A$6:$BO$25,C$94,FALSE))</f>
        <v>Balança eletrônica</v>
      </c>
      <c r="D104" s="53" t="str">
        <f>IF($A104="-","-",VLOOKUP($A104,[5]Controle!$A$6:$BO$25,D$94,FALSE))</f>
        <v xml:space="preserve">Elus </v>
      </c>
      <c r="E104" s="53" t="str">
        <f>IF($A104="-","-",VLOOKUP($A104,[5]Controle!$A$6:$BO$25,E$94,FALSE))</f>
        <v>RBC - CAL 0439</v>
      </c>
      <c r="F104" s="53" t="str">
        <f>IF($A104="-","-",VLOOKUP($A104,[5]Controle!$A$6:$BO$25,F$94,FALSE))</f>
        <v>E0020/26</v>
      </c>
      <c r="G104" s="54">
        <f>IF($A104="-","-",VLOOKUP($A104,[5]Controle!$A$6:$BO$25,G$94,FALSE))</f>
        <v>46031</v>
      </c>
      <c r="H104" s="55">
        <f>IF($A104="-","-",VLOOKUP($A104,[5]Controle!$A$6:$BO$25,H$94,FALSE))</f>
        <v>46417</v>
      </c>
      <c r="I104" s="53" t="str">
        <f>IF($A104="-","-",VLOOKUP($A104,[5]Controle!$A$6:$BO$25,I$94,FALSE))</f>
        <v>kg</v>
      </c>
      <c r="J104" s="53">
        <f>IF($A104="-","-",VLOOKUP($A104,[5]Controle!$A$6:$BO$25,J$94,FALSE))</f>
        <v>1</v>
      </c>
      <c r="K104" s="53">
        <f>IF($A104="-","-",VLOOKUP($A104,[5]Controle!$A$6:$BO$25,K$94,FALSE))</f>
        <v>60</v>
      </c>
      <c r="L104" s="53">
        <f>IF($A104="-","-",VLOOKUP($A104,[5]Controle!$A$6:$BO$25,L$94,FALSE))</f>
        <v>1E-3</v>
      </c>
      <c r="M104" s="53">
        <f>IF($A104="-","-",VLOOKUP($A104,[5]Controle!$A$6:$BO$25,M$94,FALSE))</f>
        <v>2.0000000000024443E-3</v>
      </c>
      <c r="N104" s="53">
        <f>IF($A104="-","-",VLOOKUP($A104,[5]Controle!$A$6:$BO$25,N$94,FALSE))</f>
        <v>3.0000000000000001E-3</v>
      </c>
      <c r="O104" s="53">
        <f>IF($A104="-","-",VLOOKUP($A104,[5]Controle!$A$6:$BO$25,O$94,FALSE))</f>
        <v>1.9999999999988916E-3</v>
      </c>
      <c r="P104" s="53">
        <f>IF($A104="-","-",VLOOKUP($A104,[5]Controle!$A$6:$BO$25,P$94,FALSE))</f>
        <v>5.0000000000061107E-3</v>
      </c>
      <c r="Q104" s="53">
        <f>IF($A104="-","-",VLOOKUP($A104,[5]Controle!$A$6:$BO$25,Q$94,FALSE))</f>
        <v>1.6372153820354285E-4</v>
      </c>
      <c r="R104" s="53">
        <f>IF($A104="-","-",VLOOKUP($A104,[5]Controle!$A$6:$BO$25,R$94,FALSE))</f>
        <v>5</v>
      </c>
      <c r="S104" s="53">
        <f>IF($A104="-","-",VLOOKUP($A104,[5]Controle!$A$6:$BO$25,S$94,FALSE))</f>
        <v>0</v>
      </c>
      <c r="T104" s="53">
        <f>IF($A104="-","-",VLOOKUP($A104,[5]Controle!$A$6:$BO$25,T$94,FALSE))</f>
        <v>0</v>
      </c>
      <c r="U104" s="53">
        <f>IF($A104="-","-",VLOOKUP($A104,[5]Controle!$A$6:$BO$25,U$94,FALSE))</f>
        <v>0</v>
      </c>
      <c r="V104" s="53">
        <f>IF($A104="-","-",VLOOKUP($A104,[5]Controle!$A$6:$BO$25,V$94,FALSE))</f>
        <v>-3.9706870565736047E-11</v>
      </c>
      <c r="W104" s="53">
        <f>IF($A104="-","-",VLOOKUP($A104,[5]Controle!$A$6:$BO$25,W$94,FALSE))</f>
        <v>3.2691647659282339E-9</v>
      </c>
      <c r="X104" s="53">
        <f>IF($A104="-","-",VLOOKUP($A104,[5]Controle!$A$6:$BO$25,X$94,FALSE))</f>
        <v>-1.566910709068572E-8</v>
      </c>
      <c r="Y104" s="53">
        <f>IF($A104="-","-",VLOOKUP($A104,[5]Controle!$A$6:$BO$25,Y$94,FALSE))</f>
        <v>-2.1325971783988338E-6</v>
      </c>
      <c r="Z104" s="53">
        <f>IF($A104="-","-",VLOOKUP($A104,[5]Controle!$A$6:$BO$25,Z$94,FALSE))</f>
        <v>1.0000265852051524</v>
      </c>
      <c r="AA104" s="53">
        <f>IF($A104="-","-",VLOOKUP($A104,[5]Controle!$A$6:$BO$25,AA$94,FALSE))</f>
        <v>-3.1110532056293112E-5</v>
      </c>
      <c r="AB104" s="53">
        <f>IF($A104="-","-",VLOOKUP($A104,[5]Controle!$A$6:$BO$25,AB$94,FALSE))</f>
        <v>1</v>
      </c>
      <c r="AC104" s="53">
        <f>IF($A104="-","-",VLOOKUP($A104,[5]Controle!$A$6:$BO$25,AC$94,FALSE))</f>
        <v>2E-3</v>
      </c>
      <c r="AD104" s="53">
        <f>IF($A104="-","-",VLOOKUP($A104,[5]Controle!$A$6:$BO$25,AD$94,FALSE))</f>
        <v>2</v>
      </c>
      <c r="AE104" s="53">
        <f>IF($A104="-","-",VLOOKUP($A104,[5]Controle!$A$6:$BO$25,AE$94,FALSE))</f>
        <v>1000000</v>
      </c>
      <c r="AF104" s="53">
        <f>IF($A104="-","-",VLOOKUP($A104,[5]Controle!$A$6:$BO$25,AF$94,FALSE))</f>
        <v>10</v>
      </c>
      <c r="AG104" s="53">
        <f>IF($A104="-","-",VLOOKUP($A104,[5]Controle!$A$6:$BO$25,AG$94,FALSE))</f>
        <v>2E-3</v>
      </c>
      <c r="AH104" s="53">
        <f>IF($A104="-","-",VLOOKUP($A104,[5]Controle!$A$6:$BO$25,AH$94,FALSE))</f>
        <v>2</v>
      </c>
      <c r="AI104" s="53">
        <f>IF($A104="-","-",VLOOKUP($A104,[5]Controle!$A$6:$BO$25,AI$94,FALSE))</f>
        <v>1000000</v>
      </c>
      <c r="AJ104" s="53">
        <f>IF($A104="-","-",VLOOKUP($A104,[5]Controle!$A$6:$BO$25,AJ$94,FALSE))</f>
        <v>20</v>
      </c>
      <c r="AK104" s="53">
        <f>IF($A104="-","-",VLOOKUP($A104,[5]Controle!$A$6:$BO$25,AK$94,FALSE))</f>
        <v>2E-3</v>
      </c>
      <c r="AL104" s="53">
        <f>IF($A104="-","-",VLOOKUP($A104,[5]Controle!$A$6:$BO$25,AL$94,FALSE))</f>
        <v>2</v>
      </c>
      <c r="AM104" s="53">
        <f>IF($A104="-","-",VLOOKUP($A104,[5]Controle!$A$6:$BO$25,AM$94,FALSE))</f>
        <v>1000000</v>
      </c>
      <c r="AN104" s="53">
        <f>IF($A104="-","-",VLOOKUP($A104,[5]Controle!$A$6:$BO$25,AN$94,FALSE))</f>
        <v>30</v>
      </c>
      <c r="AO104" s="53">
        <f>IF($A104="-","-",VLOOKUP($A104,[5]Controle!$A$6:$BO$25,AO$94,FALSE))</f>
        <v>2E-3</v>
      </c>
      <c r="AP104" s="53">
        <f>IF($A104="-","-",VLOOKUP($A104,[5]Controle!$A$6:$BO$25,AP$94,FALSE))</f>
        <v>2</v>
      </c>
      <c r="AQ104" s="53">
        <f>IF($A104="-","-",VLOOKUP($A104,[5]Controle!$A$6:$BO$25,AQ$94,FALSE))</f>
        <v>1000000</v>
      </c>
      <c r="AR104" s="53">
        <f>IF($A104="-","-",VLOOKUP($A104,[5]Controle!$A$6:$BO$25,AR$94,FALSE))</f>
        <v>40</v>
      </c>
      <c r="AS104" s="53">
        <f>IF($A104="-","-",VLOOKUP($A104,[5]Controle!$A$6:$BO$25,AS$94,FALSE))</f>
        <v>3.0000000000000001E-3</v>
      </c>
      <c r="AT104" s="53">
        <f>IF($A104="-","-",VLOOKUP($A104,[5]Controle!$A$6:$BO$25,AT$94,FALSE))</f>
        <v>2</v>
      </c>
      <c r="AU104" s="53">
        <f>IF($A104="-","-",VLOOKUP($A104,[5]Controle!$A$6:$BO$25,AU$94,FALSE))</f>
        <v>1000000</v>
      </c>
      <c r="AV104" s="53">
        <f>IF($A104="-","-",VLOOKUP($A104,[5]Controle!$A$6:$BO$25,AV$94,FALSE))</f>
        <v>50</v>
      </c>
      <c r="AW104" s="53">
        <f>IF($A104="-","-",VLOOKUP($A104,[5]Controle!$A$6:$BO$25,AW$94,FALSE))</f>
        <v>3.0000000000000001E-3</v>
      </c>
      <c r="AX104" s="53">
        <f>IF($A104="-","-",VLOOKUP($A104,[5]Controle!$A$6:$BO$25,AX$94,FALSE))</f>
        <v>2</v>
      </c>
      <c r="AY104" s="53">
        <f>IF($A104="-","-",VLOOKUP($A104,[5]Controle!$A$6:$BO$25,AY$94,FALSE))</f>
        <v>1000000</v>
      </c>
      <c r="AZ104" s="53">
        <f>IF($A104="-","-",VLOOKUP($A104,[5]Controle!$A$6:$BO$25,AZ$94,FALSE))</f>
        <v>60</v>
      </c>
      <c r="BA104" s="53">
        <f>IF($A104="-","-",VLOOKUP($A104,[5]Controle!$A$6:$BO$25,BA$94,FALSE))</f>
        <v>3.0000000000000001E-3</v>
      </c>
      <c r="BB104" s="53">
        <f>IF($A104="-","-",VLOOKUP($A104,[5]Controle!$A$6:$BO$25,BB$94,FALSE))</f>
        <v>2</v>
      </c>
      <c r="BC104" s="53">
        <f>IF($A104="-","-",VLOOKUP($A104,[5]Controle!$A$6:$BO$25,BC$94,FALSE))</f>
        <v>1000000</v>
      </c>
      <c r="BD104" s="53" t="str">
        <f>IF($A104="-","-",VLOOKUP($A104,[5]Controle!$A$6:$BO$25,BD$94,FALSE))</f>
        <v>-</v>
      </c>
      <c r="BE104" s="53" t="str">
        <f>IF($A104="-","-",VLOOKUP($A104,[5]Controle!$A$6:$BO$25,BE$94,FALSE))</f>
        <v>-</v>
      </c>
      <c r="BF104" s="53" t="str">
        <f>IF($A104="-","-",VLOOKUP($A104,[5]Controle!$A$6:$BO$25,BF$94,FALSE))</f>
        <v>-</v>
      </c>
      <c r="BG104" s="53" t="str">
        <f>IF($A104="-","-",VLOOKUP($A104,[5]Controle!$A$6:$BO$25,BG$94,FALSE))</f>
        <v>-</v>
      </c>
      <c r="BH104" s="53" t="str">
        <f>IF($A104="-","-",VLOOKUP($A104,[5]Controle!$A$6:$BO$25,BH$94,FALSE))</f>
        <v>-</v>
      </c>
      <c r="BI104" s="53" t="str">
        <f>IF($A104="-","-",VLOOKUP($A104,[5]Controle!$A$6:$BO$25,BI$94,FALSE))</f>
        <v>-</v>
      </c>
      <c r="BJ104" s="53" t="str">
        <f>IF($A104="-","-",VLOOKUP($A104,[5]Controle!$A$6:$BO$25,BJ$94,FALSE))</f>
        <v>-</v>
      </c>
      <c r="BK104" s="53" t="str">
        <f>IF($A104="-","-",VLOOKUP($A104,[5]Controle!$A$6:$BO$25,BK$94,FALSE))</f>
        <v>-</v>
      </c>
      <c r="BL104" s="53" t="str">
        <f>IF($A104="-","-",VLOOKUP($A104,[5]Controle!$A$6:$BO$25,BL$94,FALSE))</f>
        <v>-</v>
      </c>
      <c r="BM104" s="53" t="str">
        <f>IF($A104="-","-",VLOOKUP($A104,[5]Controle!$A$6:$BO$25,BM$94,FALSE))</f>
        <v>-</v>
      </c>
      <c r="BN104" s="53" t="str">
        <f>IF($A104="-","-",VLOOKUP($A104,[5]Controle!$A$6:$BO$25,BN$94,FALSE))</f>
        <v>-</v>
      </c>
      <c r="BO104" s="53" t="str">
        <f>IF($A104="-","-",VLOOKUP($A104,[5]Controle!$A$6:$BO$25,BO$94,FALSE))</f>
        <v>-</v>
      </c>
      <c r="BP104" s="53">
        <f>IF($A104="-","-",VLOOKUP($A104,[5]Controle!$A$6:$BY$25,BP$94,FALSE))</f>
        <v>0</v>
      </c>
      <c r="BQ104" s="53">
        <f>IF($A104="-","-",VLOOKUP($A104,[5]Controle!$A$6:$BY$25,BQ$94,FALSE))</f>
        <v>0</v>
      </c>
      <c r="BR104" s="53">
        <f>IF($A104="-","-",VLOOKUP($A104,[5]Controle!$A$6:$BY$25,BR$94,FALSE))</f>
        <v>0</v>
      </c>
      <c r="BS104" s="53">
        <f>IF($A104="-","-",VLOOKUP($A104,[5]Controle!$A$6:$BY$25,BS$94,FALSE))</f>
        <v>0</v>
      </c>
      <c r="BT104" s="53">
        <f>IF($A104="-","-",VLOOKUP($A104,[5]Controle!$A$6:$BY$25,BT$94,FALSE))</f>
        <v>-9.9999999999766942E-4</v>
      </c>
      <c r="BU104" s="53">
        <f>IF($A104="-","-",VLOOKUP($A104,[5]Controle!$A$6:$BY$25,BU$94,FALSE))</f>
        <v>-2.0000000000024443E-3</v>
      </c>
      <c r="BV104" s="53">
        <f>IF($A104="-","-",VLOOKUP($A104,[5]Controle!$A$6:$BY$25,BV$94,FALSE))</f>
        <v>-2.0000000000024443E-3</v>
      </c>
      <c r="BW104" s="53">
        <f>IF($A104="-","-",VLOOKUP($A104,[5]Controle!$A$6:$BY$25,BW$94,FALSE))</f>
        <v>0</v>
      </c>
      <c r="BX104" s="53">
        <f>IF($A104="-","-",VLOOKUP($A104,[5]Controle!$A$6:$BY$25,BX$94,FALSE))</f>
        <v>0</v>
      </c>
      <c r="BY104" s="53">
        <f>IF($A104="-","-",VLOOKUP($A104,[5]Controle!$A$6:$BY$25,BY$94,FALSE))</f>
        <v>0</v>
      </c>
      <c r="BZ104" s="53">
        <f>IF($A104="-","-",VLOOKUP($A104,[5]Controle!$A$6:$CI$25,BZ$94,FALSE))</f>
        <v>0</v>
      </c>
      <c r="CA104" s="53">
        <f>IF($A104="-","-",VLOOKUP($A104,[5]Controle!$A$6:$CI$25,CA$94,FALSE))</f>
        <v>-9.9999999999944578E-4</v>
      </c>
      <c r="CB104" s="53">
        <f>IF($A104="-","-",VLOOKUP($A104,[5]Controle!$A$6:$CI$25,CB$94,FALSE))</f>
        <v>-1.0000000000012221E-3</v>
      </c>
      <c r="CC104" s="53">
        <f>IF($A104="-","-",VLOOKUP($A104,[5]Controle!$A$6:$CI$25,CC$94,FALSE))</f>
        <v>-1.9999999999988916E-3</v>
      </c>
      <c r="CD104" s="53">
        <f>IF($A104="-","-",VLOOKUP($A104,[5]Controle!$A$6:$CI$25,CD$94,FALSE))</f>
        <v>-1.0000000000047748E-3</v>
      </c>
      <c r="CE104" s="53">
        <f>IF($A104="-","-",VLOOKUP($A104,[5]Controle!$A$6:$CI$25,CE$94,FALSE))</f>
        <v>-9.9999999999766942E-4</v>
      </c>
      <c r="CF104" s="53">
        <f>IF($A104="-","-",VLOOKUP($A104,[5]Controle!$A$6:$CI$25,CF$94,FALSE))</f>
        <v>-9.9999999999766942E-4</v>
      </c>
      <c r="CG104" s="53">
        <f>IF($A104="-","-",VLOOKUP($A104,[5]Controle!$A$6:$CI$25,CG$94,FALSE))</f>
        <v>0</v>
      </c>
      <c r="CH104" s="53">
        <f>IF($A104="-","-",VLOOKUP($A104,[5]Controle!$A$6:$CI$25,CH$94,FALSE))</f>
        <v>0</v>
      </c>
      <c r="CI104" s="53">
        <f>IF($A104="-","-",VLOOKUP($A104,[5]Controle!$A$6:$CI$25,CI$94,FALSE))</f>
        <v>0</v>
      </c>
      <c r="CT104" s="41">
        <f ca="1">IF(CV104="-",0,MAX($CT$97:CT103)+1)</f>
        <v>8</v>
      </c>
      <c r="CU104" s="53" t="str">
        <f t="shared" ref="CU104" ca="1" si="49">IF(CW104="-","-",IF($G$1&lt;=H104,"VÁLIDO","VENCIDO"))</f>
        <v>VÁLIDO</v>
      </c>
      <c r="CV104" s="53" t="str">
        <f t="shared" ca="1" si="44"/>
        <v>E.MS.PMR-003</v>
      </c>
      <c r="CW104" s="53">
        <f t="shared" ref="CW104" si="50">A104</f>
        <v>8</v>
      </c>
      <c r="CX104" s="41">
        <f t="shared" si="48"/>
        <v>8</v>
      </c>
      <c r="CY104" s="41" t="str">
        <f t="shared" ref="CY104" si="51">LEFT(B104,1)</f>
        <v>E</v>
      </c>
    </row>
    <row r="105" spans="1:103" x14ac:dyDescent="0.3">
      <c r="A105" s="56">
        <v>15</v>
      </c>
      <c r="B105" s="53" t="str">
        <f>IF($A105="-","-",VLOOKUP($A105,[5]Controle!$A$6:$BO$25,B$94,FALSE))</f>
        <v>M.MS.LM-005</v>
      </c>
      <c r="C105" s="53" t="str">
        <f>IF($A105="-","-",VLOOKUP($A105,[5]Controle!$A$6:$BO$25,C$94,FALSE))</f>
        <v>Balança Eletrônica</v>
      </c>
      <c r="D105" s="53" t="str">
        <f>IF($A105="-","-",VLOOKUP($A105,[5]Controle!$A$6:$BO$25,D$94,FALSE))</f>
        <v>Metrolab</v>
      </c>
      <c r="E105" s="53" t="str">
        <f>IF($A105="-","-",VLOOKUP($A105,[5]Controle!$A$6:$BO$25,E$94,FALSE))</f>
        <v>RBC - CAL 0215</v>
      </c>
      <c r="F105" s="53" t="str">
        <f>IF($A105="-","-",VLOOKUP($A105,[5]Controle!$A$6:$BO$25,F$94,FALSE))</f>
        <v>M0063/25</v>
      </c>
      <c r="G105" s="54">
        <f>IF($A105="-","-",VLOOKUP($A105,[5]Controle!$A$6:$BO$25,G$94,FALSE))</f>
        <v>45887</v>
      </c>
      <c r="H105" s="55">
        <f>IF($A105="-","-",VLOOKUP($A105,[5]Controle!$A$6:$BO$25,H$94,FALSE))</f>
        <v>46264</v>
      </c>
      <c r="I105" s="53" t="str">
        <f>IF($A105="-","-",VLOOKUP($A105,[5]Controle!$A$6:$BO$25,I$94,FALSE))</f>
        <v>g</v>
      </c>
      <c r="J105" s="53">
        <f>IF($A105="-","-",VLOOKUP($A105,[5]Controle!$A$6:$BO$25,J$94,FALSE))</f>
        <v>0.2</v>
      </c>
      <c r="K105" s="53">
        <f>IF($A105="-","-",VLOOKUP($A105,[5]Controle!$A$6:$BO$25,K$94,FALSE))</f>
        <v>500</v>
      </c>
      <c r="L105" s="53">
        <f>IF($A105="-","-",VLOOKUP($A105,[5]Controle!$A$6:$BO$25,L$94,FALSE))</f>
        <v>1E-3</v>
      </c>
      <c r="M105" s="53">
        <f>IF($A105="-","-",VLOOKUP($A105,[5]Controle!$A$6:$BO$25,M$94,FALSE))</f>
        <v>9.9999999997635314E-4</v>
      </c>
      <c r="N105" s="53">
        <f>IF($A105="-","-",VLOOKUP($A105,[5]Controle!$A$6:$BO$25,N$94,FALSE))</f>
        <v>3.0000000000000001E-3</v>
      </c>
      <c r="O105" s="53">
        <f>IF($A105="-","-",VLOOKUP($A105,[5]Controle!$A$6:$BO$25,O$94,FALSE))</f>
        <v>1.9999999999527063E-3</v>
      </c>
      <c r="P105" s="53">
        <f>IF($A105="-","-",VLOOKUP($A105,[5]Controle!$A$6:$BO$25,P$94,FALSE))</f>
        <v>5.0000000000238742E-4</v>
      </c>
      <c r="Q105" s="53">
        <f>IF($A105="-","-",VLOOKUP($A105,[5]Controle!$A$6:$BO$25,Q$94,FALSE))</f>
        <v>4.3675761203232355E-6</v>
      </c>
      <c r="R105" s="53">
        <f>IF($A105="-","-",VLOOKUP($A105,[5]Controle!$A$6:$BO$25,R$94,FALSE))</f>
        <v>5</v>
      </c>
      <c r="S105" s="53">
        <f>IF($A105="-","-",VLOOKUP($A105,[5]Controle!$A$6:$BO$25,S$94,FALSE))</f>
        <v>0</v>
      </c>
      <c r="T105" s="53">
        <f>IF($A105="-","-",VLOOKUP($A105,[5]Controle!$A$6:$BO$25,T$94,FALSE))</f>
        <v>0</v>
      </c>
      <c r="U105" s="53">
        <f>IF($A105="-","-",VLOOKUP($A105,[5]Controle!$A$6:$BO$25,U$94,FALSE))</f>
        <v>0</v>
      </c>
      <c r="V105" s="53">
        <f>IF($A105="-","-",VLOOKUP($A105,[5]Controle!$A$6:$BO$25,V$94,FALSE))</f>
        <v>1.8234193130665115E-15</v>
      </c>
      <c r="W105" s="53">
        <f>IF($A105="-","-",VLOOKUP($A105,[5]Controle!$A$6:$BO$25,W$94,FALSE))</f>
        <v>-1.7878289013572689E-12</v>
      </c>
      <c r="X105" s="53">
        <f>IF($A105="-","-",VLOOKUP($A105,[5]Controle!$A$6:$BO$25,X$94,FALSE))</f>
        <v>5.267097679273311E-10</v>
      </c>
      <c r="Y105" s="53">
        <f>IF($A105="-","-",VLOOKUP($A105,[5]Controle!$A$6:$BO$25,Y$94,FALSE))</f>
        <v>-5.1321351189067656E-8</v>
      </c>
      <c r="Z105" s="53">
        <f>IF($A105="-","-",VLOOKUP($A105,[5]Controle!$A$6:$BO$25,Z$94,FALSE))</f>
        <v>1.0000015041251415</v>
      </c>
      <c r="AA105" s="53">
        <f>IF($A105="-","-",VLOOKUP($A105,[5]Controle!$A$6:$BO$25,AA$94,FALSE))</f>
        <v>-3.0184463320065413E-6</v>
      </c>
      <c r="AB105" s="53">
        <f>IF($A105="-","-",VLOOKUP($A105,[5]Controle!$A$6:$BO$25,AB$94,FALSE))</f>
        <v>0.2</v>
      </c>
      <c r="AC105" s="53">
        <f>IF($A105="-","-",VLOOKUP($A105,[5]Controle!$A$6:$BO$25,AC$94,FALSE))</f>
        <v>2E-3</v>
      </c>
      <c r="AD105" s="53">
        <f>IF($A105="-","-",VLOOKUP($A105,[5]Controle!$A$6:$BO$25,AD$94,FALSE))</f>
        <v>2</v>
      </c>
      <c r="AE105" s="53">
        <f>IF($A105="-","-",VLOOKUP($A105,[5]Controle!$A$6:$BO$25,AE$94,FALSE))</f>
        <v>1000000</v>
      </c>
      <c r="AF105" s="53">
        <f>IF($A105="-","-",VLOOKUP($A105,[5]Controle!$A$6:$BO$25,AF$94,FALSE))</f>
        <v>5</v>
      </c>
      <c r="AG105" s="53">
        <f>IF($A105="-","-",VLOOKUP($A105,[5]Controle!$A$6:$BO$25,AG$94,FALSE))</f>
        <v>2E-3</v>
      </c>
      <c r="AH105" s="53">
        <f>IF($A105="-","-",VLOOKUP($A105,[5]Controle!$A$6:$BO$25,AH$94,FALSE))</f>
        <v>2</v>
      </c>
      <c r="AI105" s="53">
        <f>IF($A105="-","-",VLOOKUP($A105,[5]Controle!$A$6:$BO$25,AI$94,FALSE))</f>
        <v>1000000</v>
      </c>
      <c r="AJ105" s="53">
        <f>IF($A105="-","-",VLOOKUP($A105,[5]Controle!$A$6:$BO$25,AJ$94,FALSE))</f>
        <v>50</v>
      </c>
      <c r="AK105" s="53">
        <f>IF($A105="-","-",VLOOKUP($A105,[5]Controle!$A$6:$BO$25,AK$94,FALSE))</f>
        <v>2E-3</v>
      </c>
      <c r="AL105" s="53">
        <f>IF($A105="-","-",VLOOKUP($A105,[5]Controle!$A$6:$BO$25,AL$94,FALSE))</f>
        <v>2</v>
      </c>
      <c r="AM105" s="53">
        <f>IF($A105="-","-",VLOOKUP($A105,[5]Controle!$A$6:$BO$25,AM$94,FALSE))</f>
        <v>1000000</v>
      </c>
      <c r="AN105" s="53">
        <f>IF($A105="-","-",VLOOKUP($A105,[5]Controle!$A$6:$BO$25,AN$94,FALSE))</f>
        <v>100</v>
      </c>
      <c r="AO105" s="53">
        <f>IF($A105="-","-",VLOOKUP($A105,[5]Controle!$A$6:$BO$25,AO$94,FALSE))</f>
        <v>2E-3</v>
      </c>
      <c r="AP105" s="53">
        <f>IF($A105="-","-",VLOOKUP($A105,[5]Controle!$A$6:$BO$25,AP$94,FALSE))</f>
        <v>2</v>
      </c>
      <c r="AQ105" s="53">
        <f>IF($A105="-","-",VLOOKUP($A105,[5]Controle!$A$6:$BO$25,AQ$94,FALSE))</f>
        <v>1000000</v>
      </c>
      <c r="AR105" s="53">
        <f>IF($A105="-","-",VLOOKUP($A105,[5]Controle!$A$6:$BO$25,AR$94,FALSE))</f>
        <v>300</v>
      </c>
      <c r="AS105" s="53">
        <f>IF($A105="-","-",VLOOKUP($A105,[5]Controle!$A$6:$BO$25,AS$94,FALSE))</f>
        <v>2E-3</v>
      </c>
      <c r="AT105" s="53">
        <f>IF($A105="-","-",VLOOKUP($A105,[5]Controle!$A$6:$BO$25,AT$94,FALSE))</f>
        <v>2</v>
      </c>
      <c r="AU105" s="53">
        <f>IF($A105="-","-",VLOOKUP($A105,[5]Controle!$A$6:$BO$25,AU$94,FALSE))</f>
        <v>1000000</v>
      </c>
      <c r="AV105" s="53">
        <f>IF($A105="-","-",VLOOKUP($A105,[5]Controle!$A$6:$BO$25,AV$94,FALSE))</f>
        <v>400</v>
      </c>
      <c r="AW105" s="53">
        <f>IF($A105="-","-",VLOOKUP($A105,[5]Controle!$A$6:$BO$25,AW$94,FALSE))</f>
        <v>3.0000000000000001E-3</v>
      </c>
      <c r="AX105" s="53">
        <f>IF($A105="-","-",VLOOKUP($A105,[5]Controle!$A$6:$BO$25,AX$94,FALSE))</f>
        <v>2</v>
      </c>
      <c r="AY105" s="53">
        <f>IF($A105="-","-",VLOOKUP($A105,[5]Controle!$A$6:$BO$25,AY$94,FALSE))</f>
        <v>1000000</v>
      </c>
      <c r="AZ105" s="53">
        <f>IF($A105="-","-",VLOOKUP($A105,[5]Controle!$A$6:$BO$25,AZ$94,FALSE))</f>
        <v>500</v>
      </c>
      <c r="BA105" s="53">
        <f>IF($A105="-","-",VLOOKUP($A105,[5]Controle!$A$6:$BO$25,BA$94,FALSE))</f>
        <v>3.0000000000000001E-3</v>
      </c>
      <c r="BB105" s="53">
        <f>IF($A105="-","-",VLOOKUP($A105,[5]Controle!$A$6:$BO$25,BB$94,FALSE))</f>
        <v>2</v>
      </c>
      <c r="BC105" s="53">
        <f>IF($A105="-","-",VLOOKUP($A105,[5]Controle!$A$6:$BO$25,BC$94,FALSE))</f>
        <v>1000000</v>
      </c>
      <c r="BD105" s="53" t="str">
        <f>IF($A105="-","-",VLOOKUP($A105,[5]Controle!$A$6:$BO$25,BD$94,FALSE))</f>
        <v>-</v>
      </c>
      <c r="BE105" s="53" t="str">
        <f>IF($A105="-","-",VLOOKUP($A105,[5]Controle!$A$6:$BO$25,BE$94,FALSE))</f>
        <v>-</v>
      </c>
      <c r="BF105" s="53" t="str">
        <f>IF($A105="-","-",VLOOKUP($A105,[5]Controle!$A$6:$BO$25,BF$94,FALSE))</f>
        <v>-</v>
      </c>
      <c r="BG105" s="53" t="str">
        <f>IF($A105="-","-",VLOOKUP($A105,[5]Controle!$A$6:$BO$25,BG$94,FALSE))</f>
        <v>-</v>
      </c>
      <c r="BH105" s="53" t="str">
        <f>IF($A105="-","-",VLOOKUP($A105,[5]Controle!$A$6:$BO$25,BH$94,FALSE))</f>
        <v>-</v>
      </c>
      <c r="BI105" s="53" t="str">
        <f>IF($A105="-","-",VLOOKUP($A105,[5]Controle!$A$6:$BO$25,BI$94,FALSE))</f>
        <v>-</v>
      </c>
      <c r="BJ105" s="53" t="str">
        <f>IF($A105="-","-",VLOOKUP($A105,[5]Controle!$A$6:$BO$25,BJ$94,FALSE))</f>
        <v>-</v>
      </c>
      <c r="BK105" s="53" t="str">
        <f>IF($A105="-","-",VLOOKUP($A105,[5]Controle!$A$6:$BO$25,BK$94,FALSE))</f>
        <v>-</v>
      </c>
      <c r="BL105" s="53" t="str">
        <f>IF($A105="-","-",VLOOKUP($A105,[5]Controle!$A$6:$BO$25,BL$94,FALSE))</f>
        <v>-</v>
      </c>
      <c r="BM105" s="53" t="str">
        <f>IF($A105="-","-",VLOOKUP($A105,[5]Controle!$A$6:$BO$25,BM$94,FALSE))</f>
        <v>-</v>
      </c>
      <c r="BN105" s="53" t="str">
        <f>IF($A105="-","-",VLOOKUP($A105,[5]Controle!$A$6:$BO$25,BN$94,FALSE))</f>
        <v>-</v>
      </c>
      <c r="BO105" s="53" t="str">
        <f>IF($A105="-","-",VLOOKUP($A105,[5]Controle!$A$6:$BO$25,BO$94,FALSE))</f>
        <v>-</v>
      </c>
      <c r="BP105" s="53">
        <f>IF($A105="-","-",VLOOKUP($A105,[5]Controle!$A$6:$BY$25,BP$94,FALSE))</f>
        <v>0</v>
      </c>
      <c r="BQ105" s="53">
        <f>IF($A105="-","-",VLOOKUP($A105,[5]Controle!$A$6:$BY$25,BQ$94,FALSE))</f>
        <v>0</v>
      </c>
      <c r="BR105" s="53">
        <f>IF($A105="-","-",VLOOKUP($A105,[5]Controle!$A$6:$BY$25,BR$94,FALSE))</f>
        <v>0</v>
      </c>
      <c r="BS105" s="53">
        <f>IF($A105="-","-",VLOOKUP($A105,[5]Controle!$A$6:$BY$25,BS$94,FALSE))</f>
        <v>0</v>
      </c>
      <c r="BT105" s="53">
        <f>IF($A105="-","-",VLOOKUP($A105,[5]Controle!$A$6:$BY$25,BT$94,FALSE))</f>
        <v>0</v>
      </c>
      <c r="BU105" s="53">
        <f>IF($A105="-","-",VLOOKUP($A105,[5]Controle!$A$6:$BY$25,BU$94,FALSE))</f>
        <v>9.9999999997635314E-4</v>
      </c>
      <c r="BV105" s="53">
        <f>IF($A105="-","-",VLOOKUP($A105,[5]Controle!$A$6:$BY$25,BV$94,FALSE))</f>
        <v>9.9999999997635314E-4</v>
      </c>
      <c r="BW105" s="53">
        <f>IF($A105="-","-",VLOOKUP($A105,[5]Controle!$A$6:$BY$25,BW$94,FALSE))</f>
        <v>0</v>
      </c>
      <c r="BX105" s="53">
        <f>IF($A105="-","-",VLOOKUP($A105,[5]Controle!$A$6:$BY$25,BX$94,FALSE))</f>
        <v>0</v>
      </c>
      <c r="BY105" s="53">
        <f>IF($A105="-","-",VLOOKUP($A105,[5]Controle!$A$6:$BY$25,BY$94,FALSE))</f>
        <v>0</v>
      </c>
      <c r="BZ105" s="53">
        <f>IF($A105="-","-",VLOOKUP($A105,[5]Controle!$A$6:$CI$25,BZ$94,FALSE))</f>
        <v>0</v>
      </c>
      <c r="CA105" s="53">
        <f>IF($A105="-","-",VLOOKUP($A105,[5]Controle!$A$6:$CI$25,CA$94,FALSE))</f>
        <v>0</v>
      </c>
      <c r="CB105" s="53">
        <f>IF($A105="-","-",VLOOKUP($A105,[5]Controle!$A$6:$CI$25,CB$94,FALSE))</f>
        <v>0</v>
      </c>
      <c r="CC105" s="53">
        <f>IF($A105="-","-",VLOOKUP($A105,[5]Controle!$A$6:$CI$25,CC$94,FALSE))</f>
        <v>0</v>
      </c>
      <c r="CD105" s="53">
        <f>IF($A105="-","-",VLOOKUP($A105,[5]Controle!$A$6:$CI$25,CD$94,FALSE))</f>
        <v>0</v>
      </c>
      <c r="CE105" s="53">
        <f>IF($A105="-","-",VLOOKUP($A105,[5]Controle!$A$6:$CI$25,CE$94,FALSE))</f>
        <v>-9.9999999997635314E-4</v>
      </c>
      <c r="CF105" s="53">
        <f>IF($A105="-","-",VLOOKUP($A105,[5]Controle!$A$6:$CI$25,CF$94,FALSE))</f>
        <v>-1.9999999999527063E-3</v>
      </c>
      <c r="CG105" s="53">
        <f>IF($A105="-","-",VLOOKUP($A105,[5]Controle!$A$6:$CI$25,CG$94,FALSE))</f>
        <v>0</v>
      </c>
      <c r="CH105" s="53">
        <f>IF($A105="-","-",VLOOKUP($A105,[5]Controle!$A$6:$CI$25,CH$94,FALSE))</f>
        <v>0</v>
      </c>
      <c r="CI105" s="53">
        <f>IF($A105="-","-",VLOOKUP($A105,[5]Controle!$A$6:$CI$25,CI$94,FALSE))</f>
        <v>0</v>
      </c>
      <c r="CT105" s="41">
        <f>IF(CV105="-",0,MAX($CT$97:CT104)+1)</f>
        <v>0</v>
      </c>
      <c r="CU105" s="53" t="str">
        <f t="shared" ca="1" si="45"/>
        <v>VÁLIDO</v>
      </c>
      <c r="CV105" s="53" t="str">
        <f t="shared" si="44"/>
        <v>-</v>
      </c>
      <c r="CW105" s="53">
        <f t="shared" si="46"/>
        <v>15</v>
      </c>
      <c r="CX105" s="41">
        <f t="shared" si="48"/>
        <v>9</v>
      </c>
      <c r="CY105" s="41" t="str">
        <f t="shared" si="47"/>
        <v>M</v>
      </c>
    </row>
    <row r="106" spans="1:103" x14ac:dyDescent="0.3">
      <c r="A106" s="56">
        <v>16</v>
      </c>
      <c r="B106" s="53" t="str">
        <f>IF($A106="-","-",VLOOKUP($A106,[5]Controle!$A$6:$BO$25,B$94,FALSE))</f>
        <v>M.MS.LM-006</v>
      </c>
      <c r="C106" s="53" t="str">
        <f>IF($A106="-","-",VLOOKUP($A106,[5]Controle!$A$6:$BO$25,C$94,FALSE))</f>
        <v>Balança Eletrônica</v>
      </c>
      <c r="D106" s="53" t="str">
        <f>IF($A106="-","-",VLOOKUP($A106,[5]Controle!$A$6:$BO$25,D$94,FALSE))</f>
        <v>Metrolab</v>
      </c>
      <c r="E106" s="53" t="str">
        <f>IF($A106="-","-",VLOOKUP($A106,[5]Controle!$A$6:$BO$25,E$94,FALSE))</f>
        <v>RBC - CAL 0215</v>
      </c>
      <c r="F106" s="53" t="str">
        <f>IF($A106="-","-",VLOOKUP($A106,[5]Controle!$A$6:$BO$25,F$94,FALSE))</f>
        <v>M0064/25</v>
      </c>
      <c r="G106" s="54">
        <f>IF($A106="-","-",VLOOKUP($A106,[5]Controle!$A$6:$BO$25,G$94,FALSE))</f>
        <v>45887</v>
      </c>
      <c r="H106" s="55">
        <f>IF($A106="-","-",VLOOKUP($A106,[5]Controle!$A$6:$BO$25,H$94,FALSE))</f>
        <v>46264</v>
      </c>
      <c r="I106" s="53" t="str">
        <f>IF($A106="-","-",VLOOKUP($A106,[5]Controle!$A$6:$BO$25,I$94,FALSE))</f>
        <v>g</v>
      </c>
      <c r="J106" s="53">
        <f>IF($A106="-","-",VLOOKUP($A106,[5]Controle!$A$6:$BO$25,J$94,FALSE))</f>
        <v>1</v>
      </c>
      <c r="K106" s="53">
        <f>IF($A106="-","-",VLOOKUP($A106,[5]Controle!$A$6:$BO$25,K$94,FALSE))</f>
        <v>2000</v>
      </c>
      <c r="L106" s="53">
        <f>IF($A106="-","-",VLOOKUP($A106,[5]Controle!$A$6:$BO$25,L$94,FALSE))</f>
        <v>0.01</v>
      </c>
      <c r="M106" s="53">
        <f>IF($A106="-","-",VLOOKUP($A106,[5]Controle!$A$6:$BO$25,M$94,FALSE))</f>
        <v>2.9999999999972715E-2</v>
      </c>
      <c r="N106" s="53">
        <f>IF($A106="-","-",VLOOKUP($A106,[5]Controle!$A$6:$BO$25,N$94,FALSE))</f>
        <v>0.04</v>
      </c>
      <c r="O106" s="53">
        <f>IF($A106="-","-",VLOOKUP($A106,[5]Controle!$A$6:$BO$25,O$94,FALSE))</f>
        <v>4.9999999999954525E-2</v>
      </c>
      <c r="P106" s="53">
        <f>IF($A106="-","-",VLOOKUP($A106,[5]Controle!$A$6:$BO$25,P$94,FALSE))</f>
        <v>4.9999999999954525E-3</v>
      </c>
      <c r="Q106" s="53">
        <f>IF($A106="-","-",VLOOKUP($A106,[5]Controle!$A$6:$BO$25,Q$94,FALSE))</f>
        <v>9.5842302412663116E-5</v>
      </c>
      <c r="R106" s="53">
        <f>IF($A106="-","-",VLOOKUP($A106,[5]Controle!$A$6:$BO$25,R$94,FALSE))</f>
        <v>5</v>
      </c>
      <c r="S106" s="53">
        <f>IF($A106="-","-",VLOOKUP($A106,[5]Controle!$A$6:$BO$25,S$94,FALSE))</f>
        <v>0</v>
      </c>
      <c r="T106" s="53">
        <f>IF($A106="-","-",VLOOKUP($A106,[5]Controle!$A$6:$BO$25,T$94,FALSE))</f>
        <v>0</v>
      </c>
      <c r="U106" s="53">
        <f>IF($A106="-","-",VLOOKUP($A106,[5]Controle!$A$6:$BO$25,U$94,FALSE))</f>
        <v>0</v>
      </c>
      <c r="V106" s="53">
        <f>IF($A106="-","-",VLOOKUP($A106,[5]Controle!$A$6:$BO$25,V$94,FALSE))</f>
        <v>4.6697931588906474E-17</v>
      </c>
      <c r="W106" s="53">
        <f>IF($A106="-","-",VLOOKUP($A106,[5]Controle!$A$6:$BO$25,W$94,FALSE))</f>
        <v>-2.2021610792121316E-13</v>
      </c>
      <c r="X106" s="53">
        <f>IF($A106="-","-",VLOOKUP($A106,[5]Controle!$A$6:$BO$25,X$94,FALSE))</f>
        <v>3.4223244945612163E-10</v>
      </c>
      <c r="Y106" s="53">
        <f>IF($A106="-","-",VLOOKUP($A106,[5]Controle!$A$6:$BO$25,Y$94,FALSE))</f>
        <v>-1.9569339302521538E-7</v>
      </c>
      <c r="Z106" s="53">
        <f>IF($A106="-","-",VLOOKUP($A106,[5]Controle!$A$6:$BO$25,Z$94,FALSE))</f>
        <v>1.0000170582331884</v>
      </c>
      <c r="AA106" s="53">
        <f>IF($A106="-","-",VLOOKUP($A106,[5]Controle!$A$6:$BO$25,AA$94,FALSE))</f>
        <v>9.9205111556049941E-3</v>
      </c>
      <c r="AB106" s="53">
        <f>IF($A106="-","-",VLOOKUP($A106,[5]Controle!$A$6:$BO$25,AB$94,FALSE))</f>
        <v>1</v>
      </c>
      <c r="AC106" s="53">
        <f>IF($A106="-","-",VLOOKUP($A106,[5]Controle!$A$6:$BO$25,AC$94,FALSE))</f>
        <v>0.02</v>
      </c>
      <c r="AD106" s="53">
        <f>IF($A106="-","-",VLOOKUP($A106,[5]Controle!$A$6:$BO$25,AD$94,FALSE))</f>
        <v>2</v>
      </c>
      <c r="AE106" s="53">
        <f>IF($A106="-","-",VLOOKUP($A106,[5]Controle!$A$6:$BO$25,AE$94,FALSE))</f>
        <v>1000000</v>
      </c>
      <c r="AF106" s="53">
        <f>IF($A106="-","-",VLOOKUP($A106,[5]Controle!$A$6:$BO$25,AF$94,FALSE))</f>
        <v>10</v>
      </c>
      <c r="AG106" s="53">
        <f>IF($A106="-","-",VLOOKUP($A106,[5]Controle!$A$6:$BO$25,AG$94,FALSE))</f>
        <v>0.02</v>
      </c>
      <c r="AH106" s="53">
        <f>IF($A106="-","-",VLOOKUP($A106,[5]Controle!$A$6:$BO$25,AH$94,FALSE))</f>
        <v>2</v>
      </c>
      <c r="AI106" s="53">
        <f>IF($A106="-","-",VLOOKUP($A106,[5]Controle!$A$6:$BO$25,AI$94,FALSE))</f>
        <v>1000000</v>
      </c>
      <c r="AJ106" s="53">
        <f>IF($A106="-","-",VLOOKUP($A106,[5]Controle!$A$6:$BO$25,AJ$94,FALSE))</f>
        <v>100</v>
      </c>
      <c r="AK106" s="53">
        <f>IF($A106="-","-",VLOOKUP($A106,[5]Controle!$A$6:$BO$25,AK$94,FALSE))</f>
        <v>0.02</v>
      </c>
      <c r="AL106" s="53">
        <f>IF($A106="-","-",VLOOKUP($A106,[5]Controle!$A$6:$BO$25,AL$94,FALSE))</f>
        <v>2</v>
      </c>
      <c r="AM106" s="53">
        <f>IF($A106="-","-",VLOOKUP($A106,[5]Controle!$A$6:$BO$25,AM$94,FALSE))</f>
        <v>1000000</v>
      </c>
      <c r="AN106" s="53">
        <f>IF($A106="-","-",VLOOKUP($A106,[5]Controle!$A$6:$BO$25,AN$94,FALSE))</f>
        <v>500</v>
      </c>
      <c r="AO106" s="53">
        <f>IF($A106="-","-",VLOOKUP($A106,[5]Controle!$A$6:$BO$25,AO$94,FALSE))</f>
        <v>0.02</v>
      </c>
      <c r="AP106" s="53">
        <f>IF($A106="-","-",VLOOKUP($A106,[5]Controle!$A$6:$BO$25,AP$94,FALSE))</f>
        <v>2</v>
      </c>
      <c r="AQ106" s="53">
        <f>IF($A106="-","-",VLOOKUP($A106,[5]Controle!$A$6:$BO$25,AQ$94,FALSE))</f>
        <v>1000000</v>
      </c>
      <c r="AR106" s="53">
        <f>IF($A106="-","-",VLOOKUP($A106,[5]Controle!$A$6:$BO$25,AR$94,FALSE))</f>
        <v>1000</v>
      </c>
      <c r="AS106" s="53">
        <f>IF($A106="-","-",VLOOKUP($A106,[5]Controle!$A$6:$BO$25,AS$94,FALSE))</f>
        <v>0.03</v>
      </c>
      <c r="AT106" s="53">
        <f>IF($A106="-","-",VLOOKUP($A106,[5]Controle!$A$6:$BO$25,AT$94,FALSE))</f>
        <v>2</v>
      </c>
      <c r="AU106" s="53">
        <f>IF($A106="-","-",VLOOKUP($A106,[5]Controle!$A$6:$BO$25,AU$94,FALSE))</f>
        <v>1000000</v>
      </c>
      <c r="AV106" s="53">
        <f>IF($A106="-","-",VLOOKUP($A106,[5]Controle!$A$6:$BO$25,AV$94,FALSE))</f>
        <v>1500</v>
      </c>
      <c r="AW106" s="53">
        <f>IF($A106="-","-",VLOOKUP($A106,[5]Controle!$A$6:$BO$25,AW$94,FALSE))</f>
        <v>0.03</v>
      </c>
      <c r="AX106" s="53">
        <f>IF($A106="-","-",VLOOKUP($A106,[5]Controle!$A$6:$BO$25,AX$94,FALSE))</f>
        <v>2</v>
      </c>
      <c r="AY106" s="53">
        <f>IF($A106="-","-",VLOOKUP($A106,[5]Controle!$A$6:$BO$25,AY$94,FALSE))</f>
        <v>1000000</v>
      </c>
      <c r="AZ106" s="53">
        <f>IF($A106="-","-",VLOOKUP($A106,[5]Controle!$A$6:$BO$25,AZ$94,FALSE))</f>
        <v>2000</v>
      </c>
      <c r="BA106" s="53">
        <f>IF($A106="-","-",VLOOKUP($A106,[5]Controle!$A$6:$BO$25,BA$94,FALSE))</f>
        <v>0.04</v>
      </c>
      <c r="BB106" s="53">
        <f>IF($A106="-","-",VLOOKUP($A106,[5]Controle!$A$6:$BO$25,BB$94,FALSE))</f>
        <v>2</v>
      </c>
      <c r="BC106" s="53">
        <f>IF($A106="-","-",VLOOKUP($A106,[5]Controle!$A$6:$BO$25,BC$94,FALSE))</f>
        <v>1000000</v>
      </c>
      <c r="BD106" s="53" t="str">
        <f>IF($A106="-","-",VLOOKUP($A106,[5]Controle!$A$6:$BO$25,BD$94,FALSE))</f>
        <v>-</v>
      </c>
      <c r="BE106" s="53" t="str">
        <f>IF($A106="-","-",VLOOKUP($A106,[5]Controle!$A$6:$BO$25,BE$94,FALSE))</f>
        <v>-</v>
      </c>
      <c r="BF106" s="53" t="str">
        <f>IF($A106="-","-",VLOOKUP($A106,[5]Controle!$A$6:$BO$25,BF$94,FALSE))</f>
        <v>-</v>
      </c>
      <c r="BG106" s="53" t="str">
        <f>IF($A106="-","-",VLOOKUP($A106,[5]Controle!$A$6:$BO$25,BG$94,FALSE))</f>
        <v>-</v>
      </c>
      <c r="BH106" s="53" t="str">
        <f>IF($A106="-","-",VLOOKUP($A106,[5]Controle!$A$6:$BO$25,BH$94,FALSE))</f>
        <v>-</v>
      </c>
      <c r="BI106" s="53" t="str">
        <f>IF($A106="-","-",VLOOKUP($A106,[5]Controle!$A$6:$BO$25,BI$94,FALSE))</f>
        <v>-</v>
      </c>
      <c r="BJ106" s="53" t="str">
        <f>IF($A106="-","-",VLOOKUP($A106,[5]Controle!$A$6:$BO$25,BJ$94,FALSE))</f>
        <v>-</v>
      </c>
      <c r="BK106" s="53" t="str">
        <f>IF($A106="-","-",VLOOKUP($A106,[5]Controle!$A$6:$BO$25,BK$94,FALSE))</f>
        <v>-</v>
      </c>
      <c r="BL106" s="53" t="str">
        <f>IF($A106="-","-",VLOOKUP($A106,[5]Controle!$A$6:$BO$25,BL$94,FALSE))</f>
        <v>-</v>
      </c>
      <c r="BM106" s="53" t="str">
        <f>IF($A106="-","-",VLOOKUP($A106,[5]Controle!$A$6:$BO$25,BM$94,FALSE))</f>
        <v>-</v>
      </c>
      <c r="BN106" s="53" t="str">
        <f>IF($A106="-","-",VLOOKUP($A106,[5]Controle!$A$6:$BO$25,BN$94,FALSE))</f>
        <v>-</v>
      </c>
      <c r="BO106" s="53" t="str">
        <f>IF($A106="-","-",VLOOKUP($A106,[5]Controle!$A$6:$BO$25,BO$94,FALSE))</f>
        <v>-</v>
      </c>
      <c r="BP106" s="53">
        <f>IF($A106="-","-",VLOOKUP($A106,[5]Controle!$A$6:$BY$25,BP$94,FALSE))</f>
        <v>-1.0000000000000009E-2</v>
      </c>
      <c r="BQ106" s="53">
        <f>IF($A106="-","-",VLOOKUP($A106,[5]Controle!$A$6:$BY$25,BQ$94,FALSE))</f>
        <v>-9.9999999999997868E-3</v>
      </c>
      <c r="BR106" s="53">
        <f>IF($A106="-","-",VLOOKUP($A106,[5]Controle!$A$6:$BY$25,BR$94,FALSE))</f>
        <v>-1.0000000000005116E-2</v>
      </c>
      <c r="BS106" s="53">
        <f>IF($A106="-","-",VLOOKUP($A106,[5]Controle!$A$6:$BY$25,BS$94,FALSE))</f>
        <v>0</v>
      </c>
      <c r="BT106" s="53">
        <f>IF($A106="-","-",VLOOKUP($A106,[5]Controle!$A$6:$BY$25,BT$94,FALSE))</f>
        <v>0</v>
      </c>
      <c r="BU106" s="53">
        <f>IF($A106="-","-",VLOOKUP($A106,[5]Controle!$A$6:$BY$25,BU$94,FALSE))</f>
        <v>9.9999999999909051E-3</v>
      </c>
      <c r="BV106" s="53">
        <f>IF($A106="-","-",VLOOKUP($A106,[5]Controle!$A$6:$BY$25,BV$94,FALSE))</f>
        <v>2.9999999999972715E-2</v>
      </c>
      <c r="BW106" s="53">
        <f>IF($A106="-","-",VLOOKUP($A106,[5]Controle!$A$6:$BY$25,BW$94,FALSE))</f>
        <v>0</v>
      </c>
      <c r="BX106" s="53">
        <f>IF($A106="-","-",VLOOKUP($A106,[5]Controle!$A$6:$BY$25,BX$94,FALSE))</f>
        <v>0</v>
      </c>
      <c r="BY106" s="53">
        <f>IF($A106="-","-",VLOOKUP($A106,[5]Controle!$A$6:$BY$25,BY$94,FALSE))</f>
        <v>0</v>
      </c>
      <c r="BZ106" s="53">
        <f>IF($A106="-","-",VLOOKUP($A106,[5]Controle!$A$6:$CI$25,BZ$94,FALSE))</f>
        <v>1.0000000000000009E-2</v>
      </c>
      <c r="CA106" s="53">
        <f>IF($A106="-","-",VLOOKUP($A106,[5]Controle!$A$6:$CI$25,CA$94,FALSE))</f>
        <v>9.9999999999997868E-3</v>
      </c>
      <c r="CB106" s="53">
        <f>IF($A106="-","-",VLOOKUP($A106,[5]Controle!$A$6:$CI$25,CB$94,FALSE))</f>
        <v>1.0000000000005116E-2</v>
      </c>
      <c r="CC106" s="53">
        <f>IF($A106="-","-",VLOOKUP($A106,[5]Controle!$A$6:$CI$25,CC$94,FALSE))</f>
        <v>-9.9999999999909051E-3</v>
      </c>
      <c r="CD106" s="53">
        <f>IF($A106="-","-",VLOOKUP($A106,[5]Controle!$A$6:$CI$25,CD$94,FALSE))</f>
        <v>-9.9999999999909051E-3</v>
      </c>
      <c r="CE106" s="53">
        <f>IF($A106="-","-",VLOOKUP($A106,[5]Controle!$A$6:$CI$25,CE$94,FALSE))</f>
        <v>-1.999999999998181E-2</v>
      </c>
      <c r="CF106" s="53">
        <f>IF($A106="-","-",VLOOKUP($A106,[5]Controle!$A$6:$CI$25,CF$94,FALSE))</f>
        <v>-4.9999999999954525E-2</v>
      </c>
      <c r="CG106" s="53">
        <f>IF($A106="-","-",VLOOKUP($A106,[5]Controle!$A$6:$CI$25,CG$94,FALSE))</f>
        <v>0</v>
      </c>
      <c r="CH106" s="53">
        <f>IF($A106="-","-",VLOOKUP($A106,[5]Controle!$A$6:$CI$25,CH$94,FALSE))</f>
        <v>0</v>
      </c>
      <c r="CI106" s="53">
        <f>IF($A106="-","-",VLOOKUP($A106,[5]Controle!$A$6:$CI$25,CI$94,FALSE))</f>
        <v>0</v>
      </c>
      <c r="CT106" s="41">
        <f>IF(CV106="-",0,MAX($CT$97:CT105)+1)</f>
        <v>0</v>
      </c>
      <c r="CU106" s="53" t="str">
        <f t="shared" ca="1" si="45"/>
        <v>VÁLIDO</v>
      </c>
      <c r="CV106" s="53" t="str">
        <f t="shared" si="44"/>
        <v>-</v>
      </c>
      <c r="CW106" s="53">
        <f t="shared" si="46"/>
        <v>16</v>
      </c>
      <c r="CX106" s="41">
        <f t="shared" si="48"/>
        <v>10</v>
      </c>
      <c r="CY106" s="41" t="str">
        <f t="shared" si="47"/>
        <v>M</v>
      </c>
    </row>
    <row r="107" spans="1:103" x14ac:dyDescent="0.3">
      <c r="A107" s="56">
        <v>17</v>
      </c>
      <c r="B107" s="53" t="str">
        <f>IF($A107="-","-",VLOOKUP($A107,[5]Controle!$A$6:$BO$25,B$94,FALSE))</f>
        <v>M.MS.LM-010</v>
      </c>
      <c r="C107" s="53" t="str">
        <f>IF($A107="-","-",VLOOKUP($A107,[5]Controle!$A$6:$BO$25,C$94,FALSE))</f>
        <v>Balança Eletrônica</v>
      </c>
      <c r="D107" s="53" t="str">
        <f>IF($A107="-","-",VLOOKUP($A107,[5]Controle!$A$6:$BO$25,D$94,FALSE))</f>
        <v>Metrolab</v>
      </c>
      <c r="E107" s="53" t="str">
        <f>IF($A107="-","-",VLOOKUP($A107,[5]Controle!$A$6:$BO$25,E$94,FALSE))</f>
        <v>RBC - CAL 0215</v>
      </c>
      <c r="F107" s="53" t="str">
        <f>IF($A107="-","-",VLOOKUP($A107,[5]Controle!$A$6:$BO$25,F$94,FALSE))</f>
        <v>M0019/25</v>
      </c>
      <c r="G107" s="54">
        <f>IF($A107="-","-",VLOOKUP($A107,[5]Controle!$A$6:$BO$25,G$94,FALSE))</f>
        <v>45750</v>
      </c>
      <c r="H107" s="55">
        <f>IF($A107="-","-",VLOOKUP($A107,[5]Controle!$A$6:$BO$25,H$94,FALSE))</f>
        <v>46142</v>
      </c>
      <c r="I107" s="53" t="str">
        <f>IF($A107="-","-",VLOOKUP($A107,[5]Controle!$A$6:$BO$25,I$94,FALSE))</f>
        <v>g</v>
      </c>
      <c r="J107" s="53">
        <f>IF($A107="-","-",VLOOKUP($A107,[5]Controle!$A$6:$BO$25,J$94,FALSE))</f>
        <v>5</v>
      </c>
      <c r="K107" s="53">
        <f>IF($A107="-","-",VLOOKUP($A107,[5]Controle!$A$6:$BO$25,K$94,FALSE))</f>
        <v>20000</v>
      </c>
      <c r="L107" s="53">
        <f>IF($A107="-","-",VLOOKUP($A107,[5]Controle!$A$6:$BO$25,L$94,FALSE))</f>
        <v>0.1</v>
      </c>
      <c r="M107" s="53">
        <f>IF($A107="-","-",VLOOKUP($A107,[5]Controle!$A$6:$BO$25,M$94,FALSE))</f>
        <v>0.2999999999992724</v>
      </c>
      <c r="N107" s="53">
        <f>IF($A107="-","-",VLOOKUP($A107,[5]Controle!$A$6:$BO$25,N$94,FALSE))</f>
        <v>0.3</v>
      </c>
      <c r="O107" s="53">
        <f>IF($A107="-","-",VLOOKUP($A107,[5]Controle!$A$6:$BO$25,O$94,FALSE))</f>
        <v>0.2999999999992724</v>
      </c>
      <c r="P107" s="53">
        <f>IF($A107="-","-",VLOOKUP($A107,[5]Controle!$A$6:$BO$25,P$94,FALSE))</f>
        <v>1.4285714285766256E-3</v>
      </c>
      <c r="Q107" s="53">
        <f>IF($A107="-","-",VLOOKUP($A107,[5]Controle!$A$6:$BO$25,Q$94,FALSE))</f>
        <v>1.1951421719459177E-2</v>
      </c>
      <c r="R107" s="53">
        <f>IF($A107="-","-",VLOOKUP($A107,[5]Controle!$A$6:$BO$25,R$94,FALSE))</f>
        <v>3</v>
      </c>
      <c r="S107" s="53">
        <f>IF($A107="-","-",VLOOKUP($A107,[5]Controle!$A$6:$BO$25,S$94,FALSE))</f>
        <v>0</v>
      </c>
      <c r="T107" s="53">
        <f>IF($A107="-","-",VLOOKUP($A107,[5]Controle!$A$6:$BO$25,T$94,FALSE))</f>
        <v>0</v>
      </c>
      <c r="U107" s="53">
        <f>IF($A107="-","-",VLOOKUP($A107,[5]Controle!$A$6:$BO$25,U$94,FALSE))</f>
        <v>0</v>
      </c>
      <c r="V107" s="53">
        <f>IF($A107="-","-",VLOOKUP($A107,[5]Controle!$A$6:$BO$25,V$94,FALSE))</f>
        <v>0</v>
      </c>
      <c r="W107" s="53">
        <f>IF($A107="-","-",VLOOKUP($A107,[5]Controle!$A$6:$BO$25,W$94,FALSE))</f>
        <v>0</v>
      </c>
      <c r="X107" s="53">
        <f>IF($A107="-","-",VLOOKUP($A107,[5]Controle!$A$6:$BO$25,X$94,FALSE))</f>
        <v>6.6667161767437331E-14</v>
      </c>
      <c r="Y107" s="53">
        <f>IF($A107="-","-",VLOOKUP($A107,[5]Controle!$A$6:$BO$25,Y$94,FALSE))</f>
        <v>-5.7133016302399202E-10</v>
      </c>
      <c r="Z107" s="53">
        <f>IF($A107="-","-",VLOOKUP($A107,[5]Controle!$A$6:$BO$25,Z$94,FALSE))</f>
        <v>0.99999976040643024</v>
      </c>
      <c r="AA107" s="53">
        <f>IF($A107="-","-",VLOOKUP($A107,[5]Controle!$A$6:$BO$25,AA$94,FALSE))</f>
        <v>1.431764997089191E-3</v>
      </c>
      <c r="AB107" s="53">
        <f>IF($A107="-","-",VLOOKUP($A107,[5]Controle!$A$6:$BO$25,AB$94,FALSE))</f>
        <v>5</v>
      </c>
      <c r="AC107" s="53">
        <f>IF($A107="-","-",VLOOKUP($A107,[5]Controle!$A$6:$BO$25,AC$94,FALSE))</f>
        <v>0.2</v>
      </c>
      <c r="AD107" s="53">
        <f>IF($A107="-","-",VLOOKUP($A107,[5]Controle!$A$6:$BO$25,AD$94,FALSE))</f>
        <v>2</v>
      </c>
      <c r="AE107" s="53">
        <f>IF($A107="-","-",VLOOKUP($A107,[5]Controle!$A$6:$BO$25,AE$94,FALSE))</f>
        <v>1000000</v>
      </c>
      <c r="AF107" s="53">
        <f>IF($A107="-","-",VLOOKUP($A107,[5]Controle!$A$6:$BO$25,AF$94,FALSE))</f>
        <v>5000</v>
      </c>
      <c r="AG107" s="53">
        <f>IF($A107="-","-",VLOOKUP($A107,[5]Controle!$A$6:$BO$25,AG$94,FALSE))</f>
        <v>0.2</v>
      </c>
      <c r="AH107" s="53">
        <f>IF($A107="-","-",VLOOKUP($A107,[5]Controle!$A$6:$BO$25,AH$94,FALSE))</f>
        <v>2</v>
      </c>
      <c r="AI107" s="53">
        <f>IF($A107="-","-",VLOOKUP($A107,[5]Controle!$A$6:$BO$25,AI$94,FALSE))</f>
        <v>1000000</v>
      </c>
      <c r="AJ107" s="53">
        <f>IF($A107="-","-",VLOOKUP($A107,[5]Controle!$A$6:$BO$25,AJ$94,FALSE))</f>
        <v>10000</v>
      </c>
      <c r="AK107" s="53">
        <f>IF($A107="-","-",VLOOKUP($A107,[5]Controle!$A$6:$BO$25,AK$94,FALSE))</f>
        <v>0.2</v>
      </c>
      <c r="AL107" s="53">
        <f>IF($A107="-","-",VLOOKUP($A107,[5]Controle!$A$6:$BO$25,AL$94,FALSE))</f>
        <v>2</v>
      </c>
      <c r="AM107" s="53">
        <f>IF($A107="-","-",VLOOKUP($A107,[5]Controle!$A$6:$BO$25,AM$94,FALSE))</f>
        <v>1000000</v>
      </c>
      <c r="AN107" s="53">
        <f>IF($A107="-","-",VLOOKUP($A107,[5]Controle!$A$6:$BO$25,AN$94,FALSE))</f>
        <v>15000</v>
      </c>
      <c r="AO107" s="53">
        <f>IF($A107="-","-",VLOOKUP($A107,[5]Controle!$A$6:$BO$25,AO$94,FALSE))</f>
        <v>0.2</v>
      </c>
      <c r="AP107" s="53">
        <f>IF($A107="-","-",VLOOKUP($A107,[5]Controle!$A$6:$BO$25,AP$94,FALSE))</f>
        <v>2</v>
      </c>
      <c r="AQ107" s="53">
        <f>IF($A107="-","-",VLOOKUP($A107,[5]Controle!$A$6:$BO$25,AQ$94,FALSE))</f>
        <v>1000000</v>
      </c>
      <c r="AR107" s="53">
        <f>IF($A107="-","-",VLOOKUP($A107,[5]Controle!$A$6:$BO$25,AR$94,FALSE))</f>
        <v>20000</v>
      </c>
      <c r="AS107" s="53">
        <f>IF($A107="-","-",VLOOKUP($A107,[5]Controle!$A$6:$BO$25,AS$94,FALSE))</f>
        <v>0.3</v>
      </c>
      <c r="AT107" s="53">
        <f>IF($A107="-","-",VLOOKUP($A107,[5]Controle!$A$6:$BO$25,AT$94,FALSE))</f>
        <v>2</v>
      </c>
      <c r="AU107" s="53">
        <f>IF($A107="-","-",VLOOKUP($A107,[5]Controle!$A$6:$BO$25,AU$94,FALSE))</f>
        <v>1000000</v>
      </c>
      <c r="AV107" s="53" t="str">
        <f>IF($A107="-","-",VLOOKUP($A107,[5]Controle!$A$6:$BO$25,AV$94,FALSE))</f>
        <v>-</v>
      </c>
      <c r="AW107" s="53" t="str">
        <f>IF($A107="-","-",VLOOKUP($A107,[5]Controle!$A$6:$BO$25,AW$94,FALSE))</f>
        <v>-</v>
      </c>
      <c r="AX107" s="53" t="str">
        <f>IF($A107="-","-",VLOOKUP($A107,[5]Controle!$A$6:$BO$25,AX$94,FALSE))</f>
        <v>-</v>
      </c>
      <c r="AY107" s="53" t="str">
        <f>IF($A107="-","-",VLOOKUP($A107,[5]Controle!$A$6:$BO$25,AY$94,FALSE))</f>
        <v>-</v>
      </c>
      <c r="AZ107" s="53" t="str">
        <f>IF($A107="-","-",VLOOKUP($A107,[5]Controle!$A$6:$BO$25,AZ$94,FALSE))</f>
        <v>-</v>
      </c>
      <c r="BA107" s="53" t="str">
        <f>IF($A107="-","-",VLOOKUP($A107,[5]Controle!$A$6:$BO$25,BA$94,FALSE))</f>
        <v>-</v>
      </c>
      <c r="BB107" s="53" t="str">
        <f>IF($A107="-","-",VLOOKUP($A107,[5]Controle!$A$6:$BO$25,BB$94,FALSE))</f>
        <v>-</v>
      </c>
      <c r="BC107" s="53" t="str">
        <f>IF($A107="-","-",VLOOKUP($A107,[5]Controle!$A$6:$BO$25,BC$94,FALSE))</f>
        <v>-</v>
      </c>
      <c r="BD107" s="53" t="str">
        <f>IF($A107="-","-",VLOOKUP($A107,[5]Controle!$A$6:$BO$25,BD$94,FALSE))</f>
        <v>-</v>
      </c>
      <c r="BE107" s="53" t="str">
        <f>IF($A107="-","-",VLOOKUP($A107,[5]Controle!$A$6:$BO$25,BE$94,FALSE))</f>
        <v>-</v>
      </c>
      <c r="BF107" s="53" t="str">
        <f>IF($A107="-","-",VLOOKUP($A107,[5]Controle!$A$6:$BO$25,BF$94,FALSE))</f>
        <v>-</v>
      </c>
      <c r="BG107" s="53" t="str">
        <f>IF($A107="-","-",VLOOKUP($A107,[5]Controle!$A$6:$BO$25,BG$94,FALSE))</f>
        <v>-</v>
      </c>
      <c r="BH107" s="53" t="str">
        <f>IF($A107="-","-",VLOOKUP($A107,[5]Controle!$A$6:$BO$25,BH$94,FALSE))</f>
        <v>-</v>
      </c>
      <c r="BI107" s="53" t="str">
        <f>IF($A107="-","-",VLOOKUP($A107,[5]Controle!$A$6:$BO$25,BI$94,FALSE))</f>
        <v>-</v>
      </c>
      <c r="BJ107" s="53" t="str">
        <f>IF($A107="-","-",VLOOKUP($A107,[5]Controle!$A$6:$BO$25,BJ$94,FALSE))</f>
        <v>-</v>
      </c>
      <c r="BK107" s="53" t="str">
        <f>IF($A107="-","-",VLOOKUP($A107,[5]Controle!$A$6:$BO$25,BK$94,FALSE))</f>
        <v>-</v>
      </c>
      <c r="BL107" s="53" t="str">
        <f>IF($A107="-","-",VLOOKUP($A107,[5]Controle!$A$6:$BO$25,BL$94,FALSE))</f>
        <v>-</v>
      </c>
      <c r="BM107" s="53" t="str">
        <f>IF($A107="-","-",VLOOKUP($A107,[5]Controle!$A$6:$BO$25,BM$94,FALSE))</f>
        <v>-</v>
      </c>
      <c r="BN107" s="53" t="str">
        <f>IF($A107="-","-",VLOOKUP($A107,[5]Controle!$A$6:$BO$25,BN$94,FALSE))</f>
        <v>-</v>
      </c>
      <c r="BO107" s="53" t="str">
        <f>IF($A107="-","-",VLOOKUP($A107,[5]Controle!$A$6:$BO$25,BO$94,FALSE))</f>
        <v>-</v>
      </c>
      <c r="BP107" s="53">
        <f>IF($A107="-","-",VLOOKUP($A107,[5]Controle!$A$6:$BY$25,BP$94,FALSE))</f>
        <v>0</v>
      </c>
      <c r="BQ107" s="53">
        <f>IF($A107="-","-",VLOOKUP($A107,[5]Controle!$A$6:$BY$25,BQ$94,FALSE))</f>
        <v>0</v>
      </c>
      <c r="BR107" s="53">
        <f>IF($A107="-","-",VLOOKUP($A107,[5]Controle!$A$6:$BY$25,BR$94,FALSE))</f>
        <v>0</v>
      </c>
      <c r="BS107" s="53">
        <f>IF($A107="-","-",VLOOKUP($A107,[5]Controle!$A$6:$BY$25,BS$94,FALSE))</f>
        <v>-0.1000000000003638</v>
      </c>
      <c r="BT107" s="53">
        <f>IF($A107="-","-",VLOOKUP($A107,[5]Controle!$A$6:$BY$25,BT$94,FALSE))</f>
        <v>-0.2999999999992724</v>
      </c>
      <c r="BU107" s="53">
        <f>IF($A107="-","-",VLOOKUP($A107,[5]Controle!$A$6:$BY$25,BU$94,FALSE))</f>
        <v>0</v>
      </c>
      <c r="BV107" s="53">
        <f>IF($A107="-","-",VLOOKUP($A107,[5]Controle!$A$6:$BY$25,BV$94,FALSE))</f>
        <v>0</v>
      </c>
      <c r="BW107" s="53">
        <f>IF($A107="-","-",VLOOKUP($A107,[5]Controle!$A$6:$BY$25,BW$94,FALSE))</f>
        <v>0</v>
      </c>
      <c r="BX107" s="53">
        <f>IF($A107="-","-",VLOOKUP($A107,[5]Controle!$A$6:$BY$25,BX$94,FALSE))</f>
        <v>0</v>
      </c>
      <c r="BY107" s="53">
        <f>IF($A107="-","-",VLOOKUP($A107,[5]Controle!$A$6:$BY$25,BY$94,FALSE))</f>
        <v>0</v>
      </c>
      <c r="BZ107" s="53">
        <f>IF($A107="-","-",VLOOKUP($A107,[5]Controle!$A$6:$CI$25,BZ$94,FALSE))</f>
        <v>0</v>
      </c>
      <c r="CA107" s="53">
        <f>IF($A107="-","-",VLOOKUP($A107,[5]Controle!$A$6:$CI$25,CA$94,FALSE))</f>
        <v>0</v>
      </c>
      <c r="CB107" s="53">
        <f>IF($A107="-","-",VLOOKUP($A107,[5]Controle!$A$6:$CI$25,CB$94,FALSE))</f>
        <v>0</v>
      </c>
      <c r="CC107" s="53">
        <f>IF($A107="-","-",VLOOKUP($A107,[5]Controle!$A$6:$CI$25,CC$94,FALSE))</f>
        <v>0.1000000000003638</v>
      </c>
      <c r="CD107" s="53">
        <f>IF($A107="-","-",VLOOKUP($A107,[5]Controle!$A$6:$CI$25,CD$94,FALSE))</f>
        <v>0.2999999999992724</v>
      </c>
      <c r="CE107" s="53">
        <f>IF($A107="-","-",VLOOKUP($A107,[5]Controle!$A$6:$CI$25,CE$94,FALSE))</f>
        <v>0</v>
      </c>
      <c r="CF107" s="53">
        <f>IF($A107="-","-",VLOOKUP($A107,[5]Controle!$A$6:$CI$25,CF$94,FALSE))</f>
        <v>0</v>
      </c>
      <c r="CG107" s="53">
        <f>IF($A107="-","-",VLOOKUP($A107,[5]Controle!$A$6:$CI$25,CG$94,FALSE))</f>
        <v>0</v>
      </c>
      <c r="CH107" s="53">
        <f>IF($A107="-","-",VLOOKUP($A107,[5]Controle!$A$6:$CI$25,CH$94,FALSE))</f>
        <v>0</v>
      </c>
      <c r="CI107" s="53">
        <f>IF($A107="-","-",VLOOKUP($A107,[5]Controle!$A$6:$CI$25,CI$94,FALSE))</f>
        <v>0</v>
      </c>
      <c r="CT107" s="41">
        <f>IF(CV107="-",0,MAX($CT$97:CT106)+1)</f>
        <v>0</v>
      </c>
      <c r="CU107" s="53" t="str">
        <f t="shared" ca="1" si="45"/>
        <v>VÁLIDO</v>
      </c>
      <c r="CV107" s="53" t="str">
        <f t="shared" si="44"/>
        <v>-</v>
      </c>
      <c r="CW107" s="53">
        <f t="shared" si="46"/>
        <v>17</v>
      </c>
      <c r="CX107" s="41">
        <f t="shared" si="48"/>
        <v>11</v>
      </c>
      <c r="CY107" s="41" t="str">
        <f t="shared" si="47"/>
        <v>M</v>
      </c>
    </row>
    <row r="108" spans="1:103" x14ac:dyDescent="0.3">
      <c r="A108" s="56">
        <v>18</v>
      </c>
      <c r="B108" s="53" t="str">
        <f>IF($A108="-","-",VLOOKUP($A108,[5]Controle!$A$6:$BO$25,B$94,FALSE))</f>
        <v>M.MS.LM-014</v>
      </c>
      <c r="C108" s="53" t="str">
        <f>IF($A108="-","-",VLOOKUP($A108,[5]Controle!$A$6:$BO$25,C$94,FALSE))</f>
        <v>Balança Analítica</v>
      </c>
      <c r="D108" s="53" t="str">
        <f>IF($A108="-","-",VLOOKUP($A108,[5]Controle!$A$6:$BO$25,D$94,FALSE))</f>
        <v>Metrolab</v>
      </c>
      <c r="E108" s="53" t="str">
        <f>IF($A108="-","-",VLOOKUP($A108,[5]Controle!$A$6:$BO$25,E$94,FALSE))</f>
        <v>RBC - CAL 0215</v>
      </c>
      <c r="F108" s="53" t="str">
        <f>IF($A108="-","-",VLOOKUP($A108,[5]Controle!$A$6:$BO$25,F$94,FALSE))</f>
        <v>M0066/25</v>
      </c>
      <c r="G108" s="54">
        <f>IF($A108="-","-",VLOOKUP($A108,[5]Controle!$A$6:$BO$25,G$94,FALSE))</f>
        <v>45887</v>
      </c>
      <c r="H108" s="55">
        <f>IF($A108="-","-",VLOOKUP($A108,[5]Controle!$A$6:$BO$25,H$94,FALSE))</f>
        <v>46264</v>
      </c>
      <c r="I108" s="53" t="str">
        <f>IF($A108="-","-",VLOOKUP($A108,[5]Controle!$A$6:$BO$25,I$94,FALSE))</f>
        <v>g</v>
      </c>
      <c r="J108" s="53">
        <f>IF($A108="-","-",VLOOKUP($A108,[5]Controle!$A$6:$BO$25,J$94,FALSE))</f>
        <v>1E-3</v>
      </c>
      <c r="K108" s="53">
        <f>IF($A108="-","-",VLOOKUP($A108,[5]Controle!$A$6:$BO$25,K$94,FALSE))</f>
        <v>220</v>
      </c>
      <c r="L108" s="53">
        <f>IF($A108="-","-",VLOOKUP($A108,[5]Controle!$A$6:$BO$25,L$94,FALSE))</f>
        <v>1.0000000000000001E-5</v>
      </c>
      <c r="M108" s="53">
        <f>IF($A108="-","-",VLOOKUP($A108,[5]Controle!$A$6:$BO$25,M$94,FALSE))</f>
        <v>7.9999999999813554E-4</v>
      </c>
      <c r="N108" s="53">
        <f>IF($A108="-","-",VLOOKUP($A108,[5]Controle!$A$6:$BO$25,N$94,FALSE))</f>
        <v>6.9999999999999999E-4</v>
      </c>
      <c r="O108" s="53">
        <f>IF($A108="-","-",VLOOKUP($A108,[5]Controle!$A$6:$BO$25,O$94,FALSE))</f>
        <v>4.0000000001327862E-4</v>
      </c>
      <c r="P108" s="53">
        <f>IF($A108="-","-",VLOOKUP($A108,[5]Controle!$A$6:$BO$25,P$94,FALSE))</f>
        <v>9.9999999991138929E-5</v>
      </c>
      <c r="Q108" s="53">
        <f>IF($A108="-","-",VLOOKUP($A108,[5]Controle!$A$6:$BO$25,Q$94,FALSE))</f>
        <v>7.1236368177629572E-6</v>
      </c>
      <c r="R108" s="53">
        <f>IF($A108="-","-",VLOOKUP($A108,[5]Controle!$A$6:$BO$25,R$94,FALSE))</f>
        <v>5</v>
      </c>
      <c r="S108" s="53">
        <f>IF($A108="-","-",VLOOKUP($A108,[5]Controle!$A$6:$BO$25,S$94,FALSE))</f>
        <v>0</v>
      </c>
      <c r="T108" s="53">
        <f>IF($A108="-","-",VLOOKUP($A108,[5]Controle!$A$6:$BO$25,T$94,FALSE))</f>
        <v>0</v>
      </c>
      <c r="U108" s="53">
        <f>IF($A108="-","-",VLOOKUP($A108,[5]Controle!$A$6:$BO$25,U$94,FALSE))</f>
        <v>0</v>
      </c>
      <c r="V108" s="53">
        <f>IF($A108="-","-",VLOOKUP($A108,[5]Controle!$A$6:$BO$25,V$94,FALSE))</f>
        <v>-1.2669366368724902E-13</v>
      </c>
      <c r="W108" s="53">
        <f>IF($A108="-","-",VLOOKUP($A108,[5]Controle!$A$6:$BO$25,W$94,FALSE))</f>
        <v>6.3587209678476281E-11</v>
      </c>
      <c r="X108" s="53">
        <f>IF($A108="-","-",VLOOKUP($A108,[5]Controle!$A$6:$BO$25,X$94,FALSE))</f>
        <v>-1.0937872269495578E-8</v>
      </c>
      <c r="Y108" s="53">
        <f>IF($A108="-","-",VLOOKUP($A108,[5]Controle!$A$6:$BO$25,Y$94,FALSE))</f>
        <v>7.7846591125403296E-7</v>
      </c>
      <c r="Z108" s="53">
        <f>IF($A108="-","-",VLOOKUP($A108,[5]Controle!$A$6:$BO$25,Z$94,FALSE))</f>
        <v>0.99998136375868762</v>
      </c>
      <c r="AA108" s="53">
        <f>IF($A108="-","-",VLOOKUP($A108,[5]Controle!$A$6:$BO$25,AA$94,FALSE))</f>
        <v>2.5053007670854111E-5</v>
      </c>
      <c r="AB108" s="53">
        <f>IF($A108="-","-",VLOOKUP($A108,[5]Controle!$A$6:$BO$25,AB$94,FALSE))</f>
        <v>1E-3</v>
      </c>
      <c r="AC108" s="53">
        <f>IF($A108="-","-",VLOOKUP($A108,[5]Controle!$A$6:$BO$25,AC$94,FALSE))</f>
        <v>2.0000000000000002E-5</v>
      </c>
      <c r="AD108" s="53">
        <f>IF($A108="-","-",VLOOKUP($A108,[5]Controle!$A$6:$BO$25,AD$94,FALSE))</f>
        <v>2</v>
      </c>
      <c r="AE108" s="53">
        <f>IF($A108="-","-",VLOOKUP($A108,[5]Controle!$A$6:$BO$25,AE$94,FALSE))</f>
        <v>1000000</v>
      </c>
      <c r="AF108" s="53">
        <f>IF($A108="-","-",VLOOKUP($A108,[5]Controle!$A$6:$BO$25,AF$94,FALSE))</f>
        <v>5.0000000000000001E-3</v>
      </c>
      <c r="AG108" s="53">
        <f>IF($A108="-","-",VLOOKUP($A108,[5]Controle!$A$6:$BO$25,AG$94,FALSE))</f>
        <v>2.0000000000000002E-5</v>
      </c>
      <c r="AH108" s="53">
        <f>IF($A108="-","-",VLOOKUP($A108,[5]Controle!$A$6:$BO$25,AH$94,FALSE))</f>
        <v>2</v>
      </c>
      <c r="AI108" s="53">
        <f>IF($A108="-","-",VLOOKUP($A108,[5]Controle!$A$6:$BO$25,AI$94,FALSE))</f>
        <v>1000000</v>
      </c>
      <c r="AJ108" s="53">
        <f>IF($A108="-","-",VLOOKUP($A108,[5]Controle!$A$6:$BO$25,AJ$94,FALSE))</f>
        <v>5</v>
      </c>
      <c r="AK108" s="53">
        <f>IF($A108="-","-",VLOOKUP($A108,[5]Controle!$A$6:$BO$25,AK$94,FALSE))</f>
        <v>3.0000000000000001E-5</v>
      </c>
      <c r="AL108" s="53">
        <f>IF($A108="-","-",VLOOKUP($A108,[5]Controle!$A$6:$BO$25,AL$94,FALSE))</f>
        <v>2</v>
      </c>
      <c r="AM108" s="53">
        <f>IF($A108="-","-",VLOOKUP($A108,[5]Controle!$A$6:$BO$25,AM$94,FALSE))</f>
        <v>1000000</v>
      </c>
      <c r="AN108" s="53">
        <f>IF($A108="-","-",VLOOKUP($A108,[5]Controle!$A$6:$BO$25,AN$94,FALSE))</f>
        <v>50</v>
      </c>
      <c r="AO108" s="53">
        <f>IF($A108="-","-",VLOOKUP($A108,[5]Controle!$A$6:$BO$25,AO$94,FALSE))</f>
        <v>1.4999999999999999E-4</v>
      </c>
      <c r="AP108" s="53">
        <f>IF($A108="-","-",VLOOKUP($A108,[5]Controle!$A$6:$BO$25,AP$94,FALSE))</f>
        <v>2</v>
      </c>
      <c r="AQ108" s="53">
        <f>IF($A108="-","-",VLOOKUP($A108,[5]Controle!$A$6:$BO$25,AQ$94,FALSE))</f>
        <v>1000000</v>
      </c>
      <c r="AR108" s="53">
        <f>IF($A108="-","-",VLOOKUP($A108,[5]Controle!$A$6:$BO$25,AR$94,FALSE))</f>
        <v>100</v>
      </c>
      <c r="AS108" s="53">
        <f>IF($A108="-","-",VLOOKUP($A108,[5]Controle!$A$6:$BO$25,AS$94,FALSE))</f>
        <v>4.0000000000000002E-4</v>
      </c>
      <c r="AT108" s="53">
        <f>IF($A108="-","-",VLOOKUP($A108,[5]Controle!$A$6:$BO$25,AT$94,FALSE))</f>
        <v>2</v>
      </c>
      <c r="AU108" s="53">
        <f>IF($A108="-","-",VLOOKUP($A108,[5]Controle!$A$6:$BO$25,AU$94,FALSE))</f>
        <v>1000000</v>
      </c>
      <c r="AV108" s="53">
        <f>IF($A108="-","-",VLOOKUP($A108,[5]Controle!$A$6:$BO$25,AV$94,FALSE))</f>
        <v>150</v>
      </c>
      <c r="AW108" s="53">
        <f>IF($A108="-","-",VLOOKUP($A108,[5]Controle!$A$6:$BO$25,AW$94,FALSE))</f>
        <v>5.0000000000000001E-4</v>
      </c>
      <c r="AX108" s="53">
        <f>IF($A108="-","-",VLOOKUP($A108,[5]Controle!$A$6:$BO$25,AX$94,FALSE))</f>
        <v>2</v>
      </c>
      <c r="AY108" s="53">
        <f>IF($A108="-","-",VLOOKUP($A108,[5]Controle!$A$6:$BO$25,AY$94,FALSE))</f>
        <v>1000000</v>
      </c>
      <c r="AZ108" s="53">
        <f>IF($A108="-","-",VLOOKUP($A108,[5]Controle!$A$6:$BO$25,AZ$94,FALSE))</f>
        <v>220</v>
      </c>
      <c r="BA108" s="53">
        <f>IF($A108="-","-",VLOOKUP($A108,[5]Controle!$A$6:$BO$25,BA$94,FALSE))</f>
        <v>6.9999999999999999E-4</v>
      </c>
      <c r="BB108" s="53">
        <f>IF($A108="-","-",VLOOKUP($A108,[5]Controle!$A$6:$BO$25,BB$94,FALSE))</f>
        <v>2</v>
      </c>
      <c r="BC108" s="53">
        <f>IF($A108="-","-",VLOOKUP($A108,[5]Controle!$A$6:$BO$25,BC$94,FALSE))</f>
        <v>1000000</v>
      </c>
      <c r="BD108" s="53" t="str">
        <f>IF($A108="-","-",VLOOKUP($A108,[5]Controle!$A$6:$BO$25,BD$94,FALSE))</f>
        <v>-</v>
      </c>
      <c r="BE108" s="53" t="str">
        <f>IF($A108="-","-",VLOOKUP($A108,[5]Controle!$A$6:$BO$25,BE$94,FALSE))</f>
        <v>-</v>
      </c>
      <c r="BF108" s="53" t="str">
        <f>IF($A108="-","-",VLOOKUP($A108,[5]Controle!$A$6:$BO$25,BF$94,FALSE))</f>
        <v>-</v>
      </c>
      <c r="BG108" s="53" t="str">
        <f>IF($A108="-","-",VLOOKUP($A108,[5]Controle!$A$6:$BO$25,BG$94,FALSE))</f>
        <v>-</v>
      </c>
      <c r="BH108" s="53" t="str">
        <f>IF($A108="-","-",VLOOKUP($A108,[5]Controle!$A$6:$BO$25,BH$94,FALSE))</f>
        <v>-</v>
      </c>
      <c r="BI108" s="53" t="str">
        <f>IF($A108="-","-",VLOOKUP($A108,[5]Controle!$A$6:$BO$25,BI$94,FALSE))</f>
        <v>-</v>
      </c>
      <c r="BJ108" s="53" t="str">
        <f>IF($A108="-","-",VLOOKUP($A108,[5]Controle!$A$6:$BO$25,BJ$94,FALSE))</f>
        <v>-</v>
      </c>
      <c r="BK108" s="53" t="str">
        <f>IF($A108="-","-",VLOOKUP($A108,[5]Controle!$A$6:$BO$25,BK$94,FALSE))</f>
        <v>-</v>
      </c>
      <c r="BL108" s="53" t="str">
        <f>IF($A108="-","-",VLOOKUP($A108,[5]Controle!$A$6:$BO$25,BL$94,FALSE))</f>
        <v>-</v>
      </c>
      <c r="BM108" s="53" t="str">
        <f>IF($A108="-","-",VLOOKUP($A108,[5]Controle!$A$6:$BO$25,BM$94,FALSE))</f>
        <v>-</v>
      </c>
      <c r="BN108" s="53" t="str">
        <f>IF($A108="-","-",VLOOKUP($A108,[5]Controle!$A$6:$BO$25,BN$94,FALSE))</f>
        <v>-</v>
      </c>
      <c r="BO108" s="53" t="str">
        <f>IF($A108="-","-",VLOOKUP($A108,[5]Controle!$A$6:$BO$25,BO$94,FALSE))</f>
        <v>-</v>
      </c>
      <c r="BP108" s="53">
        <f>IF($A108="-","-",VLOOKUP($A108,[5]Controle!$A$6:$BY$25,BP$94,FALSE))</f>
        <v>-2.0000000000000052E-5</v>
      </c>
      <c r="BQ108" s="53">
        <f>IF($A108="-","-",VLOOKUP($A108,[5]Controle!$A$6:$BY$25,BQ$94,FALSE))</f>
        <v>-3.0000000000000512E-5</v>
      </c>
      <c r="BR108" s="53">
        <f>IF($A108="-","-",VLOOKUP($A108,[5]Controle!$A$6:$BY$25,BR$94,FALSE))</f>
        <v>4.9999999999883471E-5</v>
      </c>
      <c r="BS108" s="53">
        <f>IF($A108="-","-",VLOOKUP($A108,[5]Controle!$A$6:$BY$25,BS$94,FALSE))</f>
        <v>-3.0000000002416982E-5</v>
      </c>
      <c r="BT108" s="53">
        <f>IF($A108="-","-",VLOOKUP($A108,[5]Controle!$A$6:$BY$25,BT$94,FALSE))</f>
        <v>-1.0000000000331966E-4</v>
      </c>
      <c r="BU108" s="53">
        <f>IF($A108="-","-",VLOOKUP($A108,[5]Controle!$A$6:$BY$25,BU$94,FALSE))</f>
        <v>-4.0000000001327862E-4</v>
      </c>
      <c r="BV108" s="53">
        <f>IF($A108="-","-",VLOOKUP($A108,[5]Controle!$A$6:$BY$25,BV$94,FALSE))</f>
        <v>-7.9999999999813554E-4</v>
      </c>
      <c r="BW108" s="53">
        <f>IF($A108="-","-",VLOOKUP($A108,[5]Controle!$A$6:$BY$25,BW$94,FALSE))</f>
        <v>0</v>
      </c>
      <c r="BX108" s="53">
        <f>IF($A108="-","-",VLOOKUP($A108,[5]Controle!$A$6:$BY$25,BX$94,FALSE))</f>
        <v>0</v>
      </c>
      <c r="BY108" s="53">
        <f>IF($A108="-","-",VLOOKUP($A108,[5]Controle!$A$6:$BY$25,BY$94,FALSE))</f>
        <v>0</v>
      </c>
      <c r="BZ108" s="53">
        <f>IF($A108="-","-",VLOOKUP($A108,[5]Controle!$A$6:$CI$25,BZ$94,FALSE))</f>
        <v>2.0000000000000052E-5</v>
      </c>
      <c r="CA108" s="53">
        <f>IF($A108="-","-",VLOOKUP($A108,[5]Controle!$A$6:$CI$25,CA$94,FALSE))</f>
        <v>1.000000000000046E-5</v>
      </c>
      <c r="CB108" s="53">
        <f>IF($A108="-","-",VLOOKUP($A108,[5]Controle!$A$6:$CI$25,CB$94,FALSE))</f>
        <v>2.0000000000131024E-5</v>
      </c>
      <c r="CC108" s="53">
        <f>IF($A108="-","-",VLOOKUP($A108,[5]Controle!$A$6:$CI$25,CC$94,FALSE))</f>
        <v>1.200000000025625E-4</v>
      </c>
      <c r="CD108" s="53">
        <f>IF($A108="-","-",VLOOKUP($A108,[5]Controle!$A$6:$CI$25,CD$94,FALSE))</f>
        <v>0</v>
      </c>
      <c r="CE108" s="53">
        <f>IF($A108="-","-",VLOOKUP($A108,[5]Controle!$A$6:$CI$25,CE$94,FALSE))</f>
        <v>4.0000000001327862E-4</v>
      </c>
      <c r="CF108" s="53">
        <f>IF($A108="-","-",VLOOKUP($A108,[5]Controle!$A$6:$CI$25,CF$94,FALSE))</f>
        <v>2.0000000000663931E-4</v>
      </c>
      <c r="CG108" s="53">
        <f>IF($A108="-","-",VLOOKUP($A108,[5]Controle!$A$6:$CI$25,CG$94,FALSE))</f>
        <v>0</v>
      </c>
      <c r="CH108" s="53">
        <f>IF($A108="-","-",VLOOKUP($A108,[5]Controle!$A$6:$CI$25,CH$94,FALSE))</f>
        <v>0</v>
      </c>
      <c r="CI108" s="53">
        <f>IF($A108="-","-",VLOOKUP($A108,[5]Controle!$A$6:$CI$25,CI$94,FALSE))</f>
        <v>0</v>
      </c>
      <c r="CT108" s="41">
        <f>IF(CV108="-",0,MAX($CT$97:CT107)+1)</f>
        <v>0</v>
      </c>
      <c r="CU108" s="53" t="str">
        <f t="shared" ref="CU108:CU116" ca="1" si="52">IF(CW108="-","-",IF($G$1&lt;=H108,"VÁLIDO","VENCIDO"))</f>
        <v>VÁLIDO</v>
      </c>
      <c r="CV108" s="53" t="str">
        <f t="shared" si="44"/>
        <v>-</v>
      </c>
      <c r="CW108" s="53">
        <f t="shared" ref="CW108:CW116" si="53">A108</f>
        <v>18</v>
      </c>
      <c r="CX108" s="41">
        <f t="shared" si="48"/>
        <v>12</v>
      </c>
      <c r="CY108" s="41" t="str">
        <f t="shared" ref="CY108:CY116" si="54">LEFT(B108,1)</f>
        <v>M</v>
      </c>
    </row>
    <row r="109" spans="1:103" x14ac:dyDescent="0.3">
      <c r="A109" s="56">
        <v>12</v>
      </c>
      <c r="B109" s="53" t="str">
        <f>IF($A109="-","-",VLOOKUP($A109,[5]Controle!$A$6:$BO$25,B$94,FALSE))</f>
        <v>X.MS.LM-001</v>
      </c>
      <c r="C109" s="53" t="str">
        <f>IF($A109="-","-",VLOOKUP($A109,[5]Controle!$A$6:$BO$25,C$94,FALSE))</f>
        <v>Balança Analítica</v>
      </c>
      <c r="D109" s="53" t="str">
        <f>IF($A109="-","-",VLOOKUP($A109,[5]Controle!$A$6:$BO$25,D$94,FALSE))</f>
        <v xml:space="preserve">Elus </v>
      </c>
      <c r="E109" s="53" t="str">
        <f>IF($A109="-","-",VLOOKUP($A109,[5]Controle!$A$6:$BO$25,E$94,FALSE))</f>
        <v>RBC - CAL 0439</v>
      </c>
      <c r="F109" s="53" t="str">
        <f>IF($A109="-","-",VLOOKUP($A109,[5]Controle!$A$6:$BO$25,F$94,FALSE))</f>
        <v>E0233/24</v>
      </c>
      <c r="G109" s="54">
        <f>IF($A109="-","-",VLOOKUP($A109,[5]Controle!$A$6:$BO$25,G$94,FALSE))</f>
        <v>45471</v>
      </c>
      <c r="H109" s="55">
        <f>IF($A109="-","-",VLOOKUP($A109,[5]Controle!$A$6:$BO$25,H$94,FALSE))</f>
        <v>45838</v>
      </c>
      <c r="I109" s="53" t="str">
        <f>IF($A109="-","-",VLOOKUP($A109,[5]Controle!$A$6:$BO$25,I$94,FALSE))</f>
        <v>g</v>
      </c>
      <c r="J109" s="53">
        <f>IF($A109="-","-",VLOOKUP($A109,[5]Controle!$A$6:$BO$25,J$94,FALSE))</f>
        <v>1E-3</v>
      </c>
      <c r="K109" s="53">
        <f>IF($A109="-","-",VLOOKUP($A109,[5]Controle!$A$6:$BO$25,K$94,FALSE))</f>
        <v>20</v>
      </c>
      <c r="L109" s="53">
        <f>IF($A109="-","-",VLOOKUP($A109,[5]Controle!$A$6:$BO$25,L$94,FALSE))</f>
        <v>9.9999999999999995E-7</v>
      </c>
      <c r="M109" s="53">
        <f>IF($A109="-","-",VLOOKUP($A109,[5]Controle!$A$6:$BO$25,M$94,FALSE))</f>
        <v>2.3999999999801958E-5</v>
      </c>
      <c r="N109" s="53">
        <f>IF($A109="-","-",VLOOKUP($A109,[5]Controle!$A$6:$BO$25,N$94,FALSE))</f>
        <v>7.3999999999999996E-5</v>
      </c>
      <c r="O109" s="53">
        <f>IF($A109="-","-",VLOOKUP($A109,[5]Controle!$A$6:$BO$25,O$94,FALSE))</f>
        <v>1.9999999999242846E-5</v>
      </c>
      <c r="P109" s="53">
        <f>IF($A109="-","-",VLOOKUP($A109,[5]Controle!$A$6:$BO$25,P$94,FALSE))</f>
        <v>4.2000000000541604E-4</v>
      </c>
      <c r="Q109" s="53">
        <f>IF($A109="-","-",VLOOKUP($A109,[5]Controle!$A$6:$BO$25,Q$94,FALSE))</f>
        <v>1.7427025734753864E-7</v>
      </c>
      <c r="R109" s="53">
        <f>IF($A109="-","-",VLOOKUP($A109,[5]Controle!$A$6:$BO$25,R$94,FALSE))</f>
        <v>7</v>
      </c>
      <c r="S109" s="53">
        <f>IF($A109="-","-",VLOOKUP($A109,[5]Controle!$A$6:$BO$25,S$94,FALSE))</f>
        <v>0</v>
      </c>
      <c r="T109" s="53">
        <f>IF($A109="-","-",VLOOKUP($A109,[5]Controle!$A$6:$BO$25,T$94,FALSE))</f>
        <v>-1.3902387276167041E-8</v>
      </c>
      <c r="U109" s="53">
        <f>IF($A109="-","-",VLOOKUP($A109,[5]Controle!$A$6:$BO$25,U$94,FALSE))</f>
        <v>5.4258377978662005E-7</v>
      </c>
      <c r="V109" s="53">
        <f>IF($A109="-","-",VLOOKUP($A109,[5]Controle!$A$6:$BO$25,V$94,FALSE))</f>
        <v>-6.8908456576051509E-6</v>
      </c>
      <c r="W109" s="53">
        <f>IF($A109="-","-",VLOOKUP($A109,[5]Controle!$A$6:$BO$25,W$94,FALSE))</f>
        <v>3.5807745157331792E-5</v>
      </c>
      <c r="X109" s="53">
        <f>IF($A109="-","-",VLOOKUP($A109,[5]Controle!$A$6:$BO$25,X$94,FALSE))</f>
        <v>-7.9793346809568097E-5</v>
      </c>
      <c r="Y109" s="53">
        <f>IF($A109="-","-",VLOOKUP($A109,[5]Controle!$A$6:$BO$25,Y$94,FALSE))</f>
        <v>7.5215045022309669E-5</v>
      </c>
      <c r="Z109" s="53">
        <f>IF($A109="-","-",VLOOKUP($A109,[5]Controle!$A$6:$BO$25,Z$94,FALSE))</f>
        <v>0.99997199071055853</v>
      </c>
      <c r="AA109" s="53">
        <f>IF($A109="-","-",VLOOKUP($A109,[5]Controle!$A$6:$BO$25,AA$94,FALSE))</f>
        <v>-8.5763600110588811E-7</v>
      </c>
      <c r="AB109" s="53">
        <f>IF($A109="-","-",VLOOKUP($A109,[5]Controle!$A$6:$BO$25,AB$94,FALSE))</f>
        <v>1E-3</v>
      </c>
      <c r="AC109" s="53">
        <f>IF($A109="-","-",VLOOKUP($A109,[5]Controle!$A$6:$BO$25,AC$94,FALSE))</f>
        <v>3.9999999999999998E-6</v>
      </c>
      <c r="AD109" s="53">
        <f>IF($A109="-","-",VLOOKUP($A109,[5]Controle!$A$6:$BO$25,AD$94,FALSE))</f>
        <v>2</v>
      </c>
      <c r="AE109" s="53">
        <f>IF($A109="-","-",VLOOKUP($A109,[5]Controle!$A$6:$BO$25,AE$94,FALSE))</f>
        <v>1000000</v>
      </c>
      <c r="AF109" s="53">
        <f>IF($A109="-","-",VLOOKUP($A109,[5]Controle!$A$6:$BO$25,AF$94,FALSE))</f>
        <v>0.01</v>
      </c>
      <c r="AG109" s="53">
        <f>IF($A109="-","-",VLOOKUP($A109,[5]Controle!$A$6:$BO$25,AG$94,FALSE))</f>
        <v>7.9999999999999996E-6</v>
      </c>
      <c r="AH109" s="53">
        <f>IF($A109="-","-",VLOOKUP($A109,[5]Controle!$A$6:$BO$25,AH$94,FALSE))</f>
        <v>2</v>
      </c>
      <c r="AI109" s="53">
        <f>IF($A109="-","-",VLOOKUP($A109,[5]Controle!$A$6:$BO$25,AI$94,FALSE))</f>
        <v>1000000</v>
      </c>
      <c r="AJ109" s="53">
        <f>IF($A109="-","-",VLOOKUP($A109,[5]Controle!$A$6:$BO$25,AJ$94,FALSE))</f>
        <v>0.1</v>
      </c>
      <c r="AK109" s="53">
        <f>IF($A109="-","-",VLOOKUP($A109,[5]Controle!$A$6:$BO$25,AK$94,FALSE))</f>
        <v>7.9999999999999996E-6</v>
      </c>
      <c r="AL109" s="53">
        <f>IF($A109="-","-",VLOOKUP($A109,[5]Controle!$A$6:$BO$25,AL$94,FALSE))</f>
        <v>2</v>
      </c>
      <c r="AM109" s="53">
        <f>IF($A109="-","-",VLOOKUP($A109,[5]Controle!$A$6:$BO$25,AM$94,FALSE))</f>
        <v>1000000</v>
      </c>
      <c r="AN109" s="53">
        <f>IF($A109="-","-",VLOOKUP($A109,[5]Controle!$A$6:$BO$25,AN$94,FALSE))</f>
        <v>0.5</v>
      </c>
      <c r="AO109" s="53">
        <f>IF($A109="-","-",VLOOKUP($A109,[5]Controle!$A$6:$BO$25,AO$94,FALSE))</f>
        <v>3.0000000000000001E-5</v>
      </c>
      <c r="AP109" s="53">
        <f>IF($A109="-","-",VLOOKUP($A109,[5]Controle!$A$6:$BO$25,AP$94,FALSE))</f>
        <v>2</v>
      </c>
      <c r="AQ109" s="53">
        <f>IF($A109="-","-",VLOOKUP($A109,[5]Controle!$A$6:$BO$25,AQ$94,FALSE))</f>
        <v>1000000</v>
      </c>
      <c r="AR109" s="53">
        <f>IF($A109="-","-",VLOOKUP($A109,[5]Controle!$A$6:$BO$25,AR$94,FALSE))</f>
        <v>1</v>
      </c>
      <c r="AS109" s="53">
        <f>IF($A109="-","-",VLOOKUP($A109,[5]Controle!$A$6:$BO$25,AS$94,FALSE))</f>
        <v>1.1E-5</v>
      </c>
      <c r="AT109" s="53">
        <f>IF($A109="-","-",VLOOKUP($A109,[5]Controle!$A$6:$BO$25,AT$94,FALSE))</f>
        <v>2</v>
      </c>
      <c r="AU109" s="53">
        <f>IF($A109="-","-",VLOOKUP($A109,[5]Controle!$A$6:$BO$25,AU$94,FALSE))</f>
        <v>1000000</v>
      </c>
      <c r="AV109" s="53">
        <f>IF($A109="-","-",VLOOKUP($A109,[5]Controle!$A$6:$BO$25,AV$94,FALSE))</f>
        <v>2</v>
      </c>
      <c r="AW109" s="53">
        <f>IF($A109="-","-",VLOOKUP($A109,[5]Controle!$A$6:$BO$25,AW$94,FALSE))</f>
        <v>1.4E-5</v>
      </c>
      <c r="AX109" s="53">
        <f>IF($A109="-","-",VLOOKUP($A109,[5]Controle!$A$6:$BO$25,AX$94,FALSE))</f>
        <v>2</v>
      </c>
      <c r="AY109" s="53">
        <f>IF($A109="-","-",VLOOKUP($A109,[5]Controle!$A$6:$BO$25,AY$94,FALSE))</f>
        <v>1000000</v>
      </c>
      <c r="AZ109" s="53">
        <f>IF($A109="-","-",VLOOKUP($A109,[5]Controle!$A$6:$BO$25,AZ$94,FALSE))</f>
        <v>5</v>
      </c>
      <c r="BA109" s="53">
        <f>IF($A109="-","-",VLOOKUP($A109,[5]Controle!$A$6:$BO$25,BA$94,FALSE))</f>
        <v>2.1999999999999999E-5</v>
      </c>
      <c r="BB109" s="53">
        <f>IF($A109="-","-",VLOOKUP($A109,[5]Controle!$A$6:$BO$25,BB$94,FALSE))</f>
        <v>2</v>
      </c>
      <c r="BC109" s="53">
        <f>IF($A109="-","-",VLOOKUP($A109,[5]Controle!$A$6:$BO$25,BC$94,FALSE))</f>
        <v>1000000</v>
      </c>
      <c r="BD109" s="53">
        <f>IF($A109="-","-",VLOOKUP($A109,[5]Controle!$A$6:$BO$25,BD$94,FALSE))</f>
        <v>10</v>
      </c>
      <c r="BE109" s="53">
        <f>IF($A109="-","-",VLOOKUP($A109,[5]Controle!$A$6:$BO$25,BE$94,FALSE))</f>
        <v>3.6999999999999998E-5</v>
      </c>
      <c r="BF109" s="53">
        <f>IF($A109="-","-",VLOOKUP($A109,[5]Controle!$A$6:$BO$25,BF$94,FALSE))</f>
        <v>2</v>
      </c>
      <c r="BG109" s="53">
        <f>IF($A109="-","-",VLOOKUP($A109,[5]Controle!$A$6:$BO$25,BG$94,FALSE))</f>
        <v>1000000</v>
      </c>
      <c r="BH109" s="53">
        <f>IF($A109="-","-",VLOOKUP($A109,[5]Controle!$A$6:$BO$25,BH$94,FALSE))</f>
        <v>20</v>
      </c>
      <c r="BI109" s="53">
        <f>IF($A109="-","-",VLOOKUP($A109,[5]Controle!$A$6:$BO$25,BI$94,FALSE))</f>
        <v>7.3999999999999996E-5</v>
      </c>
      <c r="BJ109" s="53">
        <f>IF($A109="-","-",VLOOKUP($A109,[5]Controle!$A$6:$BO$25,BJ$94,FALSE))</f>
        <v>2</v>
      </c>
      <c r="BK109" s="53">
        <f>IF($A109="-","-",VLOOKUP($A109,[5]Controle!$A$6:$BO$25,BK$94,FALSE))</f>
        <v>1000000</v>
      </c>
      <c r="BL109" s="53" t="str">
        <f>IF($A109="-","-",VLOOKUP($A109,[5]Controle!$A$6:$BO$25,BL$94,FALSE))</f>
        <v>-</v>
      </c>
      <c r="BM109" s="53" t="str">
        <f>IF($A109="-","-",VLOOKUP($A109,[5]Controle!$A$6:$BO$25,BM$94,FALSE))</f>
        <v>-</v>
      </c>
      <c r="BN109" s="53" t="str">
        <f>IF($A109="-","-",VLOOKUP($A109,[5]Controle!$A$6:$BO$25,BN$94,FALSE))</f>
        <v>-</v>
      </c>
      <c r="BO109" s="53" t="str">
        <f>IF($A109="-","-",VLOOKUP($A109,[5]Controle!$A$6:$BO$25,BO$94,FALSE))</f>
        <v>-</v>
      </c>
      <c r="BP109" s="53">
        <f>IF($A109="-","-",VLOOKUP($A109,[5]Controle!$A$6:$BY$25,BP$94,FALSE))</f>
        <v>9.9999999999991589E-7</v>
      </c>
      <c r="BQ109" s="53">
        <f>IF($A109="-","-",VLOOKUP($A109,[5]Controle!$A$6:$BY$25,BQ$94,FALSE))</f>
        <v>9.9999999999926537E-7</v>
      </c>
      <c r="BR109" s="53">
        <f>IF($A109="-","-",VLOOKUP($A109,[5]Controle!$A$6:$BY$25,BR$94,FALSE))</f>
        <v>2.9999999999891225E-6</v>
      </c>
      <c r="BS109" s="53">
        <f>IF($A109="-","-",VLOOKUP($A109,[5]Controle!$A$6:$BY$25,BS$94,FALSE))</f>
        <v>4.0000000000040004E-6</v>
      </c>
      <c r="BT109" s="53">
        <f>IF($A109="-","-",VLOOKUP($A109,[5]Controle!$A$6:$BY$25,BT$94,FALSE))</f>
        <v>3.9999999998929781E-6</v>
      </c>
      <c r="BU109" s="53">
        <f>IF($A109="-","-",VLOOKUP($A109,[5]Controle!$A$6:$BY$25,BU$94,FALSE))</f>
        <v>8.9999999999257341E-6</v>
      </c>
      <c r="BV109" s="53">
        <f>IF($A109="-","-",VLOOKUP($A109,[5]Controle!$A$6:$BY$25,BV$94,FALSE))</f>
        <v>-3.0000000004193339E-6</v>
      </c>
      <c r="BW109" s="53">
        <f>IF($A109="-","-",VLOOKUP($A109,[5]Controle!$A$6:$BY$25,BW$94,FALSE))</f>
        <v>0</v>
      </c>
      <c r="BX109" s="53">
        <f>IF($A109="-","-",VLOOKUP($A109,[5]Controle!$A$6:$BY$25,BX$94,FALSE))</f>
        <v>-2.3999999999801958E-5</v>
      </c>
      <c r="BY109" s="53">
        <f>IF($A109="-","-",VLOOKUP($A109,[5]Controle!$A$6:$BY$25,BY$94,FALSE))</f>
        <v>0</v>
      </c>
      <c r="BZ109" s="53">
        <f>IF($A109="-","-",VLOOKUP($A109,[5]Controle!$A$6:$CI$25,BZ$94,FALSE))</f>
        <v>2.0000000000000486E-6</v>
      </c>
      <c r="CA109" s="53">
        <f>IF($A109="-","-",VLOOKUP($A109,[5]Controle!$A$6:$CI$25,CA$94,FALSE))</f>
        <v>2.0000000000002655E-6</v>
      </c>
      <c r="CB109" s="53">
        <f>IF($A109="-","-",VLOOKUP($A109,[5]Controle!$A$6:$CI$25,CB$94,FALSE))</f>
        <v>0</v>
      </c>
      <c r="CC109" s="53">
        <f>IF($A109="-","-",VLOOKUP($A109,[5]Controle!$A$6:$CI$25,CC$94,FALSE))</f>
        <v>-1.0000000000287557E-6</v>
      </c>
      <c r="CD109" s="53">
        <f>IF($A109="-","-",VLOOKUP($A109,[5]Controle!$A$6:$CI$25,CD$94,FALSE))</f>
        <v>-3.9999999998929781E-6</v>
      </c>
      <c r="CE109" s="53">
        <f>IF($A109="-","-",VLOOKUP($A109,[5]Controle!$A$6:$CI$25,CE$94,FALSE))</f>
        <v>-4.9999999998107114E-6</v>
      </c>
      <c r="CF109" s="53">
        <f>IF($A109="-","-",VLOOKUP($A109,[5]Controle!$A$6:$CI$25,CF$94,FALSE))</f>
        <v>1.000000000139778E-6</v>
      </c>
      <c r="CG109" s="53">
        <f>IF($A109="-","-",VLOOKUP($A109,[5]Controle!$A$6:$CI$25,CG$94,FALSE))</f>
        <v>0</v>
      </c>
      <c r="CH109" s="53">
        <f>IF($A109="-","-",VLOOKUP($A109,[5]Controle!$A$6:$CI$25,CH$94,FALSE))</f>
        <v>1.9999999999242846E-5</v>
      </c>
      <c r="CI109" s="53">
        <f>IF($A109="-","-",VLOOKUP($A109,[5]Controle!$A$6:$CI$25,CI$94,FALSE))</f>
        <v>0</v>
      </c>
      <c r="CT109" s="41">
        <f>IF(CV109="-",0,MAX($CT$97:CT108)+1)</f>
        <v>0</v>
      </c>
      <c r="CU109" s="53" t="str">
        <f t="shared" ca="1" si="52"/>
        <v>VENCIDO</v>
      </c>
      <c r="CV109" s="53" t="str">
        <f t="shared" si="44"/>
        <v>-</v>
      </c>
      <c r="CW109" s="53">
        <f t="shared" si="53"/>
        <v>12</v>
      </c>
      <c r="CX109" s="41">
        <f t="shared" si="48"/>
        <v>13</v>
      </c>
      <c r="CY109" s="41" t="str">
        <f t="shared" si="54"/>
        <v>X</v>
      </c>
    </row>
    <row r="110" spans="1:103" x14ac:dyDescent="0.3">
      <c r="A110" s="56" t="s">
        <v>54</v>
      </c>
      <c r="B110" s="53" t="str">
        <f>IF($A110="-","-",VLOOKUP($A110,[5]Controle!$A$6:$BO$25,B$94,FALSE))</f>
        <v>-</v>
      </c>
      <c r="C110" s="53" t="str">
        <f>IF($A110="-","-",VLOOKUP($A110,[5]Controle!$A$6:$BO$25,C$94,FALSE))</f>
        <v>-</v>
      </c>
      <c r="D110" s="53" t="str">
        <f>IF($A110="-","-",VLOOKUP($A110,[5]Controle!$A$6:$BO$25,D$94,FALSE))</f>
        <v>-</v>
      </c>
      <c r="E110" s="53" t="str">
        <f>IF($A110="-","-",VLOOKUP($A110,[5]Controle!$A$6:$BO$25,E$94,FALSE))</f>
        <v>-</v>
      </c>
      <c r="F110" s="53" t="str">
        <f>IF($A110="-","-",VLOOKUP($A110,[5]Controle!$A$6:$BO$25,F$94,FALSE))</f>
        <v>-</v>
      </c>
      <c r="G110" s="54" t="str">
        <f>IF($A110="-","-",VLOOKUP($A110,[5]Controle!$A$6:$BO$25,G$94,FALSE))</f>
        <v>-</v>
      </c>
      <c r="H110" s="55" t="str">
        <f>IF($A110="-","-",VLOOKUP($A110,[5]Controle!$A$6:$BO$25,H$94,FALSE))</f>
        <v>-</v>
      </c>
      <c r="I110" s="53" t="str">
        <f>IF($A110="-","-",VLOOKUP($A110,[5]Controle!$A$6:$BO$25,I$94,FALSE))</f>
        <v>-</v>
      </c>
      <c r="J110" s="53" t="str">
        <f>IF($A110="-","-",VLOOKUP($A110,[5]Controle!$A$6:$BO$25,J$94,FALSE))</f>
        <v>-</v>
      </c>
      <c r="K110" s="53" t="str">
        <f>IF($A110="-","-",VLOOKUP($A110,[5]Controle!$A$6:$BO$25,K$94,FALSE))</f>
        <v>-</v>
      </c>
      <c r="L110" s="53" t="str">
        <f>IF($A110="-","-",VLOOKUP($A110,[5]Controle!$A$6:$BO$25,L$94,FALSE))</f>
        <v>-</v>
      </c>
      <c r="M110" s="53" t="str">
        <f>IF($A110="-","-",VLOOKUP($A110,[5]Controle!$A$6:$BO$25,M$94,FALSE))</f>
        <v>-</v>
      </c>
      <c r="N110" s="53" t="str">
        <f>IF($A110="-","-",VLOOKUP($A110,[5]Controle!$A$6:$BO$25,N$94,FALSE))</f>
        <v>-</v>
      </c>
      <c r="O110" s="53" t="str">
        <f>IF($A110="-","-",VLOOKUP($A110,[5]Controle!$A$6:$BO$25,O$94,FALSE))</f>
        <v>-</v>
      </c>
      <c r="P110" s="53" t="str">
        <f>IF($A110="-","-",VLOOKUP($A110,[5]Controle!$A$6:$BO$25,P$94,FALSE))</f>
        <v>-</v>
      </c>
      <c r="Q110" s="53" t="str">
        <f>IF($A110="-","-",VLOOKUP($A110,[5]Controle!$A$6:$BO$25,Q$94,FALSE))</f>
        <v>-</v>
      </c>
      <c r="R110" s="53" t="str">
        <f>IF($A110="-","-",VLOOKUP($A110,[5]Controle!$A$6:$BO$25,R$94,FALSE))</f>
        <v>-</v>
      </c>
      <c r="S110" s="53" t="str">
        <f>IF($A110="-","-",VLOOKUP($A110,[5]Controle!$A$6:$BO$25,S$94,FALSE))</f>
        <v>-</v>
      </c>
      <c r="T110" s="53" t="str">
        <f>IF($A110="-","-",VLOOKUP($A110,[5]Controle!$A$6:$BO$25,T$94,FALSE))</f>
        <v>-</v>
      </c>
      <c r="U110" s="53" t="str">
        <f>IF($A110="-","-",VLOOKUP($A110,[5]Controle!$A$6:$BO$25,U$94,FALSE))</f>
        <v>-</v>
      </c>
      <c r="V110" s="53" t="str">
        <f>IF($A110="-","-",VLOOKUP($A110,[5]Controle!$A$6:$BO$25,V$94,FALSE))</f>
        <v>-</v>
      </c>
      <c r="W110" s="53" t="str">
        <f>IF($A110="-","-",VLOOKUP($A110,[5]Controle!$A$6:$BO$25,W$94,FALSE))</f>
        <v>-</v>
      </c>
      <c r="X110" s="53" t="str">
        <f>IF($A110="-","-",VLOOKUP($A110,[5]Controle!$A$6:$BO$25,X$94,FALSE))</f>
        <v>-</v>
      </c>
      <c r="Y110" s="53" t="str">
        <f>IF($A110="-","-",VLOOKUP($A110,[5]Controle!$A$6:$BO$25,Y$94,FALSE))</f>
        <v>-</v>
      </c>
      <c r="Z110" s="53" t="str">
        <f>IF($A110="-","-",VLOOKUP($A110,[5]Controle!$A$6:$BO$25,Z$94,FALSE))</f>
        <v>-</v>
      </c>
      <c r="AA110" s="53" t="str">
        <f>IF($A110="-","-",VLOOKUP($A110,[5]Controle!$A$6:$BO$25,AA$94,FALSE))</f>
        <v>-</v>
      </c>
      <c r="AB110" s="53" t="str">
        <f>IF($A110="-","-",VLOOKUP($A110,[5]Controle!$A$6:$BO$25,AB$94,FALSE))</f>
        <v>-</v>
      </c>
      <c r="AC110" s="53" t="str">
        <f>IF($A110="-","-",VLOOKUP($A110,[5]Controle!$A$6:$BO$25,AC$94,FALSE))</f>
        <v>-</v>
      </c>
      <c r="AD110" s="53" t="str">
        <f>IF($A110="-","-",VLOOKUP($A110,[5]Controle!$A$6:$BO$25,AD$94,FALSE))</f>
        <v>-</v>
      </c>
      <c r="AE110" s="53" t="str">
        <f>IF($A110="-","-",VLOOKUP($A110,[5]Controle!$A$6:$BO$25,AE$94,FALSE))</f>
        <v>-</v>
      </c>
      <c r="AF110" s="53" t="str">
        <f>IF($A110="-","-",VLOOKUP($A110,[5]Controle!$A$6:$BO$25,AF$94,FALSE))</f>
        <v>-</v>
      </c>
      <c r="AG110" s="53" t="str">
        <f>IF($A110="-","-",VLOOKUP($A110,[5]Controle!$A$6:$BO$25,AG$94,FALSE))</f>
        <v>-</v>
      </c>
      <c r="AH110" s="53" t="str">
        <f>IF($A110="-","-",VLOOKUP($A110,[5]Controle!$A$6:$BO$25,AH$94,FALSE))</f>
        <v>-</v>
      </c>
      <c r="AI110" s="53" t="str">
        <f>IF($A110="-","-",VLOOKUP($A110,[5]Controle!$A$6:$BO$25,AI$94,FALSE))</f>
        <v>-</v>
      </c>
      <c r="AJ110" s="53" t="str">
        <f>IF($A110="-","-",VLOOKUP($A110,[5]Controle!$A$6:$BO$25,AJ$94,FALSE))</f>
        <v>-</v>
      </c>
      <c r="AK110" s="53" t="str">
        <f>IF($A110="-","-",VLOOKUP($A110,[5]Controle!$A$6:$BO$25,AK$94,FALSE))</f>
        <v>-</v>
      </c>
      <c r="AL110" s="53" t="str">
        <f>IF($A110="-","-",VLOOKUP($A110,[5]Controle!$A$6:$BO$25,AL$94,FALSE))</f>
        <v>-</v>
      </c>
      <c r="AM110" s="53" t="str">
        <f>IF($A110="-","-",VLOOKUP($A110,[5]Controle!$A$6:$BO$25,AM$94,FALSE))</f>
        <v>-</v>
      </c>
      <c r="AN110" s="53" t="str">
        <f>IF($A110="-","-",VLOOKUP($A110,[5]Controle!$A$6:$BO$25,AN$94,FALSE))</f>
        <v>-</v>
      </c>
      <c r="AO110" s="53" t="str">
        <f>IF($A110="-","-",VLOOKUP($A110,[5]Controle!$A$6:$BO$25,AO$94,FALSE))</f>
        <v>-</v>
      </c>
      <c r="AP110" s="53" t="str">
        <f>IF($A110="-","-",VLOOKUP($A110,[5]Controle!$A$6:$BO$25,AP$94,FALSE))</f>
        <v>-</v>
      </c>
      <c r="AQ110" s="53" t="str">
        <f>IF($A110="-","-",VLOOKUP($A110,[5]Controle!$A$6:$BO$25,AQ$94,FALSE))</f>
        <v>-</v>
      </c>
      <c r="AR110" s="53" t="str">
        <f>IF($A110="-","-",VLOOKUP($A110,[5]Controle!$A$6:$BO$25,AR$94,FALSE))</f>
        <v>-</v>
      </c>
      <c r="AS110" s="53" t="str">
        <f>IF($A110="-","-",VLOOKUP($A110,[5]Controle!$A$6:$BO$25,AS$94,FALSE))</f>
        <v>-</v>
      </c>
      <c r="AT110" s="53" t="str">
        <f>IF($A110="-","-",VLOOKUP($A110,[5]Controle!$A$6:$BO$25,AT$94,FALSE))</f>
        <v>-</v>
      </c>
      <c r="AU110" s="53" t="str">
        <f>IF($A110="-","-",VLOOKUP($A110,[5]Controle!$A$6:$BO$25,AU$94,FALSE))</f>
        <v>-</v>
      </c>
      <c r="AV110" s="53" t="str">
        <f>IF($A110="-","-",VLOOKUP($A110,[5]Controle!$A$6:$BO$25,AV$94,FALSE))</f>
        <v>-</v>
      </c>
      <c r="AW110" s="53" t="str">
        <f>IF($A110="-","-",VLOOKUP($A110,[5]Controle!$A$6:$BO$25,AW$94,FALSE))</f>
        <v>-</v>
      </c>
      <c r="AX110" s="53" t="str">
        <f>IF($A110="-","-",VLOOKUP($A110,[5]Controle!$A$6:$BO$25,AX$94,FALSE))</f>
        <v>-</v>
      </c>
      <c r="AY110" s="53" t="str">
        <f>IF($A110="-","-",VLOOKUP($A110,[5]Controle!$A$6:$BO$25,AY$94,FALSE))</f>
        <v>-</v>
      </c>
      <c r="AZ110" s="53" t="str">
        <f>IF($A110="-","-",VLOOKUP($A110,[5]Controle!$A$6:$BO$25,AZ$94,FALSE))</f>
        <v>-</v>
      </c>
      <c r="BA110" s="53" t="str">
        <f>IF($A110="-","-",VLOOKUP($A110,[5]Controle!$A$6:$BO$25,BA$94,FALSE))</f>
        <v>-</v>
      </c>
      <c r="BB110" s="53" t="str">
        <f>IF($A110="-","-",VLOOKUP($A110,[5]Controle!$A$6:$BO$25,BB$94,FALSE))</f>
        <v>-</v>
      </c>
      <c r="BC110" s="53" t="str">
        <f>IF($A110="-","-",VLOOKUP($A110,[5]Controle!$A$6:$BO$25,BC$94,FALSE))</f>
        <v>-</v>
      </c>
      <c r="BD110" s="53" t="str">
        <f>IF($A110="-","-",VLOOKUP($A110,[5]Controle!$A$6:$BO$25,BD$94,FALSE))</f>
        <v>-</v>
      </c>
      <c r="BE110" s="53" t="str">
        <f>IF($A110="-","-",VLOOKUP($A110,[5]Controle!$A$6:$BO$25,BE$94,FALSE))</f>
        <v>-</v>
      </c>
      <c r="BF110" s="53" t="str">
        <f>IF($A110="-","-",VLOOKUP($A110,[5]Controle!$A$6:$BO$25,BF$94,FALSE))</f>
        <v>-</v>
      </c>
      <c r="BG110" s="53" t="str">
        <f>IF($A110="-","-",VLOOKUP($A110,[5]Controle!$A$6:$BO$25,BG$94,FALSE))</f>
        <v>-</v>
      </c>
      <c r="BH110" s="53" t="str">
        <f>IF($A110="-","-",VLOOKUP($A110,[5]Controle!$A$6:$BO$25,BH$94,FALSE))</f>
        <v>-</v>
      </c>
      <c r="BI110" s="53" t="str">
        <f>IF($A110="-","-",VLOOKUP($A110,[5]Controle!$A$6:$BO$25,BI$94,FALSE))</f>
        <v>-</v>
      </c>
      <c r="BJ110" s="53" t="str">
        <f>IF($A110="-","-",VLOOKUP($A110,[5]Controle!$A$6:$BO$25,BJ$94,FALSE))</f>
        <v>-</v>
      </c>
      <c r="BK110" s="53" t="str">
        <f>IF($A110="-","-",VLOOKUP($A110,[5]Controle!$A$6:$BO$25,BK$94,FALSE))</f>
        <v>-</v>
      </c>
      <c r="BL110" s="53" t="str">
        <f>IF($A110="-","-",VLOOKUP($A110,[5]Controle!$A$6:$BO$25,BL$94,FALSE))</f>
        <v>-</v>
      </c>
      <c r="BM110" s="53" t="str">
        <f>IF($A110="-","-",VLOOKUP($A110,[5]Controle!$A$6:$BO$25,BM$94,FALSE))</f>
        <v>-</v>
      </c>
      <c r="BN110" s="53" t="str">
        <f>IF($A110="-","-",VLOOKUP($A110,[5]Controle!$A$6:$BO$25,BN$94,FALSE))</f>
        <v>-</v>
      </c>
      <c r="BO110" s="53" t="str">
        <f>IF($A110="-","-",VLOOKUP($A110,[5]Controle!$A$6:$BO$25,BO$94,FALSE))</f>
        <v>-</v>
      </c>
      <c r="BP110" s="53" t="str">
        <f>IF($A110="-","-",VLOOKUP($A110,[5]Controle!$A$6:$BY$25,BP$94,FALSE))</f>
        <v>-</v>
      </c>
      <c r="BQ110" s="53" t="str">
        <f>IF($A110="-","-",VLOOKUP($A110,[5]Controle!$A$6:$BY$25,BQ$94,FALSE))</f>
        <v>-</v>
      </c>
      <c r="BR110" s="53" t="str">
        <f>IF($A110="-","-",VLOOKUP($A110,[5]Controle!$A$6:$BY$25,BR$94,FALSE))</f>
        <v>-</v>
      </c>
      <c r="BS110" s="53" t="str">
        <f>IF($A110="-","-",VLOOKUP($A110,[5]Controle!$A$6:$BY$25,BS$94,FALSE))</f>
        <v>-</v>
      </c>
      <c r="BT110" s="53" t="str">
        <f>IF($A110="-","-",VLOOKUP($A110,[5]Controle!$A$6:$BY$25,BT$94,FALSE))</f>
        <v>-</v>
      </c>
      <c r="BU110" s="53" t="str">
        <f>IF($A110="-","-",VLOOKUP($A110,[5]Controle!$A$6:$BY$25,BU$94,FALSE))</f>
        <v>-</v>
      </c>
      <c r="BV110" s="53" t="str">
        <f>IF($A110="-","-",VLOOKUP($A110,[5]Controle!$A$6:$BY$25,BV$94,FALSE))</f>
        <v>-</v>
      </c>
      <c r="BW110" s="53" t="str">
        <f>IF($A110="-","-",VLOOKUP($A110,[5]Controle!$A$6:$BY$25,BW$94,FALSE))</f>
        <v>-</v>
      </c>
      <c r="BX110" s="53" t="str">
        <f>IF($A110="-","-",VLOOKUP($A110,[5]Controle!$A$6:$BY$25,BX$94,FALSE))</f>
        <v>-</v>
      </c>
      <c r="BY110" s="53" t="str">
        <f>IF($A110="-","-",VLOOKUP($A110,[5]Controle!$A$6:$BY$25,BY$94,FALSE))</f>
        <v>-</v>
      </c>
      <c r="BZ110" s="53" t="str">
        <f>IF($A110="-","-",VLOOKUP($A110,[5]Controle!$A$6:$CI$25,BZ$94,FALSE))</f>
        <v>-</v>
      </c>
      <c r="CA110" s="53" t="str">
        <f>IF($A110="-","-",VLOOKUP($A110,[5]Controle!$A$6:$CI$25,CA$94,FALSE))</f>
        <v>-</v>
      </c>
      <c r="CB110" s="53" t="str">
        <f>IF($A110="-","-",VLOOKUP($A110,[5]Controle!$A$6:$CI$25,CB$94,FALSE))</f>
        <v>-</v>
      </c>
      <c r="CC110" s="53" t="str">
        <f>IF($A110="-","-",VLOOKUP($A110,[5]Controle!$A$6:$CI$25,CC$94,FALSE))</f>
        <v>-</v>
      </c>
      <c r="CD110" s="53" t="str">
        <f>IF($A110="-","-",VLOOKUP($A110,[5]Controle!$A$6:$CI$25,CD$94,FALSE))</f>
        <v>-</v>
      </c>
      <c r="CE110" s="53" t="str">
        <f>IF($A110="-","-",VLOOKUP($A110,[5]Controle!$A$6:$CI$25,CE$94,FALSE))</f>
        <v>-</v>
      </c>
      <c r="CF110" s="53" t="str">
        <f>IF($A110="-","-",VLOOKUP($A110,[5]Controle!$A$6:$CI$25,CF$94,FALSE))</f>
        <v>-</v>
      </c>
      <c r="CG110" s="53" t="str">
        <f>IF($A110="-","-",VLOOKUP($A110,[5]Controle!$A$6:$CI$25,CG$94,FALSE))</f>
        <v>-</v>
      </c>
      <c r="CH110" s="53" t="str">
        <f>IF($A110="-","-",VLOOKUP($A110,[5]Controle!$A$6:$CI$25,CH$94,FALSE))</f>
        <v>-</v>
      </c>
      <c r="CI110" s="53" t="str">
        <f>IF($A110="-","-",VLOOKUP($A110,[5]Controle!$A$6:$CI$25,CI$94,FALSE))</f>
        <v>-</v>
      </c>
      <c r="CT110" s="41">
        <f>IF(CV110="-",0,MAX($CT$97:CT109)+1)</f>
        <v>0</v>
      </c>
      <c r="CU110" s="53" t="str">
        <f t="shared" si="52"/>
        <v>-</v>
      </c>
      <c r="CV110" s="53" t="str">
        <f t="shared" si="44"/>
        <v>-</v>
      </c>
      <c r="CW110" s="53" t="str">
        <f t="shared" si="53"/>
        <v>-</v>
      </c>
      <c r="CX110" s="41">
        <f t="shared" si="48"/>
        <v>14</v>
      </c>
      <c r="CY110" s="41" t="str">
        <f t="shared" si="54"/>
        <v>-</v>
      </c>
    </row>
    <row r="111" spans="1:103" x14ac:dyDescent="0.3">
      <c r="A111" s="56" t="s">
        <v>54</v>
      </c>
      <c r="B111" s="53" t="str">
        <f>IF($A111="-","-",VLOOKUP($A111,[5]Controle!$A$6:$BO$25,B$94,FALSE))</f>
        <v>-</v>
      </c>
      <c r="C111" s="53" t="str">
        <f>IF($A111="-","-",VLOOKUP($A111,[5]Controle!$A$6:$BO$25,C$94,FALSE))</f>
        <v>-</v>
      </c>
      <c r="D111" s="53" t="str">
        <f>IF($A111="-","-",VLOOKUP($A111,[5]Controle!$A$6:$BO$25,D$94,FALSE))</f>
        <v>-</v>
      </c>
      <c r="E111" s="53" t="str">
        <f>IF($A111="-","-",VLOOKUP($A111,[5]Controle!$A$6:$BO$25,E$94,FALSE))</f>
        <v>-</v>
      </c>
      <c r="F111" s="53" t="str">
        <f>IF($A111="-","-",VLOOKUP($A111,[5]Controle!$A$6:$BO$25,F$94,FALSE))</f>
        <v>-</v>
      </c>
      <c r="G111" s="54" t="str">
        <f>IF($A111="-","-",VLOOKUP($A111,[5]Controle!$A$6:$BO$25,G$94,FALSE))</f>
        <v>-</v>
      </c>
      <c r="H111" s="55" t="str">
        <f>IF($A111="-","-",VLOOKUP($A111,[5]Controle!$A$6:$BO$25,H$94,FALSE))</f>
        <v>-</v>
      </c>
      <c r="I111" s="53" t="str">
        <f>IF($A111="-","-",VLOOKUP($A111,[5]Controle!$A$6:$BO$25,I$94,FALSE))</f>
        <v>-</v>
      </c>
      <c r="J111" s="53" t="str">
        <f>IF($A111="-","-",VLOOKUP($A111,[5]Controle!$A$6:$BO$25,J$94,FALSE))</f>
        <v>-</v>
      </c>
      <c r="K111" s="53" t="str">
        <f>IF($A111="-","-",VLOOKUP($A111,[5]Controle!$A$6:$BO$25,K$94,FALSE))</f>
        <v>-</v>
      </c>
      <c r="L111" s="53" t="str">
        <f>IF($A111="-","-",VLOOKUP($A111,[5]Controle!$A$6:$BO$25,L$94,FALSE))</f>
        <v>-</v>
      </c>
      <c r="M111" s="53" t="str">
        <f>IF($A111="-","-",VLOOKUP($A111,[5]Controle!$A$6:$BO$25,M$94,FALSE))</f>
        <v>-</v>
      </c>
      <c r="N111" s="53" t="str">
        <f>IF($A111="-","-",VLOOKUP($A111,[5]Controle!$A$6:$BO$25,N$94,FALSE))</f>
        <v>-</v>
      </c>
      <c r="O111" s="53" t="str">
        <f>IF($A111="-","-",VLOOKUP($A111,[5]Controle!$A$6:$BO$25,O$94,FALSE))</f>
        <v>-</v>
      </c>
      <c r="P111" s="53" t="str">
        <f>IF($A111="-","-",VLOOKUP($A111,[5]Controle!$A$6:$BO$25,P$94,FALSE))</f>
        <v>-</v>
      </c>
      <c r="Q111" s="53" t="str">
        <f>IF($A111="-","-",VLOOKUP($A111,[5]Controle!$A$6:$BO$25,Q$94,FALSE))</f>
        <v>-</v>
      </c>
      <c r="R111" s="53" t="str">
        <f>IF($A111="-","-",VLOOKUP($A111,[5]Controle!$A$6:$BO$25,R$94,FALSE))</f>
        <v>-</v>
      </c>
      <c r="S111" s="53" t="str">
        <f>IF($A111="-","-",VLOOKUP($A111,[5]Controle!$A$6:$BO$25,S$94,FALSE))</f>
        <v>-</v>
      </c>
      <c r="T111" s="53" t="str">
        <f>IF($A111="-","-",VLOOKUP($A111,[5]Controle!$A$6:$BO$25,T$94,FALSE))</f>
        <v>-</v>
      </c>
      <c r="U111" s="53" t="str">
        <f>IF($A111="-","-",VLOOKUP($A111,[5]Controle!$A$6:$BO$25,U$94,FALSE))</f>
        <v>-</v>
      </c>
      <c r="V111" s="53" t="str">
        <f>IF($A111="-","-",VLOOKUP($A111,[5]Controle!$A$6:$BO$25,V$94,FALSE))</f>
        <v>-</v>
      </c>
      <c r="W111" s="53" t="str">
        <f>IF($A111="-","-",VLOOKUP($A111,[5]Controle!$A$6:$BO$25,W$94,FALSE))</f>
        <v>-</v>
      </c>
      <c r="X111" s="53" t="str">
        <f>IF($A111="-","-",VLOOKUP($A111,[5]Controle!$A$6:$BO$25,X$94,FALSE))</f>
        <v>-</v>
      </c>
      <c r="Y111" s="53" t="str">
        <f>IF($A111="-","-",VLOOKUP($A111,[5]Controle!$A$6:$BO$25,Y$94,FALSE))</f>
        <v>-</v>
      </c>
      <c r="Z111" s="53" t="str">
        <f>IF($A111="-","-",VLOOKUP($A111,[5]Controle!$A$6:$BO$25,Z$94,FALSE))</f>
        <v>-</v>
      </c>
      <c r="AA111" s="53" t="str">
        <f>IF($A111="-","-",VLOOKUP($A111,[5]Controle!$A$6:$BO$25,AA$94,FALSE))</f>
        <v>-</v>
      </c>
      <c r="AB111" s="53" t="str">
        <f>IF($A111="-","-",VLOOKUP($A111,[5]Controle!$A$6:$BO$25,AB$94,FALSE))</f>
        <v>-</v>
      </c>
      <c r="AC111" s="53" t="str">
        <f>IF($A111="-","-",VLOOKUP($A111,[5]Controle!$A$6:$BO$25,AC$94,FALSE))</f>
        <v>-</v>
      </c>
      <c r="AD111" s="53" t="str">
        <f>IF($A111="-","-",VLOOKUP($A111,[5]Controle!$A$6:$BO$25,AD$94,FALSE))</f>
        <v>-</v>
      </c>
      <c r="AE111" s="53" t="str">
        <f>IF($A111="-","-",VLOOKUP($A111,[5]Controle!$A$6:$BO$25,AE$94,FALSE))</f>
        <v>-</v>
      </c>
      <c r="AF111" s="53" t="str">
        <f>IF($A111="-","-",VLOOKUP($A111,[5]Controle!$A$6:$BO$25,AF$94,FALSE))</f>
        <v>-</v>
      </c>
      <c r="AG111" s="53" t="str">
        <f>IF($A111="-","-",VLOOKUP($A111,[5]Controle!$A$6:$BO$25,AG$94,FALSE))</f>
        <v>-</v>
      </c>
      <c r="AH111" s="53" t="str">
        <f>IF($A111="-","-",VLOOKUP($A111,[5]Controle!$A$6:$BO$25,AH$94,FALSE))</f>
        <v>-</v>
      </c>
      <c r="AI111" s="53" t="str">
        <f>IF($A111="-","-",VLOOKUP($A111,[5]Controle!$A$6:$BO$25,AI$94,FALSE))</f>
        <v>-</v>
      </c>
      <c r="AJ111" s="53" t="str">
        <f>IF($A111="-","-",VLOOKUP($A111,[5]Controle!$A$6:$BO$25,AJ$94,FALSE))</f>
        <v>-</v>
      </c>
      <c r="AK111" s="53" t="str">
        <f>IF($A111="-","-",VLOOKUP($A111,[5]Controle!$A$6:$BO$25,AK$94,FALSE))</f>
        <v>-</v>
      </c>
      <c r="AL111" s="53" t="str">
        <f>IF($A111="-","-",VLOOKUP($A111,[5]Controle!$A$6:$BO$25,AL$94,FALSE))</f>
        <v>-</v>
      </c>
      <c r="AM111" s="53" t="str">
        <f>IF($A111="-","-",VLOOKUP($A111,[5]Controle!$A$6:$BO$25,AM$94,FALSE))</f>
        <v>-</v>
      </c>
      <c r="AN111" s="53" t="str">
        <f>IF($A111="-","-",VLOOKUP($A111,[5]Controle!$A$6:$BO$25,AN$94,FALSE))</f>
        <v>-</v>
      </c>
      <c r="AO111" s="53" t="str">
        <f>IF($A111="-","-",VLOOKUP($A111,[5]Controle!$A$6:$BO$25,AO$94,FALSE))</f>
        <v>-</v>
      </c>
      <c r="AP111" s="53" t="str">
        <f>IF($A111="-","-",VLOOKUP($A111,[5]Controle!$A$6:$BO$25,AP$94,FALSE))</f>
        <v>-</v>
      </c>
      <c r="AQ111" s="53" t="str">
        <f>IF($A111="-","-",VLOOKUP($A111,[5]Controle!$A$6:$BO$25,AQ$94,FALSE))</f>
        <v>-</v>
      </c>
      <c r="AR111" s="53" t="str">
        <f>IF($A111="-","-",VLOOKUP($A111,[5]Controle!$A$6:$BO$25,AR$94,FALSE))</f>
        <v>-</v>
      </c>
      <c r="AS111" s="53" t="str">
        <f>IF($A111="-","-",VLOOKUP($A111,[5]Controle!$A$6:$BO$25,AS$94,FALSE))</f>
        <v>-</v>
      </c>
      <c r="AT111" s="53" t="str">
        <f>IF($A111="-","-",VLOOKUP($A111,[5]Controle!$A$6:$BO$25,AT$94,FALSE))</f>
        <v>-</v>
      </c>
      <c r="AU111" s="53" t="str">
        <f>IF($A111="-","-",VLOOKUP($A111,[5]Controle!$A$6:$BO$25,AU$94,FALSE))</f>
        <v>-</v>
      </c>
      <c r="AV111" s="53" t="str">
        <f>IF($A111="-","-",VLOOKUP($A111,[5]Controle!$A$6:$BO$25,AV$94,FALSE))</f>
        <v>-</v>
      </c>
      <c r="AW111" s="53" t="str">
        <f>IF($A111="-","-",VLOOKUP($A111,[5]Controle!$A$6:$BO$25,AW$94,FALSE))</f>
        <v>-</v>
      </c>
      <c r="AX111" s="53" t="str">
        <f>IF($A111="-","-",VLOOKUP($A111,[5]Controle!$A$6:$BO$25,AX$94,FALSE))</f>
        <v>-</v>
      </c>
      <c r="AY111" s="53" t="str">
        <f>IF($A111="-","-",VLOOKUP($A111,[5]Controle!$A$6:$BO$25,AY$94,FALSE))</f>
        <v>-</v>
      </c>
      <c r="AZ111" s="53" t="str">
        <f>IF($A111="-","-",VLOOKUP($A111,[5]Controle!$A$6:$BO$25,AZ$94,FALSE))</f>
        <v>-</v>
      </c>
      <c r="BA111" s="53" t="str">
        <f>IF($A111="-","-",VLOOKUP($A111,[5]Controle!$A$6:$BO$25,BA$94,FALSE))</f>
        <v>-</v>
      </c>
      <c r="BB111" s="53" t="str">
        <f>IF($A111="-","-",VLOOKUP($A111,[5]Controle!$A$6:$BO$25,BB$94,FALSE))</f>
        <v>-</v>
      </c>
      <c r="BC111" s="53" t="str">
        <f>IF($A111="-","-",VLOOKUP($A111,[5]Controle!$A$6:$BO$25,BC$94,FALSE))</f>
        <v>-</v>
      </c>
      <c r="BD111" s="53" t="str">
        <f>IF($A111="-","-",VLOOKUP($A111,[5]Controle!$A$6:$BO$25,BD$94,FALSE))</f>
        <v>-</v>
      </c>
      <c r="BE111" s="53" t="str">
        <f>IF($A111="-","-",VLOOKUP($A111,[5]Controle!$A$6:$BO$25,BE$94,FALSE))</f>
        <v>-</v>
      </c>
      <c r="BF111" s="53" t="str">
        <f>IF($A111="-","-",VLOOKUP($A111,[5]Controle!$A$6:$BO$25,BF$94,FALSE))</f>
        <v>-</v>
      </c>
      <c r="BG111" s="53" t="str">
        <f>IF($A111="-","-",VLOOKUP($A111,[5]Controle!$A$6:$BO$25,BG$94,FALSE))</f>
        <v>-</v>
      </c>
      <c r="BH111" s="53" t="str">
        <f>IF($A111="-","-",VLOOKUP($A111,[5]Controle!$A$6:$BO$25,BH$94,FALSE))</f>
        <v>-</v>
      </c>
      <c r="BI111" s="53" t="str">
        <f>IF($A111="-","-",VLOOKUP($A111,[5]Controle!$A$6:$BO$25,BI$94,FALSE))</f>
        <v>-</v>
      </c>
      <c r="BJ111" s="53" t="str">
        <f>IF($A111="-","-",VLOOKUP($A111,[5]Controle!$A$6:$BO$25,BJ$94,FALSE))</f>
        <v>-</v>
      </c>
      <c r="BK111" s="53" t="str">
        <f>IF($A111="-","-",VLOOKUP($A111,[5]Controle!$A$6:$BO$25,BK$94,FALSE))</f>
        <v>-</v>
      </c>
      <c r="BL111" s="53" t="str">
        <f>IF($A111="-","-",VLOOKUP($A111,[5]Controle!$A$6:$BO$25,BL$94,FALSE))</f>
        <v>-</v>
      </c>
      <c r="BM111" s="53" t="str">
        <f>IF($A111="-","-",VLOOKUP($A111,[5]Controle!$A$6:$BO$25,BM$94,FALSE))</f>
        <v>-</v>
      </c>
      <c r="BN111" s="53" t="str">
        <f>IF($A111="-","-",VLOOKUP($A111,[5]Controle!$A$6:$BO$25,BN$94,FALSE))</f>
        <v>-</v>
      </c>
      <c r="BO111" s="53" t="str">
        <f>IF($A111="-","-",VLOOKUP($A111,[5]Controle!$A$6:$BO$25,BO$94,FALSE))</f>
        <v>-</v>
      </c>
      <c r="BP111" s="53" t="str">
        <f>IF($A111="-","-",VLOOKUP($A111,[5]Controle!$A$6:$BY$25,BP$94,FALSE))</f>
        <v>-</v>
      </c>
      <c r="BQ111" s="53" t="str">
        <f>IF($A111="-","-",VLOOKUP($A111,[5]Controle!$A$6:$BY$25,BQ$94,FALSE))</f>
        <v>-</v>
      </c>
      <c r="BR111" s="53" t="str">
        <f>IF($A111="-","-",VLOOKUP($A111,[5]Controle!$A$6:$BY$25,BR$94,FALSE))</f>
        <v>-</v>
      </c>
      <c r="BS111" s="53" t="str">
        <f>IF($A111="-","-",VLOOKUP($A111,[5]Controle!$A$6:$BY$25,BS$94,FALSE))</f>
        <v>-</v>
      </c>
      <c r="BT111" s="53" t="str">
        <f>IF($A111="-","-",VLOOKUP($A111,[5]Controle!$A$6:$BY$25,BT$94,FALSE))</f>
        <v>-</v>
      </c>
      <c r="BU111" s="53" t="str">
        <f>IF($A111="-","-",VLOOKUP($A111,[5]Controle!$A$6:$BY$25,BU$94,FALSE))</f>
        <v>-</v>
      </c>
      <c r="BV111" s="53" t="str">
        <f>IF($A111="-","-",VLOOKUP($A111,[5]Controle!$A$6:$BY$25,BV$94,FALSE))</f>
        <v>-</v>
      </c>
      <c r="BW111" s="53" t="str">
        <f>IF($A111="-","-",VLOOKUP($A111,[5]Controle!$A$6:$BY$25,BW$94,FALSE))</f>
        <v>-</v>
      </c>
      <c r="BX111" s="53" t="str">
        <f>IF($A111="-","-",VLOOKUP($A111,[5]Controle!$A$6:$BY$25,BX$94,FALSE))</f>
        <v>-</v>
      </c>
      <c r="BY111" s="53" t="str">
        <f>IF($A111="-","-",VLOOKUP($A111,[5]Controle!$A$6:$BY$25,BY$94,FALSE))</f>
        <v>-</v>
      </c>
      <c r="BZ111" s="53" t="str">
        <f>IF($A111="-","-",VLOOKUP($A111,[5]Controle!$A$6:$CI$25,BZ$94,FALSE))</f>
        <v>-</v>
      </c>
      <c r="CA111" s="53" t="str">
        <f>IF($A111="-","-",VLOOKUP($A111,[5]Controle!$A$6:$CI$25,CA$94,FALSE))</f>
        <v>-</v>
      </c>
      <c r="CB111" s="53" t="str">
        <f>IF($A111="-","-",VLOOKUP($A111,[5]Controle!$A$6:$CI$25,CB$94,FALSE))</f>
        <v>-</v>
      </c>
      <c r="CC111" s="53" t="str">
        <f>IF($A111="-","-",VLOOKUP($A111,[5]Controle!$A$6:$CI$25,CC$94,FALSE))</f>
        <v>-</v>
      </c>
      <c r="CD111" s="53" t="str">
        <f>IF($A111="-","-",VLOOKUP($A111,[5]Controle!$A$6:$CI$25,CD$94,FALSE))</f>
        <v>-</v>
      </c>
      <c r="CE111" s="53" t="str">
        <f>IF($A111="-","-",VLOOKUP($A111,[5]Controle!$A$6:$CI$25,CE$94,FALSE))</f>
        <v>-</v>
      </c>
      <c r="CF111" s="53" t="str">
        <f>IF($A111="-","-",VLOOKUP($A111,[5]Controle!$A$6:$CI$25,CF$94,FALSE))</f>
        <v>-</v>
      </c>
      <c r="CG111" s="53" t="str">
        <f>IF($A111="-","-",VLOOKUP($A111,[5]Controle!$A$6:$CI$25,CG$94,FALSE))</f>
        <v>-</v>
      </c>
      <c r="CH111" s="53" t="str">
        <f>IF($A111="-","-",VLOOKUP($A111,[5]Controle!$A$6:$CI$25,CH$94,FALSE))</f>
        <v>-</v>
      </c>
      <c r="CI111" s="53" t="str">
        <f>IF($A111="-","-",VLOOKUP($A111,[5]Controle!$A$6:$CI$25,CI$94,FALSE))</f>
        <v>-</v>
      </c>
      <c r="CT111" s="41">
        <f>IF(CV111="-",0,MAX($CT$97:CT110)+1)</f>
        <v>0</v>
      </c>
      <c r="CU111" s="53" t="str">
        <f t="shared" si="52"/>
        <v>-</v>
      </c>
      <c r="CV111" s="53" t="str">
        <f t="shared" si="44"/>
        <v>-</v>
      </c>
      <c r="CW111" s="53" t="str">
        <f t="shared" si="53"/>
        <v>-</v>
      </c>
      <c r="CX111" s="41">
        <f t="shared" si="48"/>
        <v>15</v>
      </c>
      <c r="CY111" s="41" t="str">
        <f t="shared" si="54"/>
        <v>-</v>
      </c>
    </row>
    <row r="112" spans="1:103" x14ac:dyDescent="0.3">
      <c r="A112" s="56" t="s">
        <v>54</v>
      </c>
      <c r="B112" s="53" t="str">
        <f>IF($A112="-","-",VLOOKUP($A112,[5]Controle!$A$6:$BO$25,B$94,FALSE))</f>
        <v>-</v>
      </c>
      <c r="C112" s="53" t="str">
        <f>IF($A112="-","-",VLOOKUP($A112,[5]Controle!$A$6:$BO$25,C$94,FALSE))</f>
        <v>-</v>
      </c>
      <c r="D112" s="53" t="str">
        <f>IF($A112="-","-",VLOOKUP($A112,[5]Controle!$A$6:$BO$25,D$94,FALSE))</f>
        <v>-</v>
      </c>
      <c r="E112" s="53" t="str">
        <f>IF($A112="-","-",VLOOKUP($A112,[5]Controle!$A$6:$BO$25,E$94,FALSE))</f>
        <v>-</v>
      </c>
      <c r="F112" s="53" t="str">
        <f>IF($A112="-","-",VLOOKUP($A112,[5]Controle!$A$6:$BO$25,F$94,FALSE))</f>
        <v>-</v>
      </c>
      <c r="G112" s="54" t="str">
        <f>IF($A112="-","-",VLOOKUP($A112,[5]Controle!$A$6:$BO$25,G$94,FALSE))</f>
        <v>-</v>
      </c>
      <c r="H112" s="55" t="str">
        <f>IF($A112="-","-",VLOOKUP($A112,[5]Controle!$A$6:$BO$25,H$94,FALSE))</f>
        <v>-</v>
      </c>
      <c r="I112" s="53" t="str">
        <f>IF($A112="-","-",VLOOKUP($A112,[5]Controle!$A$6:$BO$25,I$94,FALSE))</f>
        <v>-</v>
      </c>
      <c r="J112" s="53" t="str">
        <f>IF($A112="-","-",VLOOKUP($A112,[5]Controle!$A$6:$BO$25,J$94,FALSE))</f>
        <v>-</v>
      </c>
      <c r="K112" s="53" t="str">
        <f>IF($A112="-","-",VLOOKUP($A112,[5]Controle!$A$6:$BO$25,K$94,FALSE))</f>
        <v>-</v>
      </c>
      <c r="L112" s="53" t="str">
        <f>IF($A112="-","-",VLOOKUP($A112,[5]Controle!$A$6:$BO$25,L$94,FALSE))</f>
        <v>-</v>
      </c>
      <c r="M112" s="53" t="str">
        <f>IF($A112="-","-",VLOOKUP($A112,[5]Controle!$A$6:$BO$25,M$94,FALSE))</f>
        <v>-</v>
      </c>
      <c r="N112" s="53" t="str">
        <f>IF($A112="-","-",VLOOKUP($A112,[5]Controle!$A$6:$BO$25,N$94,FALSE))</f>
        <v>-</v>
      </c>
      <c r="O112" s="53" t="str">
        <f>IF($A112="-","-",VLOOKUP($A112,[5]Controle!$A$6:$BO$25,O$94,FALSE))</f>
        <v>-</v>
      </c>
      <c r="P112" s="53" t="str">
        <f>IF($A112="-","-",VLOOKUP($A112,[5]Controle!$A$6:$BO$25,P$94,FALSE))</f>
        <v>-</v>
      </c>
      <c r="Q112" s="53" t="str">
        <f>IF($A112="-","-",VLOOKUP($A112,[5]Controle!$A$6:$BO$25,Q$94,FALSE))</f>
        <v>-</v>
      </c>
      <c r="R112" s="53" t="str">
        <f>IF($A112="-","-",VLOOKUP($A112,[5]Controle!$A$6:$BO$25,R$94,FALSE))</f>
        <v>-</v>
      </c>
      <c r="S112" s="53" t="str">
        <f>IF($A112="-","-",VLOOKUP($A112,[5]Controle!$A$6:$BO$25,S$94,FALSE))</f>
        <v>-</v>
      </c>
      <c r="T112" s="53" t="str">
        <f>IF($A112="-","-",VLOOKUP($A112,[5]Controle!$A$6:$BO$25,T$94,FALSE))</f>
        <v>-</v>
      </c>
      <c r="U112" s="53" t="str">
        <f>IF($A112="-","-",VLOOKUP($A112,[5]Controle!$A$6:$BO$25,U$94,FALSE))</f>
        <v>-</v>
      </c>
      <c r="V112" s="53" t="str">
        <f>IF($A112="-","-",VLOOKUP($A112,[5]Controle!$A$6:$BO$25,V$94,FALSE))</f>
        <v>-</v>
      </c>
      <c r="W112" s="53" t="str">
        <f>IF($A112="-","-",VLOOKUP($A112,[5]Controle!$A$6:$BO$25,W$94,FALSE))</f>
        <v>-</v>
      </c>
      <c r="X112" s="53" t="str">
        <f>IF($A112="-","-",VLOOKUP($A112,[5]Controle!$A$6:$BO$25,X$94,FALSE))</f>
        <v>-</v>
      </c>
      <c r="Y112" s="53" t="str">
        <f>IF($A112="-","-",VLOOKUP($A112,[5]Controle!$A$6:$BO$25,Y$94,FALSE))</f>
        <v>-</v>
      </c>
      <c r="Z112" s="53" t="str">
        <f>IF($A112="-","-",VLOOKUP($A112,[5]Controle!$A$6:$BO$25,Z$94,FALSE))</f>
        <v>-</v>
      </c>
      <c r="AA112" s="53" t="str">
        <f>IF($A112="-","-",VLOOKUP($A112,[5]Controle!$A$6:$BO$25,AA$94,FALSE))</f>
        <v>-</v>
      </c>
      <c r="AB112" s="53" t="str">
        <f>IF($A112="-","-",VLOOKUP($A112,[5]Controle!$A$6:$BO$25,AB$94,FALSE))</f>
        <v>-</v>
      </c>
      <c r="AC112" s="53" t="str">
        <f>IF($A112="-","-",VLOOKUP($A112,[5]Controle!$A$6:$BO$25,AC$94,FALSE))</f>
        <v>-</v>
      </c>
      <c r="AD112" s="53" t="str">
        <f>IF($A112="-","-",VLOOKUP($A112,[5]Controle!$A$6:$BO$25,AD$94,FALSE))</f>
        <v>-</v>
      </c>
      <c r="AE112" s="53" t="str">
        <f>IF($A112="-","-",VLOOKUP($A112,[5]Controle!$A$6:$BO$25,AE$94,FALSE))</f>
        <v>-</v>
      </c>
      <c r="AF112" s="53" t="str">
        <f>IF($A112="-","-",VLOOKUP($A112,[5]Controle!$A$6:$BO$25,AF$94,FALSE))</f>
        <v>-</v>
      </c>
      <c r="AG112" s="53" t="str">
        <f>IF($A112="-","-",VLOOKUP($A112,[5]Controle!$A$6:$BO$25,AG$94,FALSE))</f>
        <v>-</v>
      </c>
      <c r="AH112" s="53" t="str">
        <f>IF($A112="-","-",VLOOKUP($A112,[5]Controle!$A$6:$BO$25,AH$94,FALSE))</f>
        <v>-</v>
      </c>
      <c r="AI112" s="53" t="str">
        <f>IF($A112="-","-",VLOOKUP($A112,[5]Controle!$A$6:$BO$25,AI$94,FALSE))</f>
        <v>-</v>
      </c>
      <c r="AJ112" s="53" t="str">
        <f>IF($A112="-","-",VLOOKUP($A112,[5]Controle!$A$6:$BO$25,AJ$94,FALSE))</f>
        <v>-</v>
      </c>
      <c r="AK112" s="53" t="str">
        <f>IF($A112="-","-",VLOOKUP($A112,[5]Controle!$A$6:$BO$25,AK$94,FALSE))</f>
        <v>-</v>
      </c>
      <c r="AL112" s="53" t="str">
        <f>IF($A112="-","-",VLOOKUP($A112,[5]Controle!$A$6:$BO$25,AL$94,FALSE))</f>
        <v>-</v>
      </c>
      <c r="AM112" s="53" t="str">
        <f>IF($A112="-","-",VLOOKUP($A112,[5]Controle!$A$6:$BO$25,AM$94,FALSE))</f>
        <v>-</v>
      </c>
      <c r="AN112" s="53" t="str">
        <f>IF($A112="-","-",VLOOKUP($A112,[5]Controle!$A$6:$BO$25,AN$94,FALSE))</f>
        <v>-</v>
      </c>
      <c r="AO112" s="53" t="str">
        <f>IF($A112="-","-",VLOOKUP($A112,[5]Controle!$A$6:$BO$25,AO$94,FALSE))</f>
        <v>-</v>
      </c>
      <c r="AP112" s="53" t="str">
        <f>IF($A112="-","-",VLOOKUP($A112,[5]Controle!$A$6:$BO$25,AP$94,FALSE))</f>
        <v>-</v>
      </c>
      <c r="AQ112" s="53" t="str">
        <f>IF($A112="-","-",VLOOKUP($A112,[5]Controle!$A$6:$BO$25,AQ$94,FALSE))</f>
        <v>-</v>
      </c>
      <c r="AR112" s="53" t="str">
        <f>IF($A112="-","-",VLOOKUP($A112,[5]Controle!$A$6:$BO$25,AR$94,FALSE))</f>
        <v>-</v>
      </c>
      <c r="AS112" s="53" t="str">
        <f>IF($A112="-","-",VLOOKUP($A112,[5]Controle!$A$6:$BO$25,AS$94,FALSE))</f>
        <v>-</v>
      </c>
      <c r="AT112" s="53" t="str">
        <f>IF($A112="-","-",VLOOKUP($A112,[5]Controle!$A$6:$BO$25,AT$94,FALSE))</f>
        <v>-</v>
      </c>
      <c r="AU112" s="53" t="str">
        <f>IF($A112="-","-",VLOOKUP($A112,[5]Controle!$A$6:$BO$25,AU$94,FALSE))</f>
        <v>-</v>
      </c>
      <c r="AV112" s="53" t="str">
        <f>IF($A112="-","-",VLOOKUP($A112,[5]Controle!$A$6:$BO$25,AV$94,FALSE))</f>
        <v>-</v>
      </c>
      <c r="AW112" s="53" t="str">
        <f>IF($A112="-","-",VLOOKUP($A112,[5]Controle!$A$6:$BO$25,AW$94,FALSE))</f>
        <v>-</v>
      </c>
      <c r="AX112" s="53" t="str">
        <f>IF($A112="-","-",VLOOKUP($A112,[5]Controle!$A$6:$BO$25,AX$94,FALSE))</f>
        <v>-</v>
      </c>
      <c r="AY112" s="53" t="str">
        <f>IF($A112="-","-",VLOOKUP($A112,[5]Controle!$A$6:$BO$25,AY$94,FALSE))</f>
        <v>-</v>
      </c>
      <c r="AZ112" s="53" t="str">
        <f>IF($A112="-","-",VLOOKUP($A112,[5]Controle!$A$6:$BO$25,AZ$94,FALSE))</f>
        <v>-</v>
      </c>
      <c r="BA112" s="53" t="str">
        <f>IF($A112="-","-",VLOOKUP($A112,[5]Controle!$A$6:$BO$25,BA$94,FALSE))</f>
        <v>-</v>
      </c>
      <c r="BB112" s="53" t="str">
        <f>IF($A112="-","-",VLOOKUP($A112,[5]Controle!$A$6:$BO$25,BB$94,FALSE))</f>
        <v>-</v>
      </c>
      <c r="BC112" s="53" t="str">
        <f>IF($A112="-","-",VLOOKUP($A112,[5]Controle!$A$6:$BO$25,BC$94,FALSE))</f>
        <v>-</v>
      </c>
      <c r="BD112" s="53" t="str">
        <f>IF($A112="-","-",VLOOKUP($A112,[5]Controle!$A$6:$BO$25,BD$94,FALSE))</f>
        <v>-</v>
      </c>
      <c r="BE112" s="53" t="str">
        <f>IF($A112="-","-",VLOOKUP($A112,[5]Controle!$A$6:$BO$25,BE$94,FALSE))</f>
        <v>-</v>
      </c>
      <c r="BF112" s="53" t="str">
        <f>IF($A112="-","-",VLOOKUP($A112,[5]Controle!$A$6:$BO$25,BF$94,FALSE))</f>
        <v>-</v>
      </c>
      <c r="BG112" s="53" t="str">
        <f>IF($A112="-","-",VLOOKUP($A112,[5]Controle!$A$6:$BO$25,BG$94,FALSE))</f>
        <v>-</v>
      </c>
      <c r="BH112" s="53" t="str">
        <f>IF($A112="-","-",VLOOKUP($A112,[5]Controle!$A$6:$BO$25,BH$94,FALSE))</f>
        <v>-</v>
      </c>
      <c r="BI112" s="53" t="str">
        <f>IF($A112="-","-",VLOOKUP($A112,[5]Controle!$A$6:$BO$25,BI$94,FALSE))</f>
        <v>-</v>
      </c>
      <c r="BJ112" s="53" t="str">
        <f>IF($A112="-","-",VLOOKUP($A112,[5]Controle!$A$6:$BO$25,BJ$94,FALSE))</f>
        <v>-</v>
      </c>
      <c r="BK112" s="53" t="str">
        <f>IF($A112="-","-",VLOOKUP($A112,[5]Controle!$A$6:$BO$25,BK$94,FALSE))</f>
        <v>-</v>
      </c>
      <c r="BL112" s="53" t="str">
        <f>IF($A112="-","-",VLOOKUP($A112,[5]Controle!$A$6:$BO$25,BL$94,FALSE))</f>
        <v>-</v>
      </c>
      <c r="BM112" s="53" t="str">
        <f>IF($A112="-","-",VLOOKUP($A112,[5]Controle!$A$6:$BO$25,BM$94,FALSE))</f>
        <v>-</v>
      </c>
      <c r="BN112" s="53" t="str">
        <f>IF($A112="-","-",VLOOKUP($A112,[5]Controle!$A$6:$BO$25,BN$94,FALSE))</f>
        <v>-</v>
      </c>
      <c r="BO112" s="53" t="str">
        <f>IF($A112="-","-",VLOOKUP($A112,[5]Controle!$A$6:$BO$25,BO$94,FALSE))</f>
        <v>-</v>
      </c>
      <c r="BP112" s="53" t="str">
        <f>IF($A112="-","-",VLOOKUP($A112,[5]Controle!$A$6:$BY$25,BP$94,FALSE))</f>
        <v>-</v>
      </c>
      <c r="BQ112" s="53" t="str">
        <f>IF($A112="-","-",VLOOKUP($A112,[5]Controle!$A$6:$BY$25,BQ$94,FALSE))</f>
        <v>-</v>
      </c>
      <c r="BR112" s="53" t="str">
        <f>IF($A112="-","-",VLOOKUP($A112,[5]Controle!$A$6:$BY$25,BR$94,FALSE))</f>
        <v>-</v>
      </c>
      <c r="BS112" s="53" t="str">
        <f>IF($A112="-","-",VLOOKUP($A112,[5]Controle!$A$6:$BY$25,BS$94,FALSE))</f>
        <v>-</v>
      </c>
      <c r="BT112" s="53" t="str">
        <f>IF($A112="-","-",VLOOKUP($A112,[5]Controle!$A$6:$BY$25,BT$94,FALSE))</f>
        <v>-</v>
      </c>
      <c r="BU112" s="53" t="str">
        <f>IF($A112="-","-",VLOOKUP($A112,[5]Controle!$A$6:$BY$25,BU$94,FALSE))</f>
        <v>-</v>
      </c>
      <c r="BV112" s="53" t="str">
        <f>IF($A112="-","-",VLOOKUP($A112,[5]Controle!$A$6:$BY$25,BV$94,FALSE))</f>
        <v>-</v>
      </c>
      <c r="BW112" s="53" t="str">
        <f>IF($A112="-","-",VLOOKUP($A112,[5]Controle!$A$6:$BY$25,BW$94,FALSE))</f>
        <v>-</v>
      </c>
      <c r="BX112" s="53" t="str">
        <f>IF($A112="-","-",VLOOKUP($A112,[5]Controle!$A$6:$BY$25,BX$94,FALSE))</f>
        <v>-</v>
      </c>
      <c r="BY112" s="53" t="str">
        <f>IF($A112="-","-",VLOOKUP($A112,[5]Controle!$A$6:$BY$25,BY$94,FALSE))</f>
        <v>-</v>
      </c>
      <c r="BZ112" s="53" t="str">
        <f>IF($A112="-","-",VLOOKUP($A112,[5]Controle!$A$6:$CI$25,BZ$94,FALSE))</f>
        <v>-</v>
      </c>
      <c r="CA112" s="53" t="str">
        <f>IF($A112="-","-",VLOOKUP($A112,[5]Controle!$A$6:$CI$25,CA$94,FALSE))</f>
        <v>-</v>
      </c>
      <c r="CB112" s="53" t="str">
        <f>IF($A112="-","-",VLOOKUP($A112,[5]Controle!$A$6:$CI$25,CB$94,FALSE))</f>
        <v>-</v>
      </c>
      <c r="CC112" s="53" t="str">
        <f>IF($A112="-","-",VLOOKUP($A112,[5]Controle!$A$6:$CI$25,CC$94,FALSE))</f>
        <v>-</v>
      </c>
      <c r="CD112" s="53" t="str">
        <f>IF($A112="-","-",VLOOKUP($A112,[5]Controle!$A$6:$CI$25,CD$94,FALSE))</f>
        <v>-</v>
      </c>
      <c r="CE112" s="53" t="str">
        <f>IF($A112="-","-",VLOOKUP($A112,[5]Controle!$A$6:$CI$25,CE$94,FALSE))</f>
        <v>-</v>
      </c>
      <c r="CF112" s="53" t="str">
        <f>IF($A112="-","-",VLOOKUP($A112,[5]Controle!$A$6:$CI$25,CF$94,FALSE))</f>
        <v>-</v>
      </c>
      <c r="CG112" s="53" t="str">
        <f>IF($A112="-","-",VLOOKUP($A112,[5]Controle!$A$6:$CI$25,CG$94,FALSE))</f>
        <v>-</v>
      </c>
      <c r="CH112" s="53" t="str">
        <f>IF($A112="-","-",VLOOKUP($A112,[5]Controle!$A$6:$CI$25,CH$94,FALSE))</f>
        <v>-</v>
      </c>
      <c r="CI112" s="53" t="str">
        <f>IF($A112="-","-",VLOOKUP($A112,[5]Controle!$A$6:$CI$25,CI$94,FALSE))</f>
        <v>-</v>
      </c>
      <c r="CT112" s="41">
        <f>IF(CV112="-",0,MAX($CT$97:CT111)+1)</f>
        <v>0</v>
      </c>
      <c r="CU112" s="53" t="str">
        <f t="shared" si="52"/>
        <v>-</v>
      </c>
      <c r="CV112" s="53" t="str">
        <f t="shared" si="44"/>
        <v>-</v>
      </c>
      <c r="CW112" s="53" t="str">
        <f t="shared" si="53"/>
        <v>-</v>
      </c>
      <c r="CX112" s="41">
        <f t="shared" si="48"/>
        <v>16</v>
      </c>
      <c r="CY112" s="41" t="str">
        <f t="shared" si="54"/>
        <v>-</v>
      </c>
    </row>
    <row r="113" spans="1:103" x14ac:dyDescent="0.3">
      <c r="A113" s="56" t="s">
        <v>54</v>
      </c>
      <c r="B113" s="53" t="str">
        <f>IF($A113="-","-",VLOOKUP($A113,[5]Controle!$A$6:$BO$25,B$94,FALSE))</f>
        <v>-</v>
      </c>
      <c r="C113" s="53" t="str">
        <f>IF($A113="-","-",VLOOKUP($A113,[5]Controle!$A$6:$BO$25,C$94,FALSE))</f>
        <v>-</v>
      </c>
      <c r="D113" s="53" t="str">
        <f>IF($A113="-","-",VLOOKUP($A113,[5]Controle!$A$6:$BO$25,D$94,FALSE))</f>
        <v>-</v>
      </c>
      <c r="E113" s="53" t="str">
        <f>IF($A113="-","-",VLOOKUP($A113,[5]Controle!$A$6:$BO$25,E$94,FALSE))</f>
        <v>-</v>
      </c>
      <c r="F113" s="53" t="str">
        <f>IF($A113="-","-",VLOOKUP($A113,[5]Controle!$A$6:$BO$25,F$94,FALSE))</f>
        <v>-</v>
      </c>
      <c r="G113" s="54" t="str">
        <f>IF($A113="-","-",VLOOKUP($A113,[5]Controle!$A$6:$BO$25,G$94,FALSE))</f>
        <v>-</v>
      </c>
      <c r="H113" s="55" t="str">
        <f>IF($A113="-","-",VLOOKUP($A113,[5]Controle!$A$6:$BO$25,H$94,FALSE))</f>
        <v>-</v>
      </c>
      <c r="I113" s="53" t="str">
        <f>IF($A113="-","-",VLOOKUP($A113,[5]Controle!$A$6:$BO$25,I$94,FALSE))</f>
        <v>-</v>
      </c>
      <c r="J113" s="53" t="str">
        <f>IF($A113="-","-",VLOOKUP($A113,[5]Controle!$A$6:$BO$25,J$94,FALSE))</f>
        <v>-</v>
      </c>
      <c r="K113" s="53" t="str">
        <f>IF($A113="-","-",VLOOKUP($A113,[5]Controle!$A$6:$BO$25,K$94,FALSE))</f>
        <v>-</v>
      </c>
      <c r="L113" s="53" t="str">
        <f>IF($A113="-","-",VLOOKUP($A113,[5]Controle!$A$6:$BO$25,L$94,FALSE))</f>
        <v>-</v>
      </c>
      <c r="M113" s="53" t="str">
        <f>IF($A113="-","-",VLOOKUP($A113,[5]Controle!$A$6:$BO$25,M$94,FALSE))</f>
        <v>-</v>
      </c>
      <c r="N113" s="53" t="str">
        <f>IF($A113="-","-",VLOOKUP($A113,[5]Controle!$A$6:$BO$25,N$94,FALSE))</f>
        <v>-</v>
      </c>
      <c r="O113" s="53" t="str">
        <f>IF($A113="-","-",VLOOKUP($A113,[5]Controle!$A$6:$BO$25,O$94,FALSE))</f>
        <v>-</v>
      </c>
      <c r="P113" s="53" t="str">
        <f>IF($A113="-","-",VLOOKUP($A113,[5]Controle!$A$6:$BO$25,P$94,FALSE))</f>
        <v>-</v>
      </c>
      <c r="Q113" s="53" t="str">
        <f>IF($A113="-","-",VLOOKUP($A113,[5]Controle!$A$6:$BO$25,Q$94,FALSE))</f>
        <v>-</v>
      </c>
      <c r="R113" s="53" t="str">
        <f>IF($A113="-","-",VLOOKUP($A113,[5]Controle!$A$6:$BO$25,R$94,FALSE))</f>
        <v>-</v>
      </c>
      <c r="S113" s="53" t="str">
        <f>IF($A113="-","-",VLOOKUP($A113,[5]Controle!$A$6:$BO$25,S$94,FALSE))</f>
        <v>-</v>
      </c>
      <c r="T113" s="53" t="str">
        <f>IF($A113="-","-",VLOOKUP($A113,[5]Controle!$A$6:$BO$25,T$94,FALSE))</f>
        <v>-</v>
      </c>
      <c r="U113" s="53" t="str">
        <f>IF($A113="-","-",VLOOKUP($A113,[5]Controle!$A$6:$BO$25,U$94,FALSE))</f>
        <v>-</v>
      </c>
      <c r="V113" s="53" t="str">
        <f>IF($A113="-","-",VLOOKUP($A113,[5]Controle!$A$6:$BO$25,V$94,FALSE))</f>
        <v>-</v>
      </c>
      <c r="W113" s="53" t="str">
        <f>IF($A113="-","-",VLOOKUP($A113,[5]Controle!$A$6:$BO$25,W$94,FALSE))</f>
        <v>-</v>
      </c>
      <c r="X113" s="53" t="str">
        <f>IF($A113="-","-",VLOOKUP($A113,[5]Controle!$A$6:$BO$25,X$94,FALSE))</f>
        <v>-</v>
      </c>
      <c r="Y113" s="53" t="str">
        <f>IF($A113="-","-",VLOOKUP($A113,[5]Controle!$A$6:$BO$25,Y$94,FALSE))</f>
        <v>-</v>
      </c>
      <c r="Z113" s="53" t="str">
        <f>IF($A113="-","-",VLOOKUP($A113,[5]Controle!$A$6:$BO$25,Z$94,FALSE))</f>
        <v>-</v>
      </c>
      <c r="AA113" s="53" t="str">
        <f>IF($A113="-","-",VLOOKUP($A113,[5]Controle!$A$6:$BO$25,AA$94,FALSE))</f>
        <v>-</v>
      </c>
      <c r="AB113" s="53" t="str">
        <f>IF($A113="-","-",VLOOKUP($A113,[5]Controle!$A$6:$BO$25,AB$94,FALSE))</f>
        <v>-</v>
      </c>
      <c r="AC113" s="53" t="str">
        <f>IF($A113="-","-",VLOOKUP($A113,[5]Controle!$A$6:$BO$25,AC$94,FALSE))</f>
        <v>-</v>
      </c>
      <c r="AD113" s="53" t="str">
        <f>IF($A113="-","-",VLOOKUP($A113,[5]Controle!$A$6:$BO$25,AD$94,FALSE))</f>
        <v>-</v>
      </c>
      <c r="AE113" s="53" t="str">
        <f>IF($A113="-","-",VLOOKUP($A113,[5]Controle!$A$6:$BO$25,AE$94,FALSE))</f>
        <v>-</v>
      </c>
      <c r="AF113" s="53" t="str">
        <f>IF($A113="-","-",VLOOKUP($A113,[5]Controle!$A$6:$BO$25,AF$94,FALSE))</f>
        <v>-</v>
      </c>
      <c r="AG113" s="53" t="str">
        <f>IF($A113="-","-",VLOOKUP($A113,[5]Controle!$A$6:$BO$25,AG$94,FALSE))</f>
        <v>-</v>
      </c>
      <c r="AH113" s="53" t="str">
        <f>IF($A113="-","-",VLOOKUP($A113,[5]Controle!$A$6:$BO$25,AH$94,FALSE))</f>
        <v>-</v>
      </c>
      <c r="AI113" s="53" t="str">
        <f>IF($A113="-","-",VLOOKUP($A113,[5]Controle!$A$6:$BO$25,AI$94,FALSE))</f>
        <v>-</v>
      </c>
      <c r="AJ113" s="53" t="str">
        <f>IF($A113="-","-",VLOOKUP($A113,[5]Controle!$A$6:$BO$25,AJ$94,FALSE))</f>
        <v>-</v>
      </c>
      <c r="AK113" s="53" t="str">
        <f>IF($A113="-","-",VLOOKUP($A113,[5]Controle!$A$6:$BO$25,AK$94,FALSE))</f>
        <v>-</v>
      </c>
      <c r="AL113" s="53" t="str">
        <f>IF($A113="-","-",VLOOKUP($A113,[5]Controle!$A$6:$BO$25,AL$94,FALSE))</f>
        <v>-</v>
      </c>
      <c r="AM113" s="53" t="str">
        <f>IF($A113="-","-",VLOOKUP($A113,[5]Controle!$A$6:$BO$25,AM$94,FALSE))</f>
        <v>-</v>
      </c>
      <c r="AN113" s="53" t="str">
        <f>IF($A113="-","-",VLOOKUP($A113,[5]Controle!$A$6:$BO$25,AN$94,FALSE))</f>
        <v>-</v>
      </c>
      <c r="AO113" s="53" t="str">
        <f>IF($A113="-","-",VLOOKUP($A113,[5]Controle!$A$6:$BO$25,AO$94,FALSE))</f>
        <v>-</v>
      </c>
      <c r="AP113" s="53" t="str">
        <f>IF($A113="-","-",VLOOKUP($A113,[5]Controle!$A$6:$BO$25,AP$94,FALSE))</f>
        <v>-</v>
      </c>
      <c r="AQ113" s="53" t="str">
        <f>IF($A113="-","-",VLOOKUP($A113,[5]Controle!$A$6:$BO$25,AQ$94,FALSE))</f>
        <v>-</v>
      </c>
      <c r="AR113" s="53" t="str">
        <f>IF($A113="-","-",VLOOKUP($A113,[5]Controle!$A$6:$BO$25,AR$94,FALSE))</f>
        <v>-</v>
      </c>
      <c r="AS113" s="53" t="str">
        <f>IF($A113="-","-",VLOOKUP($A113,[5]Controle!$A$6:$BO$25,AS$94,FALSE))</f>
        <v>-</v>
      </c>
      <c r="AT113" s="53" t="str">
        <f>IF($A113="-","-",VLOOKUP($A113,[5]Controle!$A$6:$BO$25,AT$94,FALSE))</f>
        <v>-</v>
      </c>
      <c r="AU113" s="53" t="str">
        <f>IF($A113="-","-",VLOOKUP($A113,[5]Controle!$A$6:$BO$25,AU$94,FALSE))</f>
        <v>-</v>
      </c>
      <c r="AV113" s="53" t="str">
        <f>IF($A113="-","-",VLOOKUP($A113,[5]Controle!$A$6:$BO$25,AV$94,FALSE))</f>
        <v>-</v>
      </c>
      <c r="AW113" s="53" t="str">
        <f>IF($A113="-","-",VLOOKUP($A113,[5]Controle!$A$6:$BO$25,AW$94,FALSE))</f>
        <v>-</v>
      </c>
      <c r="AX113" s="53" t="str">
        <f>IF($A113="-","-",VLOOKUP($A113,[5]Controle!$A$6:$BO$25,AX$94,FALSE))</f>
        <v>-</v>
      </c>
      <c r="AY113" s="53" t="str">
        <f>IF($A113="-","-",VLOOKUP($A113,[5]Controle!$A$6:$BO$25,AY$94,FALSE))</f>
        <v>-</v>
      </c>
      <c r="AZ113" s="53" t="str">
        <f>IF($A113="-","-",VLOOKUP($A113,[5]Controle!$A$6:$BO$25,AZ$94,FALSE))</f>
        <v>-</v>
      </c>
      <c r="BA113" s="53" t="str">
        <f>IF($A113="-","-",VLOOKUP($A113,[5]Controle!$A$6:$BO$25,BA$94,FALSE))</f>
        <v>-</v>
      </c>
      <c r="BB113" s="53" t="str">
        <f>IF($A113="-","-",VLOOKUP($A113,[5]Controle!$A$6:$BO$25,BB$94,FALSE))</f>
        <v>-</v>
      </c>
      <c r="BC113" s="53" t="str">
        <f>IF($A113="-","-",VLOOKUP($A113,[5]Controle!$A$6:$BO$25,BC$94,FALSE))</f>
        <v>-</v>
      </c>
      <c r="BD113" s="53" t="str">
        <f>IF($A113="-","-",VLOOKUP($A113,[5]Controle!$A$6:$BO$25,BD$94,FALSE))</f>
        <v>-</v>
      </c>
      <c r="BE113" s="53" t="str">
        <f>IF($A113="-","-",VLOOKUP($A113,[5]Controle!$A$6:$BO$25,BE$94,FALSE))</f>
        <v>-</v>
      </c>
      <c r="BF113" s="53" t="str">
        <f>IF($A113="-","-",VLOOKUP($A113,[5]Controle!$A$6:$BO$25,BF$94,FALSE))</f>
        <v>-</v>
      </c>
      <c r="BG113" s="53" t="str">
        <f>IF($A113="-","-",VLOOKUP($A113,[5]Controle!$A$6:$BO$25,BG$94,FALSE))</f>
        <v>-</v>
      </c>
      <c r="BH113" s="53" t="str">
        <f>IF($A113="-","-",VLOOKUP($A113,[5]Controle!$A$6:$BO$25,BH$94,FALSE))</f>
        <v>-</v>
      </c>
      <c r="BI113" s="53" t="str">
        <f>IF($A113="-","-",VLOOKUP($A113,[5]Controle!$A$6:$BO$25,BI$94,FALSE))</f>
        <v>-</v>
      </c>
      <c r="BJ113" s="53" t="str">
        <f>IF($A113="-","-",VLOOKUP($A113,[5]Controle!$A$6:$BO$25,BJ$94,FALSE))</f>
        <v>-</v>
      </c>
      <c r="BK113" s="53" t="str">
        <f>IF($A113="-","-",VLOOKUP($A113,[5]Controle!$A$6:$BO$25,BK$94,FALSE))</f>
        <v>-</v>
      </c>
      <c r="BL113" s="53" t="str">
        <f>IF($A113="-","-",VLOOKUP($A113,[5]Controle!$A$6:$BO$25,BL$94,FALSE))</f>
        <v>-</v>
      </c>
      <c r="BM113" s="53" t="str">
        <f>IF($A113="-","-",VLOOKUP($A113,[5]Controle!$A$6:$BO$25,BM$94,FALSE))</f>
        <v>-</v>
      </c>
      <c r="BN113" s="53" t="str">
        <f>IF($A113="-","-",VLOOKUP($A113,[5]Controle!$A$6:$BO$25,BN$94,FALSE))</f>
        <v>-</v>
      </c>
      <c r="BO113" s="53" t="str">
        <f>IF($A113="-","-",VLOOKUP($A113,[5]Controle!$A$6:$BO$25,BO$94,FALSE))</f>
        <v>-</v>
      </c>
      <c r="BP113" s="53" t="str">
        <f>IF($A113="-","-",VLOOKUP($A113,[5]Controle!$A$6:$BY$25,BP$94,FALSE))</f>
        <v>-</v>
      </c>
      <c r="BQ113" s="53" t="str">
        <f>IF($A113="-","-",VLOOKUP($A113,[5]Controle!$A$6:$BY$25,BQ$94,FALSE))</f>
        <v>-</v>
      </c>
      <c r="BR113" s="53" t="str">
        <f>IF($A113="-","-",VLOOKUP($A113,[5]Controle!$A$6:$BY$25,BR$94,FALSE))</f>
        <v>-</v>
      </c>
      <c r="BS113" s="53" t="str">
        <f>IF($A113="-","-",VLOOKUP($A113,[5]Controle!$A$6:$BY$25,BS$94,FALSE))</f>
        <v>-</v>
      </c>
      <c r="BT113" s="53" t="str">
        <f>IF($A113="-","-",VLOOKUP($A113,[5]Controle!$A$6:$BY$25,BT$94,FALSE))</f>
        <v>-</v>
      </c>
      <c r="BU113" s="53" t="str">
        <f>IF($A113="-","-",VLOOKUP($A113,[5]Controle!$A$6:$BY$25,BU$94,FALSE))</f>
        <v>-</v>
      </c>
      <c r="BV113" s="53" t="str">
        <f>IF($A113="-","-",VLOOKUP($A113,[5]Controle!$A$6:$BY$25,BV$94,FALSE))</f>
        <v>-</v>
      </c>
      <c r="BW113" s="53" t="str">
        <f>IF($A113="-","-",VLOOKUP($A113,[5]Controle!$A$6:$BY$25,BW$94,FALSE))</f>
        <v>-</v>
      </c>
      <c r="BX113" s="53" t="str">
        <f>IF($A113="-","-",VLOOKUP($A113,[5]Controle!$A$6:$BY$25,BX$94,FALSE))</f>
        <v>-</v>
      </c>
      <c r="BY113" s="53" t="str">
        <f>IF($A113="-","-",VLOOKUP($A113,[5]Controle!$A$6:$BY$25,BY$94,FALSE))</f>
        <v>-</v>
      </c>
      <c r="BZ113" s="53" t="str">
        <f>IF($A113="-","-",VLOOKUP($A113,[5]Controle!$A$6:$CI$25,BZ$94,FALSE))</f>
        <v>-</v>
      </c>
      <c r="CA113" s="53" t="str">
        <f>IF($A113="-","-",VLOOKUP($A113,[5]Controle!$A$6:$CI$25,CA$94,FALSE))</f>
        <v>-</v>
      </c>
      <c r="CB113" s="53" t="str">
        <f>IF($A113="-","-",VLOOKUP($A113,[5]Controle!$A$6:$CI$25,CB$94,FALSE))</f>
        <v>-</v>
      </c>
      <c r="CC113" s="53" t="str">
        <f>IF($A113="-","-",VLOOKUP($A113,[5]Controle!$A$6:$CI$25,CC$94,FALSE))</f>
        <v>-</v>
      </c>
      <c r="CD113" s="53" t="str">
        <f>IF($A113="-","-",VLOOKUP($A113,[5]Controle!$A$6:$CI$25,CD$94,FALSE))</f>
        <v>-</v>
      </c>
      <c r="CE113" s="53" t="str">
        <f>IF($A113="-","-",VLOOKUP($A113,[5]Controle!$A$6:$CI$25,CE$94,FALSE))</f>
        <v>-</v>
      </c>
      <c r="CF113" s="53" t="str">
        <f>IF($A113="-","-",VLOOKUP($A113,[5]Controle!$A$6:$CI$25,CF$94,FALSE))</f>
        <v>-</v>
      </c>
      <c r="CG113" s="53" t="str">
        <f>IF($A113="-","-",VLOOKUP($A113,[5]Controle!$A$6:$CI$25,CG$94,FALSE))</f>
        <v>-</v>
      </c>
      <c r="CH113" s="53" t="str">
        <f>IF($A113="-","-",VLOOKUP($A113,[5]Controle!$A$6:$CI$25,CH$94,FALSE))</f>
        <v>-</v>
      </c>
      <c r="CI113" s="53" t="str">
        <f>IF($A113="-","-",VLOOKUP($A113,[5]Controle!$A$6:$CI$25,CI$94,FALSE))</f>
        <v>-</v>
      </c>
      <c r="CT113" s="41">
        <f>IF(CV113="-",0,MAX($CT$97:CT112)+1)</f>
        <v>0</v>
      </c>
      <c r="CU113" s="53" t="str">
        <f t="shared" si="52"/>
        <v>-</v>
      </c>
      <c r="CV113" s="53" t="str">
        <f t="shared" si="44"/>
        <v>-</v>
      </c>
      <c r="CW113" s="53" t="str">
        <f t="shared" si="53"/>
        <v>-</v>
      </c>
      <c r="CX113" s="41">
        <f t="shared" si="48"/>
        <v>17</v>
      </c>
      <c r="CY113" s="41" t="str">
        <f t="shared" si="54"/>
        <v>-</v>
      </c>
    </row>
    <row r="114" spans="1:103" x14ac:dyDescent="0.3">
      <c r="A114" s="56" t="s">
        <v>54</v>
      </c>
      <c r="B114" s="53" t="str">
        <f>IF($A114="-","-",VLOOKUP($A114,[5]Controle!$A$6:$BO$25,B$94,FALSE))</f>
        <v>-</v>
      </c>
      <c r="C114" s="53" t="str">
        <f>IF($A114="-","-",VLOOKUP($A114,[5]Controle!$A$6:$BO$25,C$94,FALSE))</f>
        <v>-</v>
      </c>
      <c r="D114" s="53" t="str">
        <f>IF($A114="-","-",VLOOKUP($A114,[5]Controle!$A$6:$BO$25,D$94,FALSE))</f>
        <v>-</v>
      </c>
      <c r="E114" s="53" t="str">
        <f>IF($A114="-","-",VLOOKUP($A114,[5]Controle!$A$6:$BO$25,E$94,FALSE))</f>
        <v>-</v>
      </c>
      <c r="F114" s="53" t="str">
        <f>IF($A114="-","-",VLOOKUP($A114,[5]Controle!$A$6:$BO$25,F$94,FALSE))</f>
        <v>-</v>
      </c>
      <c r="G114" s="54" t="str">
        <f>IF($A114="-","-",VLOOKUP($A114,[5]Controle!$A$6:$BO$25,G$94,FALSE))</f>
        <v>-</v>
      </c>
      <c r="H114" s="55" t="str">
        <f>IF($A114="-","-",VLOOKUP($A114,[5]Controle!$A$6:$BO$25,H$94,FALSE))</f>
        <v>-</v>
      </c>
      <c r="I114" s="53" t="str">
        <f>IF($A114="-","-",VLOOKUP($A114,[5]Controle!$A$6:$BO$25,I$94,FALSE))</f>
        <v>-</v>
      </c>
      <c r="J114" s="53" t="str">
        <f>IF($A114="-","-",VLOOKUP($A114,[5]Controle!$A$6:$BO$25,J$94,FALSE))</f>
        <v>-</v>
      </c>
      <c r="K114" s="53" t="str">
        <f>IF($A114="-","-",VLOOKUP($A114,[5]Controle!$A$6:$BO$25,K$94,FALSE))</f>
        <v>-</v>
      </c>
      <c r="L114" s="53" t="str">
        <f>IF($A114="-","-",VLOOKUP($A114,[5]Controle!$A$6:$BO$25,L$94,FALSE))</f>
        <v>-</v>
      </c>
      <c r="M114" s="53" t="str">
        <f>IF($A114="-","-",VLOOKUP($A114,[5]Controle!$A$6:$BO$25,M$94,FALSE))</f>
        <v>-</v>
      </c>
      <c r="N114" s="53" t="str">
        <f>IF($A114="-","-",VLOOKUP($A114,[5]Controle!$A$6:$BO$25,N$94,FALSE))</f>
        <v>-</v>
      </c>
      <c r="O114" s="53" t="str">
        <f>IF($A114="-","-",VLOOKUP($A114,[5]Controle!$A$6:$BO$25,O$94,FALSE))</f>
        <v>-</v>
      </c>
      <c r="P114" s="53" t="str">
        <f>IF($A114="-","-",VLOOKUP($A114,[5]Controle!$A$6:$BO$25,P$94,FALSE))</f>
        <v>-</v>
      </c>
      <c r="Q114" s="53" t="str">
        <f>IF($A114="-","-",VLOOKUP($A114,[5]Controle!$A$6:$BO$25,Q$94,FALSE))</f>
        <v>-</v>
      </c>
      <c r="R114" s="53" t="str">
        <f>IF($A114="-","-",VLOOKUP($A114,[5]Controle!$A$6:$BO$25,R$94,FALSE))</f>
        <v>-</v>
      </c>
      <c r="S114" s="53" t="str">
        <f>IF($A114="-","-",VLOOKUP($A114,[5]Controle!$A$6:$BO$25,S$94,FALSE))</f>
        <v>-</v>
      </c>
      <c r="T114" s="53" t="str">
        <f>IF($A114="-","-",VLOOKUP($A114,[5]Controle!$A$6:$BO$25,T$94,FALSE))</f>
        <v>-</v>
      </c>
      <c r="U114" s="53" t="str">
        <f>IF($A114="-","-",VLOOKUP($A114,[5]Controle!$A$6:$BO$25,U$94,FALSE))</f>
        <v>-</v>
      </c>
      <c r="V114" s="53" t="str">
        <f>IF($A114="-","-",VLOOKUP($A114,[5]Controle!$A$6:$BO$25,V$94,FALSE))</f>
        <v>-</v>
      </c>
      <c r="W114" s="53" t="str">
        <f>IF($A114="-","-",VLOOKUP($A114,[5]Controle!$A$6:$BO$25,W$94,FALSE))</f>
        <v>-</v>
      </c>
      <c r="X114" s="53" t="str">
        <f>IF($A114="-","-",VLOOKUP($A114,[5]Controle!$A$6:$BO$25,X$94,FALSE))</f>
        <v>-</v>
      </c>
      <c r="Y114" s="53" t="str">
        <f>IF($A114="-","-",VLOOKUP($A114,[5]Controle!$A$6:$BO$25,Y$94,FALSE))</f>
        <v>-</v>
      </c>
      <c r="Z114" s="53" t="str">
        <f>IF($A114="-","-",VLOOKUP($A114,[5]Controle!$A$6:$BO$25,Z$94,FALSE))</f>
        <v>-</v>
      </c>
      <c r="AA114" s="53" t="str">
        <f>IF($A114="-","-",VLOOKUP($A114,[5]Controle!$A$6:$BO$25,AA$94,FALSE))</f>
        <v>-</v>
      </c>
      <c r="AB114" s="53" t="str">
        <f>IF($A114="-","-",VLOOKUP($A114,[5]Controle!$A$6:$BO$25,AB$94,FALSE))</f>
        <v>-</v>
      </c>
      <c r="AC114" s="53" t="str">
        <f>IF($A114="-","-",VLOOKUP($A114,[5]Controle!$A$6:$BO$25,AC$94,FALSE))</f>
        <v>-</v>
      </c>
      <c r="AD114" s="53" t="str">
        <f>IF($A114="-","-",VLOOKUP($A114,[5]Controle!$A$6:$BO$25,AD$94,FALSE))</f>
        <v>-</v>
      </c>
      <c r="AE114" s="53" t="str">
        <f>IF($A114="-","-",VLOOKUP($A114,[5]Controle!$A$6:$BO$25,AE$94,FALSE))</f>
        <v>-</v>
      </c>
      <c r="AF114" s="53" t="str">
        <f>IF($A114="-","-",VLOOKUP($A114,[5]Controle!$A$6:$BO$25,AF$94,FALSE))</f>
        <v>-</v>
      </c>
      <c r="AG114" s="53" t="str">
        <f>IF($A114="-","-",VLOOKUP($A114,[5]Controle!$A$6:$BO$25,AG$94,FALSE))</f>
        <v>-</v>
      </c>
      <c r="AH114" s="53" t="str">
        <f>IF($A114="-","-",VLOOKUP($A114,[5]Controle!$A$6:$BO$25,AH$94,FALSE))</f>
        <v>-</v>
      </c>
      <c r="AI114" s="53" t="str">
        <f>IF($A114="-","-",VLOOKUP($A114,[5]Controle!$A$6:$BO$25,AI$94,FALSE))</f>
        <v>-</v>
      </c>
      <c r="AJ114" s="53" t="str">
        <f>IF($A114="-","-",VLOOKUP($A114,[5]Controle!$A$6:$BO$25,AJ$94,FALSE))</f>
        <v>-</v>
      </c>
      <c r="AK114" s="53" t="str">
        <f>IF($A114="-","-",VLOOKUP($A114,[5]Controle!$A$6:$BO$25,AK$94,FALSE))</f>
        <v>-</v>
      </c>
      <c r="AL114" s="53" t="str">
        <f>IF($A114="-","-",VLOOKUP($A114,[5]Controle!$A$6:$BO$25,AL$94,FALSE))</f>
        <v>-</v>
      </c>
      <c r="AM114" s="53" t="str">
        <f>IF($A114="-","-",VLOOKUP($A114,[5]Controle!$A$6:$BO$25,AM$94,FALSE))</f>
        <v>-</v>
      </c>
      <c r="AN114" s="53" t="str">
        <f>IF($A114="-","-",VLOOKUP($A114,[5]Controle!$A$6:$BO$25,AN$94,FALSE))</f>
        <v>-</v>
      </c>
      <c r="AO114" s="53" t="str">
        <f>IF($A114="-","-",VLOOKUP($A114,[5]Controle!$A$6:$BO$25,AO$94,FALSE))</f>
        <v>-</v>
      </c>
      <c r="AP114" s="53" t="str">
        <f>IF($A114="-","-",VLOOKUP($A114,[5]Controle!$A$6:$BO$25,AP$94,FALSE))</f>
        <v>-</v>
      </c>
      <c r="AQ114" s="53" t="str">
        <f>IF($A114="-","-",VLOOKUP($A114,[5]Controle!$A$6:$BO$25,AQ$94,FALSE))</f>
        <v>-</v>
      </c>
      <c r="AR114" s="53" t="str">
        <f>IF($A114="-","-",VLOOKUP($A114,[5]Controle!$A$6:$BO$25,AR$94,FALSE))</f>
        <v>-</v>
      </c>
      <c r="AS114" s="53" t="str">
        <f>IF($A114="-","-",VLOOKUP($A114,[5]Controle!$A$6:$BO$25,AS$94,FALSE))</f>
        <v>-</v>
      </c>
      <c r="AT114" s="53" t="str">
        <f>IF($A114="-","-",VLOOKUP($A114,[5]Controle!$A$6:$BO$25,AT$94,FALSE))</f>
        <v>-</v>
      </c>
      <c r="AU114" s="53" t="str">
        <f>IF($A114="-","-",VLOOKUP($A114,[5]Controle!$A$6:$BO$25,AU$94,FALSE))</f>
        <v>-</v>
      </c>
      <c r="AV114" s="53" t="str">
        <f>IF($A114="-","-",VLOOKUP($A114,[5]Controle!$A$6:$BO$25,AV$94,FALSE))</f>
        <v>-</v>
      </c>
      <c r="AW114" s="53" t="str">
        <f>IF($A114="-","-",VLOOKUP($A114,[5]Controle!$A$6:$BO$25,AW$94,FALSE))</f>
        <v>-</v>
      </c>
      <c r="AX114" s="53" t="str">
        <f>IF($A114="-","-",VLOOKUP($A114,[5]Controle!$A$6:$BO$25,AX$94,FALSE))</f>
        <v>-</v>
      </c>
      <c r="AY114" s="53" t="str">
        <f>IF($A114="-","-",VLOOKUP($A114,[5]Controle!$A$6:$BO$25,AY$94,FALSE))</f>
        <v>-</v>
      </c>
      <c r="AZ114" s="53" t="str">
        <f>IF($A114="-","-",VLOOKUP($A114,[5]Controle!$A$6:$BO$25,AZ$94,FALSE))</f>
        <v>-</v>
      </c>
      <c r="BA114" s="53" t="str">
        <f>IF($A114="-","-",VLOOKUP($A114,[5]Controle!$A$6:$BO$25,BA$94,FALSE))</f>
        <v>-</v>
      </c>
      <c r="BB114" s="53" t="str">
        <f>IF($A114="-","-",VLOOKUP($A114,[5]Controle!$A$6:$BO$25,BB$94,FALSE))</f>
        <v>-</v>
      </c>
      <c r="BC114" s="53" t="str">
        <f>IF($A114="-","-",VLOOKUP($A114,[5]Controle!$A$6:$BO$25,BC$94,FALSE))</f>
        <v>-</v>
      </c>
      <c r="BD114" s="53" t="str">
        <f>IF($A114="-","-",VLOOKUP($A114,[5]Controle!$A$6:$BO$25,BD$94,FALSE))</f>
        <v>-</v>
      </c>
      <c r="BE114" s="53" t="str">
        <f>IF($A114="-","-",VLOOKUP($A114,[5]Controle!$A$6:$BO$25,BE$94,FALSE))</f>
        <v>-</v>
      </c>
      <c r="BF114" s="53" t="str">
        <f>IF($A114="-","-",VLOOKUP($A114,[5]Controle!$A$6:$BO$25,BF$94,FALSE))</f>
        <v>-</v>
      </c>
      <c r="BG114" s="53" t="str">
        <f>IF($A114="-","-",VLOOKUP($A114,[5]Controle!$A$6:$BO$25,BG$94,FALSE))</f>
        <v>-</v>
      </c>
      <c r="BH114" s="53" t="str">
        <f>IF($A114="-","-",VLOOKUP($A114,[5]Controle!$A$6:$BO$25,BH$94,FALSE))</f>
        <v>-</v>
      </c>
      <c r="BI114" s="53" t="str">
        <f>IF($A114="-","-",VLOOKUP($A114,[5]Controle!$A$6:$BO$25,BI$94,FALSE))</f>
        <v>-</v>
      </c>
      <c r="BJ114" s="53" t="str">
        <f>IF($A114="-","-",VLOOKUP($A114,[5]Controle!$A$6:$BO$25,BJ$94,FALSE))</f>
        <v>-</v>
      </c>
      <c r="BK114" s="53" t="str">
        <f>IF($A114="-","-",VLOOKUP($A114,[5]Controle!$A$6:$BO$25,BK$94,FALSE))</f>
        <v>-</v>
      </c>
      <c r="BL114" s="53" t="str">
        <f>IF($A114="-","-",VLOOKUP($A114,[5]Controle!$A$6:$BO$25,BL$94,FALSE))</f>
        <v>-</v>
      </c>
      <c r="BM114" s="53" t="str">
        <f>IF($A114="-","-",VLOOKUP($A114,[5]Controle!$A$6:$BO$25,BM$94,FALSE))</f>
        <v>-</v>
      </c>
      <c r="BN114" s="53" t="str">
        <f>IF($A114="-","-",VLOOKUP($A114,[5]Controle!$A$6:$BO$25,BN$94,FALSE))</f>
        <v>-</v>
      </c>
      <c r="BO114" s="53" t="str">
        <f>IF($A114="-","-",VLOOKUP($A114,[5]Controle!$A$6:$BO$25,BO$94,FALSE))</f>
        <v>-</v>
      </c>
      <c r="BP114" s="53" t="str">
        <f>IF($A114="-","-",VLOOKUP($A114,[5]Controle!$A$6:$BY$25,BP$94,FALSE))</f>
        <v>-</v>
      </c>
      <c r="BQ114" s="53" t="str">
        <f>IF($A114="-","-",VLOOKUP($A114,[5]Controle!$A$6:$BY$25,BQ$94,FALSE))</f>
        <v>-</v>
      </c>
      <c r="BR114" s="53" t="str">
        <f>IF($A114="-","-",VLOOKUP($A114,[5]Controle!$A$6:$BY$25,BR$94,FALSE))</f>
        <v>-</v>
      </c>
      <c r="BS114" s="53" t="str">
        <f>IF($A114="-","-",VLOOKUP($A114,[5]Controle!$A$6:$BY$25,BS$94,FALSE))</f>
        <v>-</v>
      </c>
      <c r="BT114" s="53" t="str">
        <f>IF($A114="-","-",VLOOKUP($A114,[5]Controle!$A$6:$BY$25,BT$94,FALSE))</f>
        <v>-</v>
      </c>
      <c r="BU114" s="53" t="str">
        <f>IF($A114="-","-",VLOOKUP($A114,[5]Controle!$A$6:$BY$25,BU$94,FALSE))</f>
        <v>-</v>
      </c>
      <c r="BV114" s="53" t="str">
        <f>IF($A114="-","-",VLOOKUP($A114,[5]Controle!$A$6:$BY$25,BV$94,FALSE))</f>
        <v>-</v>
      </c>
      <c r="BW114" s="53" t="str">
        <f>IF($A114="-","-",VLOOKUP($A114,[5]Controle!$A$6:$BY$25,BW$94,FALSE))</f>
        <v>-</v>
      </c>
      <c r="BX114" s="53" t="str">
        <f>IF($A114="-","-",VLOOKUP($A114,[5]Controle!$A$6:$BY$25,BX$94,FALSE))</f>
        <v>-</v>
      </c>
      <c r="BY114" s="53" t="str">
        <f>IF($A114="-","-",VLOOKUP($A114,[5]Controle!$A$6:$BY$25,BY$94,FALSE))</f>
        <v>-</v>
      </c>
      <c r="BZ114" s="53" t="str">
        <f>IF($A114="-","-",VLOOKUP($A114,[5]Controle!$A$6:$CI$25,BZ$94,FALSE))</f>
        <v>-</v>
      </c>
      <c r="CA114" s="53" t="str">
        <f>IF($A114="-","-",VLOOKUP($A114,[5]Controle!$A$6:$CI$25,CA$94,FALSE))</f>
        <v>-</v>
      </c>
      <c r="CB114" s="53" t="str">
        <f>IF($A114="-","-",VLOOKUP($A114,[5]Controle!$A$6:$CI$25,CB$94,FALSE))</f>
        <v>-</v>
      </c>
      <c r="CC114" s="53" t="str">
        <f>IF($A114="-","-",VLOOKUP($A114,[5]Controle!$A$6:$CI$25,CC$94,FALSE))</f>
        <v>-</v>
      </c>
      <c r="CD114" s="53" t="str">
        <f>IF($A114="-","-",VLOOKUP($A114,[5]Controle!$A$6:$CI$25,CD$94,FALSE))</f>
        <v>-</v>
      </c>
      <c r="CE114" s="53" t="str">
        <f>IF($A114="-","-",VLOOKUP($A114,[5]Controle!$A$6:$CI$25,CE$94,FALSE))</f>
        <v>-</v>
      </c>
      <c r="CF114" s="53" t="str">
        <f>IF($A114="-","-",VLOOKUP($A114,[5]Controle!$A$6:$CI$25,CF$94,FALSE))</f>
        <v>-</v>
      </c>
      <c r="CG114" s="53" t="str">
        <f>IF($A114="-","-",VLOOKUP($A114,[5]Controle!$A$6:$CI$25,CG$94,FALSE))</f>
        <v>-</v>
      </c>
      <c r="CH114" s="53" t="str">
        <f>IF($A114="-","-",VLOOKUP($A114,[5]Controle!$A$6:$CI$25,CH$94,FALSE))</f>
        <v>-</v>
      </c>
      <c r="CI114" s="53" t="str">
        <f>IF($A114="-","-",VLOOKUP($A114,[5]Controle!$A$6:$CI$25,CI$94,FALSE))</f>
        <v>-</v>
      </c>
      <c r="CT114" s="41">
        <f>IF(CV114="-",0,MAX($CT$97:CT113)+1)</f>
        <v>0</v>
      </c>
      <c r="CU114" s="53" t="str">
        <f t="shared" si="52"/>
        <v>-</v>
      </c>
      <c r="CV114" s="53" t="str">
        <f t="shared" si="44"/>
        <v>-</v>
      </c>
      <c r="CW114" s="53" t="str">
        <f t="shared" si="53"/>
        <v>-</v>
      </c>
      <c r="CX114" s="41">
        <f t="shared" si="48"/>
        <v>18</v>
      </c>
      <c r="CY114" s="41" t="str">
        <f t="shared" si="54"/>
        <v>-</v>
      </c>
    </row>
    <row r="115" spans="1:103" x14ac:dyDescent="0.3">
      <c r="A115" s="56" t="s">
        <v>54</v>
      </c>
      <c r="B115" s="53" t="str">
        <f>IF($A115="-","-",VLOOKUP($A115,[5]Controle!$A$6:$BO$25,B$94,FALSE))</f>
        <v>-</v>
      </c>
      <c r="C115" s="53" t="str">
        <f>IF($A115="-","-",VLOOKUP($A115,[5]Controle!$A$6:$BO$25,C$94,FALSE))</f>
        <v>-</v>
      </c>
      <c r="D115" s="53" t="str">
        <f>IF($A115="-","-",VLOOKUP($A115,[5]Controle!$A$6:$BO$25,D$94,FALSE))</f>
        <v>-</v>
      </c>
      <c r="E115" s="53" t="str">
        <f>IF($A115="-","-",VLOOKUP($A115,[5]Controle!$A$6:$BO$25,E$94,FALSE))</f>
        <v>-</v>
      </c>
      <c r="F115" s="53" t="str">
        <f>IF($A115="-","-",VLOOKUP($A115,[5]Controle!$A$6:$BO$25,F$94,FALSE))</f>
        <v>-</v>
      </c>
      <c r="G115" s="54" t="str">
        <f>IF($A115="-","-",VLOOKUP($A115,[5]Controle!$A$6:$BO$25,G$94,FALSE))</f>
        <v>-</v>
      </c>
      <c r="H115" s="55" t="str">
        <f>IF($A115="-","-",VLOOKUP($A115,[5]Controle!$A$6:$BO$25,H$94,FALSE))</f>
        <v>-</v>
      </c>
      <c r="I115" s="53" t="str">
        <f>IF($A115="-","-",VLOOKUP($A115,[5]Controle!$A$6:$BO$25,I$94,FALSE))</f>
        <v>-</v>
      </c>
      <c r="J115" s="53" t="str">
        <f>IF($A115="-","-",VLOOKUP($A115,[5]Controle!$A$6:$BO$25,J$94,FALSE))</f>
        <v>-</v>
      </c>
      <c r="K115" s="53" t="str">
        <f>IF($A115="-","-",VLOOKUP($A115,[5]Controle!$A$6:$BO$25,K$94,FALSE))</f>
        <v>-</v>
      </c>
      <c r="L115" s="53" t="str">
        <f>IF($A115="-","-",VLOOKUP($A115,[5]Controle!$A$6:$BO$25,L$94,FALSE))</f>
        <v>-</v>
      </c>
      <c r="M115" s="53" t="str">
        <f>IF($A115="-","-",VLOOKUP($A115,[5]Controle!$A$6:$BO$25,M$94,FALSE))</f>
        <v>-</v>
      </c>
      <c r="N115" s="53" t="str">
        <f>IF($A115="-","-",VLOOKUP($A115,[5]Controle!$A$6:$BO$25,N$94,FALSE))</f>
        <v>-</v>
      </c>
      <c r="O115" s="53" t="str">
        <f>IF($A115="-","-",VLOOKUP($A115,[5]Controle!$A$6:$BO$25,O$94,FALSE))</f>
        <v>-</v>
      </c>
      <c r="P115" s="53" t="str">
        <f>IF($A115="-","-",VLOOKUP($A115,[5]Controle!$A$6:$BO$25,P$94,FALSE))</f>
        <v>-</v>
      </c>
      <c r="Q115" s="53" t="str">
        <f>IF($A115="-","-",VLOOKUP($A115,[5]Controle!$A$6:$BO$25,Q$94,FALSE))</f>
        <v>-</v>
      </c>
      <c r="R115" s="53" t="str">
        <f>IF($A115="-","-",VLOOKUP($A115,[5]Controle!$A$6:$BO$25,R$94,FALSE))</f>
        <v>-</v>
      </c>
      <c r="S115" s="53" t="str">
        <f>IF($A115="-","-",VLOOKUP($A115,[5]Controle!$A$6:$BO$25,S$94,FALSE))</f>
        <v>-</v>
      </c>
      <c r="T115" s="53" t="str">
        <f>IF($A115="-","-",VLOOKUP($A115,[5]Controle!$A$6:$BO$25,T$94,FALSE))</f>
        <v>-</v>
      </c>
      <c r="U115" s="53" t="str">
        <f>IF($A115="-","-",VLOOKUP($A115,[5]Controle!$A$6:$BO$25,U$94,FALSE))</f>
        <v>-</v>
      </c>
      <c r="V115" s="53" t="str">
        <f>IF($A115="-","-",VLOOKUP($A115,[5]Controle!$A$6:$BO$25,V$94,FALSE))</f>
        <v>-</v>
      </c>
      <c r="W115" s="53" t="str">
        <f>IF($A115="-","-",VLOOKUP($A115,[5]Controle!$A$6:$BO$25,W$94,FALSE))</f>
        <v>-</v>
      </c>
      <c r="X115" s="53" t="str">
        <f>IF($A115="-","-",VLOOKUP($A115,[5]Controle!$A$6:$BO$25,X$94,FALSE))</f>
        <v>-</v>
      </c>
      <c r="Y115" s="53" t="str">
        <f>IF($A115="-","-",VLOOKUP($A115,[5]Controle!$A$6:$BO$25,Y$94,FALSE))</f>
        <v>-</v>
      </c>
      <c r="Z115" s="53" t="str">
        <f>IF($A115="-","-",VLOOKUP($A115,[5]Controle!$A$6:$BO$25,Z$94,FALSE))</f>
        <v>-</v>
      </c>
      <c r="AA115" s="53" t="str">
        <f>IF($A115="-","-",VLOOKUP($A115,[5]Controle!$A$6:$BO$25,AA$94,FALSE))</f>
        <v>-</v>
      </c>
      <c r="AB115" s="53" t="str">
        <f>IF($A115="-","-",VLOOKUP($A115,[5]Controle!$A$6:$BO$25,AB$94,FALSE))</f>
        <v>-</v>
      </c>
      <c r="AC115" s="53" t="str">
        <f>IF($A115="-","-",VLOOKUP($A115,[5]Controle!$A$6:$BO$25,AC$94,FALSE))</f>
        <v>-</v>
      </c>
      <c r="AD115" s="53" t="str">
        <f>IF($A115="-","-",VLOOKUP($A115,[5]Controle!$A$6:$BO$25,AD$94,FALSE))</f>
        <v>-</v>
      </c>
      <c r="AE115" s="53" t="str">
        <f>IF($A115="-","-",VLOOKUP($A115,[5]Controle!$A$6:$BO$25,AE$94,FALSE))</f>
        <v>-</v>
      </c>
      <c r="AF115" s="53" t="str">
        <f>IF($A115="-","-",VLOOKUP($A115,[5]Controle!$A$6:$BO$25,AF$94,FALSE))</f>
        <v>-</v>
      </c>
      <c r="AG115" s="53" t="str">
        <f>IF($A115="-","-",VLOOKUP($A115,[5]Controle!$A$6:$BO$25,AG$94,FALSE))</f>
        <v>-</v>
      </c>
      <c r="AH115" s="53" t="str">
        <f>IF($A115="-","-",VLOOKUP($A115,[5]Controle!$A$6:$BO$25,AH$94,FALSE))</f>
        <v>-</v>
      </c>
      <c r="AI115" s="53" t="str">
        <f>IF($A115="-","-",VLOOKUP($A115,[5]Controle!$A$6:$BO$25,AI$94,FALSE))</f>
        <v>-</v>
      </c>
      <c r="AJ115" s="53" t="str">
        <f>IF($A115="-","-",VLOOKUP($A115,[5]Controle!$A$6:$BO$25,AJ$94,FALSE))</f>
        <v>-</v>
      </c>
      <c r="AK115" s="53" t="str">
        <f>IF($A115="-","-",VLOOKUP($A115,[5]Controle!$A$6:$BO$25,AK$94,FALSE))</f>
        <v>-</v>
      </c>
      <c r="AL115" s="53" t="str">
        <f>IF($A115="-","-",VLOOKUP($A115,[5]Controle!$A$6:$BO$25,AL$94,FALSE))</f>
        <v>-</v>
      </c>
      <c r="AM115" s="53" t="str">
        <f>IF($A115="-","-",VLOOKUP($A115,[5]Controle!$A$6:$BO$25,AM$94,FALSE))</f>
        <v>-</v>
      </c>
      <c r="AN115" s="53" t="str">
        <f>IF($A115="-","-",VLOOKUP($A115,[5]Controle!$A$6:$BO$25,AN$94,FALSE))</f>
        <v>-</v>
      </c>
      <c r="AO115" s="53" t="str">
        <f>IF($A115="-","-",VLOOKUP($A115,[5]Controle!$A$6:$BO$25,AO$94,FALSE))</f>
        <v>-</v>
      </c>
      <c r="AP115" s="53" t="str">
        <f>IF($A115="-","-",VLOOKUP($A115,[5]Controle!$A$6:$BO$25,AP$94,FALSE))</f>
        <v>-</v>
      </c>
      <c r="AQ115" s="53" t="str">
        <f>IF($A115="-","-",VLOOKUP($A115,[5]Controle!$A$6:$BO$25,AQ$94,FALSE))</f>
        <v>-</v>
      </c>
      <c r="AR115" s="53" t="str">
        <f>IF($A115="-","-",VLOOKUP($A115,[5]Controle!$A$6:$BO$25,AR$94,FALSE))</f>
        <v>-</v>
      </c>
      <c r="AS115" s="53" t="str">
        <f>IF($A115="-","-",VLOOKUP($A115,[5]Controle!$A$6:$BO$25,AS$94,FALSE))</f>
        <v>-</v>
      </c>
      <c r="AT115" s="53" t="str">
        <f>IF($A115="-","-",VLOOKUP($A115,[5]Controle!$A$6:$BO$25,AT$94,FALSE))</f>
        <v>-</v>
      </c>
      <c r="AU115" s="53" t="str">
        <f>IF($A115="-","-",VLOOKUP($A115,[5]Controle!$A$6:$BO$25,AU$94,FALSE))</f>
        <v>-</v>
      </c>
      <c r="AV115" s="53" t="str">
        <f>IF($A115="-","-",VLOOKUP($A115,[5]Controle!$A$6:$BO$25,AV$94,FALSE))</f>
        <v>-</v>
      </c>
      <c r="AW115" s="53" t="str">
        <f>IF($A115="-","-",VLOOKUP($A115,[5]Controle!$A$6:$BO$25,AW$94,FALSE))</f>
        <v>-</v>
      </c>
      <c r="AX115" s="53" t="str">
        <f>IF($A115="-","-",VLOOKUP($A115,[5]Controle!$A$6:$BO$25,AX$94,FALSE))</f>
        <v>-</v>
      </c>
      <c r="AY115" s="53" t="str">
        <f>IF($A115="-","-",VLOOKUP($A115,[5]Controle!$A$6:$BO$25,AY$94,FALSE))</f>
        <v>-</v>
      </c>
      <c r="AZ115" s="53" t="str">
        <f>IF($A115="-","-",VLOOKUP($A115,[5]Controle!$A$6:$BO$25,AZ$94,FALSE))</f>
        <v>-</v>
      </c>
      <c r="BA115" s="53" t="str">
        <f>IF($A115="-","-",VLOOKUP($A115,[5]Controle!$A$6:$BO$25,BA$94,FALSE))</f>
        <v>-</v>
      </c>
      <c r="BB115" s="53" t="str">
        <f>IF($A115="-","-",VLOOKUP($A115,[5]Controle!$A$6:$BO$25,BB$94,FALSE))</f>
        <v>-</v>
      </c>
      <c r="BC115" s="53" t="str">
        <f>IF($A115="-","-",VLOOKUP($A115,[5]Controle!$A$6:$BO$25,BC$94,FALSE))</f>
        <v>-</v>
      </c>
      <c r="BD115" s="53" t="str">
        <f>IF($A115="-","-",VLOOKUP($A115,[5]Controle!$A$6:$BO$25,BD$94,FALSE))</f>
        <v>-</v>
      </c>
      <c r="BE115" s="53" t="str">
        <f>IF($A115="-","-",VLOOKUP($A115,[5]Controle!$A$6:$BO$25,BE$94,FALSE))</f>
        <v>-</v>
      </c>
      <c r="BF115" s="53" t="str">
        <f>IF($A115="-","-",VLOOKUP($A115,[5]Controle!$A$6:$BO$25,BF$94,FALSE))</f>
        <v>-</v>
      </c>
      <c r="BG115" s="53" t="str">
        <f>IF($A115="-","-",VLOOKUP($A115,[5]Controle!$A$6:$BO$25,BG$94,FALSE))</f>
        <v>-</v>
      </c>
      <c r="BH115" s="53" t="str">
        <f>IF($A115="-","-",VLOOKUP($A115,[5]Controle!$A$6:$BO$25,BH$94,FALSE))</f>
        <v>-</v>
      </c>
      <c r="BI115" s="53" t="str">
        <f>IF($A115="-","-",VLOOKUP($A115,[5]Controle!$A$6:$BO$25,BI$94,FALSE))</f>
        <v>-</v>
      </c>
      <c r="BJ115" s="53" t="str">
        <f>IF($A115="-","-",VLOOKUP($A115,[5]Controle!$A$6:$BO$25,BJ$94,FALSE))</f>
        <v>-</v>
      </c>
      <c r="BK115" s="53" t="str">
        <f>IF($A115="-","-",VLOOKUP($A115,[5]Controle!$A$6:$BO$25,BK$94,FALSE))</f>
        <v>-</v>
      </c>
      <c r="BL115" s="53" t="str">
        <f>IF($A115="-","-",VLOOKUP($A115,[5]Controle!$A$6:$BO$25,BL$94,FALSE))</f>
        <v>-</v>
      </c>
      <c r="BM115" s="53" t="str">
        <f>IF($A115="-","-",VLOOKUP($A115,[5]Controle!$A$6:$BO$25,BM$94,FALSE))</f>
        <v>-</v>
      </c>
      <c r="BN115" s="53" t="str">
        <f>IF($A115="-","-",VLOOKUP($A115,[5]Controle!$A$6:$BO$25,BN$94,FALSE))</f>
        <v>-</v>
      </c>
      <c r="BO115" s="53" t="str">
        <f>IF($A115="-","-",VLOOKUP($A115,[5]Controle!$A$6:$BO$25,BO$94,FALSE))</f>
        <v>-</v>
      </c>
      <c r="BP115" s="53" t="str">
        <f>IF($A115="-","-",VLOOKUP($A115,[5]Controle!$A$6:$BY$25,BP$94,FALSE))</f>
        <v>-</v>
      </c>
      <c r="BQ115" s="53" t="str">
        <f>IF($A115="-","-",VLOOKUP($A115,[5]Controle!$A$6:$BY$25,BQ$94,FALSE))</f>
        <v>-</v>
      </c>
      <c r="BR115" s="53" t="str">
        <f>IF($A115="-","-",VLOOKUP($A115,[5]Controle!$A$6:$BY$25,BR$94,FALSE))</f>
        <v>-</v>
      </c>
      <c r="BS115" s="53" t="str">
        <f>IF($A115="-","-",VLOOKUP($A115,[5]Controle!$A$6:$BY$25,BS$94,FALSE))</f>
        <v>-</v>
      </c>
      <c r="BT115" s="53" t="str">
        <f>IF($A115="-","-",VLOOKUP($A115,[5]Controle!$A$6:$BY$25,BT$94,FALSE))</f>
        <v>-</v>
      </c>
      <c r="BU115" s="53" t="str">
        <f>IF($A115="-","-",VLOOKUP($A115,[5]Controle!$A$6:$BY$25,BU$94,FALSE))</f>
        <v>-</v>
      </c>
      <c r="BV115" s="53" t="str">
        <f>IF($A115="-","-",VLOOKUP($A115,[5]Controle!$A$6:$BY$25,BV$94,FALSE))</f>
        <v>-</v>
      </c>
      <c r="BW115" s="53" t="str">
        <f>IF($A115="-","-",VLOOKUP($A115,[5]Controle!$A$6:$BY$25,BW$94,FALSE))</f>
        <v>-</v>
      </c>
      <c r="BX115" s="53" t="str">
        <f>IF($A115="-","-",VLOOKUP($A115,[5]Controle!$A$6:$BY$25,BX$94,FALSE))</f>
        <v>-</v>
      </c>
      <c r="BY115" s="53" t="str">
        <f>IF($A115="-","-",VLOOKUP($A115,[5]Controle!$A$6:$BY$25,BY$94,FALSE))</f>
        <v>-</v>
      </c>
      <c r="BZ115" s="53" t="str">
        <f>IF($A115="-","-",VLOOKUP($A115,[5]Controle!$A$6:$CI$25,BZ$94,FALSE))</f>
        <v>-</v>
      </c>
      <c r="CA115" s="53" t="str">
        <f>IF($A115="-","-",VLOOKUP($A115,[5]Controle!$A$6:$CI$25,CA$94,FALSE))</f>
        <v>-</v>
      </c>
      <c r="CB115" s="53" t="str">
        <f>IF($A115="-","-",VLOOKUP($A115,[5]Controle!$A$6:$CI$25,CB$94,FALSE))</f>
        <v>-</v>
      </c>
      <c r="CC115" s="53" t="str">
        <f>IF($A115="-","-",VLOOKUP($A115,[5]Controle!$A$6:$CI$25,CC$94,FALSE))</f>
        <v>-</v>
      </c>
      <c r="CD115" s="53" t="str">
        <f>IF($A115="-","-",VLOOKUP($A115,[5]Controle!$A$6:$CI$25,CD$94,FALSE))</f>
        <v>-</v>
      </c>
      <c r="CE115" s="53" t="str">
        <f>IF($A115="-","-",VLOOKUP($A115,[5]Controle!$A$6:$CI$25,CE$94,FALSE))</f>
        <v>-</v>
      </c>
      <c r="CF115" s="53" t="str">
        <f>IF($A115="-","-",VLOOKUP($A115,[5]Controle!$A$6:$CI$25,CF$94,FALSE))</f>
        <v>-</v>
      </c>
      <c r="CG115" s="53" t="str">
        <f>IF($A115="-","-",VLOOKUP($A115,[5]Controle!$A$6:$CI$25,CG$94,FALSE))</f>
        <v>-</v>
      </c>
      <c r="CH115" s="53" t="str">
        <f>IF($A115="-","-",VLOOKUP($A115,[5]Controle!$A$6:$CI$25,CH$94,FALSE))</f>
        <v>-</v>
      </c>
      <c r="CI115" s="53" t="str">
        <f>IF($A115="-","-",VLOOKUP($A115,[5]Controle!$A$6:$CI$25,CI$94,FALSE))</f>
        <v>-</v>
      </c>
      <c r="CT115" s="41">
        <f>IF(CV115="-",0,MAX($CT$97:CT114)+1)</f>
        <v>0</v>
      </c>
      <c r="CU115" s="53" t="str">
        <f t="shared" si="52"/>
        <v>-</v>
      </c>
      <c r="CV115" s="53" t="str">
        <f t="shared" si="44"/>
        <v>-</v>
      </c>
      <c r="CW115" s="53" t="str">
        <f t="shared" si="53"/>
        <v>-</v>
      </c>
      <c r="CX115" s="41">
        <f t="shared" si="48"/>
        <v>19</v>
      </c>
      <c r="CY115" s="41" t="str">
        <f t="shared" si="54"/>
        <v>-</v>
      </c>
    </row>
    <row r="116" spans="1:103" x14ac:dyDescent="0.3">
      <c r="A116" s="56" t="s">
        <v>54</v>
      </c>
      <c r="B116" s="53" t="str">
        <f>IF($A116="-","-",VLOOKUP($A116,[5]Controle!$A$6:$BO$25,B$94,FALSE))</f>
        <v>-</v>
      </c>
      <c r="C116" s="53" t="str">
        <f>IF($A116="-","-",VLOOKUP($A116,[5]Controle!$A$6:$BO$25,C$94,FALSE))</f>
        <v>-</v>
      </c>
      <c r="D116" s="53" t="str">
        <f>IF($A116="-","-",VLOOKUP($A116,[5]Controle!$A$6:$BO$25,D$94,FALSE))</f>
        <v>-</v>
      </c>
      <c r="E116" s="53" t="str">
        <f>IF($A116="-","-",VLOOKUP($A116,[5]Controle!$A$6:$BO$25,E$94,FALSE))</f>
        <v>-</v>
      </c>
      <c r="F116" s="53" t="str">
        <f>IF($A116="-","-",VLOOKUP($A116,[5]Controle!$A$6:$BO$25,F$94,FALSE))</f>
        <v>-</v>
      </c>
      <c r="G116" s="54" t="str">
        <f>IF($A116="-","-",VLOOKUP($A116,[5]Controle!$A$6:$BO$25,G$94,FALSE))</f>
        <v>-</v>
      </c>
      <c r="H116" s="55" t="str">
        <f>IF($A116="-","-",VLOOKUP($A116,[5]Controle!$A$6:$BO$25,H$94,FALSE))</f>
        <v>-</v>
      </c>
      <c r="I116" s="53" t="str">
        <f>IF($A116="-","-",VLOOKUP($A116,[5]Controle!$A$6:$BO$25,I$94,FALSE))</f>
        <v>-</v>
      </c>
      <c r="J116" s="53" t="str">
        <f>IF($A116="-","-",VLOOKUP($A116,[5]Controle!$A$6:$BO$25,J$94,FALSE))</f>
        <v>-</v>
      </c>
      <c r="K116" s="53" t="str">
        <f>IF($A116="-","-",VLOOKUP($A116,[5]Controle!$A$6:$BO$25,K$94,FALSE))</f>
        <v>-</v>
      </c>
      <c r="L116" s="53" t="str">
        <f>IF($A116="-","-",VLOOKUP($A116,[5]Controle!$A$6:$BO$25,L$94,FALSE))</f>
        <v>-</v>
      </c>
      <c r="M116" s="53" t="str">
        <f>IF($A116="-","-",VLOOKUP($A116,[5]Controle!$A$6:$BO$25,M$94,FALSE))</f>
        <v>-</v>
      </c>
      <c r="N116" s="53" t="str">
        <f>IF($A116="-","-",VLOOKUP($A116,[5]Controle!$A$6:$BO$25,N$94,FALSE))</f>
        <v>-</v>
      </c>
      <c r="O116" s="53" t="str">
        <f>IF($A116="-","-",VLOOKUP($A116,[5]Controle!$A$6:$BO$25,O$94,FALSE))</f>
        <v>-</v>
      </c>
      <c r="P116" s="53" t="str">
        <f>IF($A116="-","-",VLOOKUP($A116,[5]Controle!$A$6:$BO$25,P$94,FALSE))</f>
        <v>-</v>
      </c>
      <c r="Q116" s="53" t="str">
        <f>IF($A116="-","-",VLOOKUP($A116,[5]Controle!$A$6:$BO$25,Q$94,FALSE))</f>
        <v>-</v>
      </c>
      <c r="R116" s="53" t="str">
        <f>IF($A116="-","-",VLOOKUP($A116,[5]Controle!$A$6:$BO$25,R$94,FALSE))</f>
        <v>-</v>
      </c>
      <c r="S116" s="53" t="str">
        <f>IF($A116="-","-",VLOOKUP($A116,[5]Controle!$A$6:$BO$25,S$94,FALSE))</f>
        <v>-</v>
      </c>
      <c r="T116" s="53" t="str">
        <f>IF($A116="-","-",VLOOKUP($A116,[5]Controle!$A$6:$BO$25,T$94,FALSE))</f>
        <v>-</v>
      </c>
      <c r="U116" s="53" t="str">
        <f>IF($A116="-","-",VLOOKUP($A116,[5]Controle!$A$6:$BO$25,U$94,FALSE))</f>
        <v>-</v>
      </c>
      <c r="V116" s="53" t="str">
        <f>IF($A116="-","-",VLOOKUP($A116,[5]Controle!$A$6:$BO$25,V$94,FALSE))</f>
        <v>-</v>
      </c>
      <c r="W116" s="53" t="str">
        <f>IF($A116="-","-",VLOOKUP($A116,[5]Controle!$A$6:$BO$25,W$94,FALSE))</f>
        <v>-</v>
      </c>
      <c r="X116" s="53" t="str">
        <f>IF($A116="-","-",VLOOKUP($A116,[5]Controle!$A$6:$BO$25,X$94,FALSE))</f>
        <v>-</v>
      </c>
      <c r="Y116" s="53" t="str">
        <f>IF($A116="-","-",VLOOKUP($A116,[5]Controle!$A$6:$BO$25,Y$94,FALSE))</f>
        <v>-</v>
      </c>
      <c r="Z116" s="53" t="str">
        <f>IF($A116="-","-",VLOOKUP($A116,[5]Controle!$A$6:$BO$25,Z$94,FALSE))</f>
        <v>-</v>
      </c>
      <c r="AA116" s="53" t="str">
        <f>IF($A116="-","-",VLOOKUP($A116,[5]Controle!$A$6:$BO$25,AA$94,FALSE))</f>
        <v>-</v>
      </c>
      <c r="AB116" s="53" t="str">
        <f>IF($A116="-","-",VLOOKUP($A116,[5]Controle!$A$6:$BO$25,AB$94,FALSE))</f>
        <v>-</v>
      </c>
      <c r="AC116" s="53" t="str">
        <f>IF($A116="-","-",VLOOKUP($A116,[5]Controle!$A$6:$BO$25,AC$94,FALSE))</f>
        <v>-</v>
      </c>
      <c r="AD116" s="53" t="str">
        <f>IF($A116="-","-",VLOOKUP($A116,[5]Controle!$A$6:$BO$25,AD$94,FALSE))</f>
        <v>-</v>
      </c>
      <c r="AE116" s="53" t="str">
        <f>IF($A116="-","-",VLOOKUP($A116,[5]Controle!$A$6:$BO$25,AE$94,FALSE))</f>
        <v>-</v>
      </c>
      <c r="AF116" s="53" t="str">
        <f>IF($A116="-","-",VLOOKUP($A116,[5]Controle!$A$6:$BO$25,AF$94,FALSE))</f>
        <v>-</v>
      </c>
      <c r="AG116" s="53" t="str">
        <f>IF($A116="-","-",VLOOKUP($A116,[5]Controle!$A$6:$BO$25,AG$94,FALSE))</f>
        <v>-</v>
      </c>
      <c r="AH116" s="53" t="str">
        <f>IF($A116="-","-",VLOOKUP($A116,[5]Controle!$A$6:$BO$25,AH$94,FALSE))</f>
        <v>-</v>
      </c>
      <c r="AI116" s="53" t="str">
        <f>IF($A116="-","-",VLOOKUP($A116,[5]Controle!$A$6:$BO$25,AI$94,FALSE))</f>
        <v>-</v>
      </c>
      <c r="AJ116" s="53" t="str">
        <f>IF($A116="-","-",VLOOKUP($A116,[5]Controle!$A$6:$BO$25,AJ$94,FALSE))</f>
        <v>-</v>
      </c>
      <c r="AK116" s="53" t="str">
        <f>IF($A116="-","-",VLOOKUP($A116,[5]Controle!$A$6:$BO$25,AK$94,FALSE))</f>
        <v>-</v>
      </c>
      <c r="AL116" s="53" t="str">
        <f>IF($A116="-","-",VLOOKUP($A116,[5]Controle!$A$6:$BO$25,AL$94,FALSE))</f>
        <v>-</v>
      </c>
      <c r="AM116" s="53" t="str">
        <f>IF($A116="-","-",VLOOKUP($A116,[5]Controle!$A$6:$BO$25,AM$94,FALSE))</f>
        <v>-</v>
      </c>
      <c r="AN116" s="53" t="str">
        <f>IF($A116="-","-",VLOOKUP($A116,[5]Controle!$A$6:$BO$25,AN$94,FALSE))</f>
        <v>-</v>
      </c>
      <c r="AO116" s="53" t="str">
        <f>IF($A116="-","-",VLOOKUP($A116,[5]Controle!$A$6:$BO$25,AO$94,FALSE))</f>
        <v>-</v>
      </c>
      <c r="AP116" s="53" t="str">
        <f>IF($A116="-","-",VLOOKUP($A116,[5]Controle!$A$6:$BO$25,AP$94,FALSE))</f>
        <v>-</v>
      </c>
      <c r="AQ116" s="53" t="str">
        <f>IF($A116="-","-",VLOOKUP($A116,[5]Controle!$A$6:$BO$25,AQ$94,FALSE))</f>
        <v>-</v>
      </c>
      <c r="AR116" s="53" t="str">
        <f>IF($A116="-","-",VLOOKUP($A116,[5]Controle!$A$6:$BO$25,AR$94,FALSE))</f>
        <v>-</v>
      </c>
      <c r="AS116" s="53" t="str">
        <f>IF($A116="-","-",VLOOKUP($A116,[5]Controle!$A$6:$BO$25,AS$94,FALSE))</f>
        <v>-</v>
      </c>
      <c r="AT116" s="53" t="str">
        <f>IF($A116="-","-",VLOOKUP($A116,[5]Controle!$A$6:$BO$25,AT$94,FALSE))</f>
        <v>-</v>
      </c>
      <c r="AU116" s="53" t="str">
        <f>IF($A116="-","-",VLOOKUP($A116,[5]Controle!$A$6:$BO$25,AU$94,FALSE))</f>
        <v>-</v>
      </c>
      <c r="AV116" s="53" t="str">
        <f>IF($A116="-","-",VLOOKUP($A116,[5]Controle!$A$6:$BO$25,AV$94,FALSE))</f>
        <v>-</v>
      </c>
      <c r="AW116" s="53" t="str">
        <f>IF($A116="-","-",VLOOKUP($A116,[5]Controle!$A$6:$BO$25,AW$94,FALSE))</f>
        <v>-</v>
      </c>
      <c r="AX116" s="53" t="str">
        <f>IF($A116="-","-",VLOOKUP($A116,[5]Controle!$A$6:$BO$25,AX$94,FALSE))</f>
        <v>-</v>
      </c>
      <c r="AY116" s="53" t="str">
        <f>IF($A116="-","-",VLOOKUP($A116,[5]Controle!$A$6:$BO$25,AY$94,FALSE))</f>
        <v>-</v>
      </c>
      <c r="AZ116" s="53" t="str">
        <f>IF($A116="-","-",VLOOKUP($A116,[5]Controle!$A$6:$BO$25,AZ$94,FALSE))</f>
        <v>-</v>
      </c>
      <c r="BA116" s="53" t="str">
        <f>IF($A116="-","-",VLOOKUP($A116,[5]Controle!$A$6:$BO$25,BA$94,FALSE))</f>
        <v>-</v>
      </c>
      <c r="BB116" s="53" t="str">
        <f>IF($A116="-","-",VLOOKUP($A116,[5]Controle!$A$6:$BO$25,BB$94,FALSE))</f>
        <v>-</v>
      </c>
      <c r="BC116" s="53" t="str">
        <f>IF($A116="-","-",VLOOKUP($A116,[5]Controle!$A$6:$BO$25,BC$94,FALSE))</f>
        <v>-</v>
      </c>
      <c r="BD116" s="53" t="str">
        <f>IF($A116="-","-",VLOOKUP($A116,[5]Controle!$A$6:$BO$25,BD$94,FALSE))</f>
        <v>-</v>
      </c>
      <c r="BE116" s="53" t="str">
        <f>IF($A116="-","-",VLOOKUP($A116,[5]Controle!$A$6:$BO$25,BE$94,FALSE))</f>
        <v>-</v>
      </c>
      <c r="BF116" s="53" t="str">
        <f>IF($A116="-","-",VLOOKUP($A116,[5]Controle!$A$6:$BO$25,BF$94,FALSE))</f>
        <v>-</v>
      </c>
      <c r="BG116" s="53" t="str">
        <f>IF($A116="-","-",VLOOKUP($A116,[5]Controle!$A$6:$BO$25,BG$94,FALSE))</f>
        <v>-</v>
      </c>
      <c r="BH116" s="53" t="str">
        <f>IF($A116="-","-",VLOOKUP($A116,[5]Controle!$A$6:$BO$25,BH$94,FALSE))</f>
        <v>-</v>
      </c>
      <c r="BI116" s="53" t="str">
        <f>IF($A116="-","-",VLOOKUP($A116,[5]Controle!$A$6:$BO$25,BI$94,FALSE))</f>
        <v>-</v>
      </c>
      <c r="BJ116" s="53" t="str">
        <f>IF($A116="-","-",VLOOKUP($A116,[5]Controle!$A$6:$BO$25,BJ$94,FALSE))</f>
        <v>-</v>
      </c>
      <c r="BK116" s="53" t="str">
        <f>IF($A116="-","-",VLOOKUP($A116,[5]Controle!$A$6:$BO$25,BK$94,FALSE))</f>
        <v>-</v>
      </c>
      <c r="BL116" s="53" t="str">
        <f>IF($A116="-","-",VLOOKUP($A116,[5]Controle!$A$6:$BO$25,BL$94,FALSE))</f>
        <v>-</v>
      </c>
      <c r="BM116" s="53" t="str">
        <f>IF($A116="-","-",VLOOKUP($A116,[5]Controle!$A$6:$BO$25,BM$94,FALSE))</f>
        <v>-</v>
      </c>
      <c r="BN116" s="53" t="str">
        <f>IF($A116="-","-",VLOOKUP($A116,[5]Controle!$A$6:$BO$25,BN$94,FALSE))</f>
        <v>-</v>
      </c>
      <c r="BO116" s="53" t="str">
        <f>IF($A116="-","-",VLOOKUP($A116,[5]Controle!$A$6:$BO$25,BO$94,FALSE))</f>
        <v>-</v>
      </c>
      <c r="BP116" s="53" t="str">
        <f>IF($A116="-","-",VLOOKUP($A116,[5]Controle!$A$6:$BY$25,BP$94,FALSE))</f>
        <v>-</v>
      </c>
      <c r="BQ116" s="53" t="str">
        <f>IF($A116="-","-",VLOOKUP($A116,[5]Controle!$A$6:$BY$25,BQ$94,FALSE))</f>
        <v>-</v>
      </c>
      <c r="BR116" s="53" t="str">
        <f>IF($A116="-","-",VLOOKUP($A116,[5]Controle!$A$6:$BY$25,BR$94,FALSE))</f>
        <v>-</v>
      </c>
      <c r="BS116" s="53" t="str">
        <f>IF($A116="-","-",VLOOKUP($A116,[5]Controle!$A$6:$BY$25,BS$94,FALSE))</f>
        <v>-</v>
      </c>
      <c r="BT116" s="53" t="str">
        <f>IF($A116="-","-",VLOOKUP($A116,[5]Controle!$A$6:$BY$25,BT$94,FALSE))</f>
        <v>-</v>
      </c>
      <c r="BU116" s="53" t="str">
        <f>IF($A116="-","-",VLOOKUP($A116,[5]Controle!$A$6:$BY$25,BU$94,FALSE))</f>
        <v>-</v>
      </c>
      <c r="BV116" s="53" t="str">
        <f>IF($A116="-","-",VLOOKUP($A116,[5]Controle!$A$6:$BY$25,BV$94,FALSE))</f>
        <v>-</v>
      </c>
      <c r="BW116" s="53" t="str">
        <f>IF($A116="-","-",VLOOKUP($A116,[5]Controle!$A$6:$BY$25,BW$94,FALSE))</f>
        <v>-</v>
      </c>
      <c r="BX116" s="53" t="str">
        <f>IF($A116="-","-",VLOOKUP($A116,[5]Controle!$A$6:$BY$25,BX$94,FALSE))</f>
        <v>-</v>
      </c>
      <c r="BY116" s="53" t="str">
        <f>IF($A116="-","-",VLOOKUP($A116,[5]Controle!$A$6:$BY$25,BY$94,FALSE))</f>
        <v>-</v>
      </c>
      <c r="BZ116" s="53" t="str">
        <f>IF($A116="-","-",VLOOKUP($A116,[5]Controle!$A$6:$CI$25,BZ$94,FALSE))</f>
        <v>-</v>
      </c>
      <c r="CA116" s="53" t="str">
        <f>IF($A116="-","-",VLOOKUP($A116,[5]Controle!$A$6:$CI$25,CA$94,FALSE))</f>
        <v>-</v>
      </c>
      <c r="CB116" s="53" t="str">
        <f>IF($A116="-","-",VLOOKUP($A116,[5]Controle!$A$6:$CI$25,CB$94,FALSE))</f>
        <v>-</v>
      </c>
      <c r="CC116" s="53" t="str">
        <f>IF($A116="-","-",VLOOKUP($A116,[5]Controle!$A$6:$CI$25,CC$94,FALSE))</f>
        <v>-</v>
      </c>
      <c r="CD116" s="53" t="str">
        <f>IF($A116="-","-",VLOOKUP($A116,[5]Controle!$A$6:$CI$25,CD$94,FALSE))</f>
        <v>-</v>
      </c>
      <c r="CE116" s="53" t="str">
        <f>IF($A116="-","-",VLOOKUP($A116,[5]Controle!$A$6:$CI$25,CE$94,FALSE))</f>
        <v>-</v>
      </c>
      <c r="CF116" s="53" t="str">
        <f>IF($A116="-","-",VLOOKUP($A116,[5]Controle!$A$6:$CI$25,CF$94,FALSE))</f>
        <v>-</v>
      </c>
      <c r="CG116" s="53" t="str">
        <f>IF($A116="-","-",VLOOKUP($A116,[5]Controle!$A$6:$CI$25,CG$94,FALSE))</f>
        <v>-</v>
      </c>
      <c r="CH116" s="53" t="str">
        <f>IF($A116="-","-",VLOOKUP($A116,[5]Controle!$A$6:$CI$25,CH$94,FALSE))</f>
        <v>-</v>
      </c>
      <c r="CI116" s="53" t="str">
        <f>IF($A116="-","-",VLOOKUP($A116,[5]Controle!$A$6:$CI$25,CI$94,FALSE))</f>
        <v>-</v>
      </c>
      <c r="CT116" s="41">
        <f>IF(CV116="-",0,MAX($CT$97:CT115)+1)</f>
        <v>0</v>
      </c>
      <c r="CU116" s="53" t="str">
        <f t="shared" si="52"/>
        <v>-</v>
      </c>
      <c r="CV116" s="53" t="str">
        <f t="shared" si="44"/>
        <v>-</v>
      </c>
      <c r="CW116" s="53" t="str">
        <f t="shared" si="53"/>
        <v>-</v>
      </c>
      <c r="CX116" s="41">
        <f t="shared" si="48"/>
        <v>20</v>
      </c>
      <c r="CY116" s="41" t="str">
        <f t="shared" si="54"/>
        <v>-</v>
      </c>
    </row>
    <row r="117" spans="1:103" s="44" customFormat="1" x14ac:dyDescent="0.3">
      <c r="A117" s="43">
        <v>1</v>
      </c>
      <c r="B117" s="44">
        <f t="shared" ref="B117:BM117" si="55">A117+1</f>
        <v>2</v>
      </c>
      <c r="C117" s="44">
        <f t="shared" si="55"/>
        <v>3</v>
      </c>
      <c r="D117" s="44">
        <f t="shared" si="55"/>
        <v>4</v>
      </c>
      <c r="E117" s="44">
        <f t="shared" si="55"/>
        <v>5</v>
      </c>
      <c r="F117" s="44">
        <f t="shared" si="55"/>
        <v>6</v>
      </c>
      <c r="G117" s="44">
        <f t="shared" si="55"/>
        <v>7</v>
      </c>
      <c r="H117" s="44">
        <f t="shared" si="55"/>
        <v>8</v>
      </c>
      <c r="I117" s="44">
        <f t="shared" si="55"/>
        <v>9</v>
      </c>
      <c r="J117" s="44">
        <f t="shared" si="55"/>
        <v>10</v>
      </c>
      <c r="K117" s="44">
        <f t="shared" si="55"/>
        <v>11</v>
      </c>
      <c r="L117" s="44">
        <f t="shared" si="55"/>
        <v>12</v>
      </c>
      <c r="M117" s="44">
        <f t="shared" si="55"/>
        <v>13</v>
      </c>
      <c r="N117" s="44">
        <f t="shared" si="55"/>
        <v>14</v>
      </c>
      <c r="O117" s="44">
        <f t="shared" si="55"/>
        <v>15</v>
      </c>
      <c r="P117" s="44">
        <f t="shared" si="55"/>
        <v>16</v>
      </c>
      <c r="Q117" s="44">
        <f t="shared" si="55"/>
        <v>17</v>
      </c>
      <c r="R117" s="44">
        <f t="shared" si="55"/>
        <v>18</v>
      </c>
      <c r="S117" s="44">
        <f t="shared" si="55"/>
        <v>19</v>
      </c>
      <c r="T117" s="44">
        <f t="shared" si="55"/>
        <v>20</v>
      </c>
      <c r="U117" s="44">
        <f t="shared" si="55"/>
        <v>21</v>
      </c>
      <c r="V117" s="44">
        <f t="shared" si="55"/>
        <v>22</v>
      </c>
      <c r="W117" s="44">
        <f t="shared" si="55"/>
        <v>23</v>
      </c>
      <c r="X117" s="44">
        <f t="shared" si="55"/>
        <v>24</v>
      </c>
      <c r="Y117" s="44">
        <f t="shared" si="55"/>
        <v>25</v>
      </c>
      <c r="Z117" s="44">
        <f t="shared" si="55"/>
        <v>26</v>
      </c>
      <c r="AA117" s="44">
        <f t="shared" si="55"/>
        <v>27</v>
      </c>
      <c r="AB117" s="44">
        <f t="shared" si="55"/>
        <v>28</v>
      </c>
      <c r="AC117" s="44">
        <f t="shared" si="55"/>
        <v>29</v>
      </c>
      <c r="AD117" s="44">
        <f t="shared" si="55"/>
        <v>30</v>
      </c>
      <c r="AE117" s="44">
        <f t="shared" si="55"/>
        <v>31</v>
      </c>
      <c r="AF117" s="44">
        <f t="shared" si="55"/>
        <v>32</v>
      </c>
      <c r="AG117" s="44">
        <f t="shared" si="55"/>
        <v>33</v>
      </c>
      <c r="AH117" s="44">
        <f t="shared" si="55"/>
        <v>34</v>
      </c>
      <c r="AI117" s="44">
        <f t="shared" si="55"/>
        <v>35</v>
      </c>
      <c r="AJ117" s="44">
        <f t="shared" si="55"/>
        <v>36</v>
      </c>
      <c r="AK117" s="44">
        <f t="shared" si="55"/>
        <v>37</v>
      </c>
      <c r="AL117" s="44">
        <f t="shared" si="55"/>
        <v>38</v>
      </c>
      <c r="AM117" s="44">
        <f t="shared" si="55"/>
        <v>39</v>
      </c>
      <c r="AN117" s="44">
        <f t="shared" si="55"/>
        <v>40</v>
      </c>
      <c r="AO117" s="44">
        <f t="shared" si="55"/>
        <v>41</v>
      </c>
      <c r="AP117" s="44">
        <f t="shared" si="55"/>
        <v>42</v>
      </c>
      <c r="AQ117" s="44">
        <f t="shared" si="55"/>
        <v>43</v>
      </c>
      <c r="AR117" s="44">
        <f t="shared" si="55"/>
        <v>44</v>
      </c>
      <c r="AS117" s="44">
        <f t="shared" si="55"/>
        <v>45</v>
      </c>
      <c r="AT117" s="44">
        <f t="shared" si="55"/>
        <v>46</v>
      </c>
      <c r="AU117" s="44">
        <f t="shared" si="55"/>
        <v>47</v>
      </c>
      <c r="AV117" s="44">
        <f t="shared" si="55"/>
        <v>48</v>
      </c>
      <c r="AW117" s="44">
        <f t="shared" si="55"/>
        <v>49</v>
      </c>
      <c r="AX117" s="44">
        <f t="shared" si="55"/>
        <v>50</v>
      </c>
      <c r="AY117" s="44">
        <f t="shared" si="55"/>
        <v>51</v>
      </c>
      <c r="AZ117" s="44">
        <f t="shared" si="55"/>
        <v>52</v>
      </c>
      <c r="BA117" s="44">
        <f t="shared" si="55"/>
        <v>53</v>
      </c>
      <c r="BB117" s="44">
        <f t="shared" si="55"/>
        <v>54</v>
      </c>
      <c r="BC117" s="44">
        <f t="shared" si="55"/>
        <v>55</v>
      </c>
      <c r="BD117" s="44">
        <f t="shared" si="55"/>
        <v>56</v>
      </c>
      <c r="BE117" s="44">
        <f t="shared" si="55"/>
        <v>57</v>
      </c>
      <c r="BF117" s="44">
        <f t="shared" si="55"/>
        <v>58</v>
      </c>
      <c r="BG117" s="44">
        <f t="shared" si="55"/>
        <v>59</v>
      </c>
      <c r="BH117" s="44">
        <f t="shared" si="55"/>
        <v>60</v>
      </c>
      <c r="BI117" s="44">
        <f t="shared" si="55"/>
        <v>61</v>
      </c>
      <c r="BJ117" s="44">
        <f t="shared" si="55"/>
        <v>62</v>
      </c>
      <c r="BK117" s="44">
        <f t="shared" si="55"/>
        <v>63</v>
      </c>
      <c r="BL117" s="44">
        <f t="shared" si="55"/>
        <v>64</v>
      </c>
      <c r="BM117" s="44">
        <f t="shared" si="55"/>
        <v>65</v>
      </c>
      <c r="BN117" s="44">
        <f t="shared" ref="BN117:CV117" si="56">BM117+1</f>
        <v>66</v>
      </c>
      <c r="BO117" s="44">
        <f t="shared" si="56"/>
        <v>67</v>
      </c>
      <c r="BP117" s="44">
        <f t="shared" si="56"/>
        <v>68</v>
      </c>
      <c r="BQ117" s="44">
        <f t="shared" si="56"/>
        <v>69</v>
      </c>
      <c r="BR117" s="44">
        <f t="shared" si="56"/>
        <v>70</v>
      </c>
      <c r="BS117" s="44">
        <f t="shared" si="56"/>
        <v>71</v>
      </c>
      <c r="BT117" s="44">
        <f t="shared" si="56"/>
        <v>72</v>
      </c>
      <c r="BU117" s="44">
        <f t="shared" si="56"/>
        <v>73</v>
      </c>
      <c r="BV117" s="44">
        <f t="shared" si="56"/>
        <v>74</v>
      </c>
      <c r="BW117" s="44">
        <f t="shared" si="56"/>
        <v>75</v>
      </c>
      <c r="BX117" s="44">
        <f t="shared" si="56"/>
        <v>76</v>
      </c>
      <c r="BY117" s="44">
        <f t="shared" si="56"/>
        <v>77</v>
      </c>
      <c r="BZ117" s="44">
        <f t="shared" si="56"/>
        <v>78</v>
      </c>
      <c r="CA117" s="44">
        <f t="shared" si="56"/>
        <v>79</v>
      </c>
      <c r="CB117" s="44">
        <f t="shared" si="56"/>
        <v>80</v>
      </c>
      <c r="CC117" s="44">
        <f t="shared" si="56"/>
        <v>81</v>
      </c>
      <c r="CD117" s="44">
        <f t="shared" si="56"/>
        <v>82</v>
      </c>
      <c r="CE117" s="44">
        <f t="shared" si="56"/>
        <v>83</v>
      </c>
      <c r="CF117" s="44">
        <f t="shared" si="56"/>
        <v>84</v>
      </c>
      <c r="CG117" s="44">
        <f t="shared" si="56"/>
        <v>85</v>
      </c>
      <c r="CH117" s="44">
        <f t="shared" si="56"/>
        <v>86</v>
      </c>
      <c r="CI117" s="44">
        <f t="shared" si="56"/>
        <v>87</v>
      </c>
      <c r="CJ117" s="44">
        <f t="shared" si="56"/>
        <v>88</v>
      </c>
      <c r="CK117" s="44">
        <f t="shared" si="56"/>
        <v>89</v>
      </c>
      <c r="CL117" s="44">
        <f t="shared" si="56"/>
        <v>90</v>
      </c>
      <c r="CM117" s="44">
        <f t="shared" si="56"/>
        <v>91</v>
      </c>
      <c r="CN117" s="44">
        <f t="shared" si="56"/>
        <v>92</v>
      </c>
      <c r="CO117" s="44">
        <f t="shared" si="56"/>
        <v>93</v>
      </c>
      <c r="CP117" s="44">
        <f t="shared" si="56"/>
        <v>94</v>
      </c>
      <c r="CQ117" s="44">
        <f t="shared" si="56"/>
        <v>95</v>
      </c>
      <c r="CR117" s="44">
        <f t="shared" si="56"/>
        <v>96</v>
      </c>
      <c r="CS117" s="44">
        <f t="shared" si="56"/>
        <v>97</v>
      </c>
      <c r="CT117" s="44">
        <f t="shared" si="56"/>
        <v>98</v>
      </c>
      <c r="CU117" s="44">
        <f t="shared" si="56"/>
        <v>99</v>
      </c>
      <c r="CV117" s="44">
        <f t="shared" si="56"/>
        <v>100</v>
      </c>
    </row>
    <row r="120" spans="1:103" x14ac:dyDescent="0.3">
      <c r="A120" s="198"/>
      <c r="B120" s="198">
        <v>2</v>
      </c>
      <c r="C120" s="198">
        <f>B120+1</f>
        <v>3</v>
      </c>
      <c r="D120" s="198">
        <v>2</v>
      </c>
      <c r="E120" s="198">
        <v>4</v>
      </c>
      <c r="F120" s="198">
        <f t="shared" ref="F120:I120" si="57">E120+1</f>
        <v>5</v>
      </c>
      <c r="G120" s="198">
        <f t="shared" si="57"/>
        <v>6</v>
      </c>
      <c r="H120" s="198">
        <f t="shared" si="57"/>
        <v>7</v>
      </c>
      <c r="I120" s="198">
        <f t="shared" si="57"/>
        <v>8</v>
      </c>
      <c r="J120" s="198"/>
      <c r="K120" s="199">
        <f ca="1">MAX(K121:K204)</f>
        <v>1</v>
      </c>
      <c r="L120" s="200"/>
      <c r="M120" s="198">
        <v>99</v>
      </c>
      <c r="R120" s="41" t="s">
        <v>627</v>
      </c>
      <c r="T120" s="41">
        <f>MAX(S121:S204)</f>
        <v>1</v>
      </c>
      <c r="X120" s="41" t="s">
        <v>626</v>
      </c>
      <c r="Y120" s="41" t="s">
        <v>478</v>
      </c>
      <c r="AA120" s="514" t="s">
        <v>618</v>
      </c>
      <c r="AB120" s="514"/>
      <c r="AD120" s="41" t="s">
        <v>628</v>
      </c>
      <c r="AE120" s="41" t="s">
        <v>629</v>
      </c>
      <c r="AF120" s="41" t="s">
        <v>304</v>
      </c>
      <c r="AG120" s="41" t="s">
        <v>132</v>
      </c>
    </row>
    <row r="121" spans="1:103" x14ac:dyDescent="0.3">
      <c r="A121" s="201">
        <f ca="1">VLOOKUP(CONCATENATE(O121,".9"),'Resultados - 1'!$A$10:$BL$156,40,FALSE)</f>
        <v>9</v>
      </c>
      <c r="B121" s="69" t="str">
        <f ca="1">IF($A121="","",VLOOKUP($A121,$A$97:$CY$116,B$120,FALSE))</f>
        <v>E.MS.LQ-006</v>
      </c>
      <c r="C121" s="69" t="str">
        <f t="shared" ref="C121:I127" ca="1" si="58">IF($A121="","",VLOOKUP($A121,$A$97:$CY$116,C$120,FALSE))</f>
        <v>Balança Analítica</v>
      </c>
      <c r="D121" s="69" t="str">
        <f t="shared" ca="1" si="58"/>
        <v>E.MS.LQ-006</v>
      </c>
      <c r="E121" s="69" t="str">
        <f t="shared" ca="1" si="58"/>
        <v xml:space="preserve">Elus </v>
      </c>
      <c r="F121" s="69" t="str">
        <f t="shared" ca="1" si="58"/>
        <v>RBC - CAL 0439</v>
      </c>
      <c r="G121" s="69" t="str">
        <f t="shared" ca="1" si="58"/>
        <v>E0014/26</v>
      </c>
      <c r="H121" s="202">
        <f t="shared" ca="1" si="58"/>
        <v>46031</v>
      </c>
      <c r="I121" s="203">
        <f t="shared" ca="1" si="58"/>
        <v>46417</v>
      </c>
      <c r="J121" s="199"/>
      <c r="K121" s="193">
        <f ca="1">IF(G121="",0,1)</f>
        <v>1</v>
      </c>
      <c r="L121" s="200" t="str">
        <f ca="1">IF(K121=0,"",IF(M121="VENCIDO","-",CONCATENATE(C121,", id. ",B121,", calibrado por ",F121," em ",TEXT(H121,"dd/mm/aaaa"),", certificado n° ",G121,", válido até ",TEXT(I121,"mmmm/aaaa"),".")))</f>
        <v>Balança Analítica, id. E.MS.LQ-006, calibrado por RBC - CAL 0439 em 09/01/2026, certificado n° E0014/26, válido até janeiro/2027.</v>
      </c>
      <c r="M121" s="69" t="str">
        <f ca="1">IF($A121="","",VLOOKUP($A121,$A$97:$CY$116,M$120,FALSE))</f>
        <v>VÁLIDO</v>
      </c>
      <c r="O121" s="41">
        <v>1</v>
      </c>
      <c r="P121" s="41">
        <v>1</v>
      </c>
      <c r="R121" s="201">
        <f>VLOOKUP(CONCATENATE(O121,".4"),'Resultados - 1'!$A$10:$BL$156,5,FALSE)</f>
        <v>1</v>
      </c>
      <c r="S121" s="267">
        <f>IF(R121="","",1)</f>
        <v>1</v>
      </c>
      <c r="T121" s="53">
        <f>IF(S121=0,"",R121)</f>
        <v>1</v>
      </c>
      <c r="U121" s="266">
        <v>1</v>
      </c>
      <c r="V121" s="53">
        <f>IF(U121&lt;=$T$120,VLOOKUP(U121,$S$121:$T$204,2,FALSE),"")</f>
        <v>1</v>
      </c>
      <c r="X121" s="201">
        <f ca="1">VLOOKUP(CONCATENATE(O121,".20"),'Resultados - 1'!$A$10:$BL$156,43,FALSE)</f>
        <v>0.9981811827377205</v>
      </c>
      <c r="Y121" s="41">
        <f ca="1">AVERAGE(X121:X204)</f>
        <v>0.99818118273772038</v>
      </c>
      <c r="AA121" s="201">
        <f ca="1">VLOOKUP(CONCATENATE(O121,".5"),'Resultados - 1'!$A$10:$BL$156,42,FALSE)</f>
        <v>10</v>
      </c>
      <c r="AB121" s="41">
        <f ca="1">MAX(AA121:AA204)</f>
        <v>10</v>
      </c>
      <c r="AD121" s="201">
        <f ca="1">VLOOKUP(CONCATENATE(O121,".20"),'Resultados - 1'!$A$10:$BL$156,44,FALSE)</f>
        <v>20.099999999999998</v>
      </c>
      <c r="AE121" s="201">
        <f ca="1">VLOOKUP(CONCATENATE(O121,".19"),'Resultados - 1'!$A$10:$BL$156,44,FALSE)</f>
        <v>0</v>
      </c>
      <c r="AF121" s="201">
        <f ca="1">VLOOKUP(CONCATENATE(O121,".9"),'Resultados - 1'!$A$10:$BL$156,48,FALSE)</f>
        <v>1</v>
      </c>
      <c r="AG121" s="41">
        <f ca="1">AVERAGE(AD121:AD204)</f>
        <v>20.099999999999998</v>
      </c>
      <c r="AH121" s="41">
        <f ca="1">MAX(AE121:AE204,AI121)</f>
        <v>0.1</v>
      </c>
      <c r="AI121" s="41">
        <f ca="1">MAX(J206:J289)</f>
        <v>0.1</v>
      </c>
    </row>
    <row r="122" spans="1:103" x14ac:dyDescent="0.3">
      <c r="A122" s="201">
        <f ca="1">VLOOKUP(CONCATENATE(O122,".9"),'Resultados - 1'!$A$10:$BL$156,40,FALSE)</f>
        <v>9</v>
      </c>
      <c r="B122" s="69" t="str">
        <f t="shared" ref="B122:B127" ca="1" si="59">IF($A122="","",VLOOKUP($A122,$A$97:$CY$116,B$120,FALSE))</f>
        <v>E.MS.LQ-006</v>
      </c>
      <c r="C122" s="69" t="str">
        <f t="shared" ca="1" si="58"/>
        <v>Balança Analítica</v>
      </c>
      <c r="D122" s="69" t="str">
        <f t="shared" ca="1" si="58"/>
        <v>E.MS.LQ-006</v>
      </c>
      <c r="E122" s="69" t="str">
        <f t="shared" ca="1" si="58"/>
        <v xml:space="preserve">Elus </v>
      </c>
      <c r="F122" s="69" t="str">
        <f t="shared" ca="1" si="58"/>
        <v>RBC - CAL 0439</v>
      </c>
      <c r="G122" s="69" t="str">
        <f t="shared" ca="1" si="58"/>
        <v>E0014/26</v>
      </c>
      <c r="H122" s="202">
        <f t="shared" ca="1" si="58"/>
        <v>46031</v>
      </c>
      <c r="I122" s="203">
        <f t="shared" ca="1" si="58"/>
        <v>46417</v>
      </c>
      <c r="J122" s="199"/>
      <c r="K122" s="193">
        <f ca="1">IF(G122="",0,IF(COUNTIF(G121:$G$121,G122)&gt;0,0,MAX(K121:$K$121)+1))</f>
        <v>0</v>
      </c>
      <c r="L122" s="200" t="str">
        <f t="shared" ref="L122:L185" ca="1" si="60">IF(K122=0,"",IF(M122="VENCIDO","-",CONCATENATE(C122,", id. ",B122,", calibrado por ",F122," em ",TEXT(H122,"dd/mm/aaaa"),", certificado n° ",G122,", válido até ",TEXT(I122,"mmmm/aaaa"),".")))</f>
        <v/>
      </c>
      <c r="M122" s="69" t="str">
        <f t="shared" ref="M122:M127" ca="1" si="61">IF($A122="","",VLOOKUP($A122,$A$97:$CY$116,M$120,FALSE))</f>
        <v>VÁLIDO</v>
      </c>
      <c r="O122" s="41">
        <f>O121+1</f>
        <v>2</v>
      </c>
      <c r="P122" s="41">
        <f t="shared" ref="P122:P127" si="62">P121</f>
        <v>1</v>
      </c>
      <c r="R122" s="201">
        <f>VLOOKUP(CONCATENATE(O122,".4"),'Resultados - 1'!$A$10:$BL$156,5,FALSE)</f>
        <v>1</v>
      </c>
      <c r="S122" s="267">
        <f>IF(R122="",0,IF(COUNTIF($R$121:R121,R122)&gt;0,0,MAX($S$121:S121)+1))</f>
        <v>0</v>
      </c>
      <c r="T122" s="53" t="str">
        <f t="shared" ref="T122:T185" si="63">IF(S122=0,"",R122)</f>
        <v/>
      </c>
      <c r="U122" s="266">
        <v>2</v>
      </c>
      <c r="V122" s="53" t="str">
        <f t="shared" ref="V122:V123" si="64">IF(U122&lt;=$T$120,VLOOKUP(U122,$S$121:$T$204,2,FALSE),"")</f>
        <v/>
      </c>
      <c r="X122" s="201">
        <f ca="1">VLOOKUP(CONCATENATE(O122,".20"),'Resultados - 1'!$A$10:$BL$156,43,FALSE)</f>
        <v>0.9981811827377205</v>
      </c>
      <c r="AA122" s="201">
        <f ca="1">VLOOKUP(CONCATENATE(O122,".5"),'Resultados - 1'!$A$10:$BL$156,42,FALSE)</f>
        <v>10</v>
      </c>
      <c r="AD122" s="201">
        <f ca="1">VLOOKUP(CONCATENATE(O122,".20"),'Resultados - 1'!$A$10:$BL$156,44,FALSE)</f>
        <v>20.099999999999998</v>
      </c>
      <c r="AE122" s="201">
        <f ca="1">VLOOKUP(CONCATENATE(O122,".19"),'Resultados - 1'!$A$10:$BL$156,44,FALSE)</f>
        <v>0</v>
      </c>
      <c r="AF122" s="201">
        <f ca="1">VLOOKUP(CONCATENATE(O122,".9"),'Resultados - 1'!$A$10:$BL$156,48,FALSE)</f>
        <v>1</v>
      </c>
      <c r="AG122" s="41">
        <f ca="1">MIN(AF121:AF204)</f>
        <v>1</v>
      </c>
    </row>
    <row r="123" spans="1:103" x14ac:dyDescent="0.3">
      <c r="A123" s="201">
        <f ca="1">VLOOKUP(CONCATENATE(O123,".9"),'Resultados - 1'!$A$10:$BL$156,40,FALSE)</f>
        <v>9</v>
      </c>
      <c r="B123" s="69" t="str">
        <f t="shared" ca="1" si="59"/>
        <v>E.MS.LQ-006</v>
      </c>
      <c r="C123" s="69" t="str">
        <f t="shared" ca="1" si="58"/>
        <v>Balança Analítica</v>
      </c>
      <c r="D123" s="69" t="str">
        <f t="shared" ca="1" si="58"/>
        <v>E.MS.LQ-006</v>
      </c>
      <c r="E123" s="69" t="str">
        <f t="shared" ca="1" si="58"/>
        <v xml:space="preserve">Elus </v>
      </c>
      <c r="F123" s="69" t="str">
        <f t="shared" ca="1" si="58"/>
        <v>RBC - CAL 0439</v>
      </c>
      <c r="G123" s="69" t="str">
        <f t="shared" ca="1" si="58"/>
        <v>E0014/26</v>
      </c>
      <c r="H123" s="202">
        <f t="shared" ca="1" si="58"/>
        <v>46031</v>
      </c>
      <c r="I123" s="203">
        <f t="shared" ca="1" si="58"/>
        <v>46417</v>
      </c>
      <c r="J123" s="199"/>
      <c r="K123" s="193">
        <f ca="1">IF(G123="",0,IF(COUNTIF(G$121:$G122,G123)&gt;0,0,MAX(K$121:$K122)+1))</f>
        <v>0</v>
      </c>
      <c r="L123" s="200" t="str">
        <f t="shared" ca="1" si="60"/>
        <v/>
      </c>
      <c r="M123" s="69" t="str">
        <f t="shared" ca="1" si="61"/>
        <v>VÁLIDO</v>
      </c>
      <c r="O123" s="41">
        <f t="shared" ref="O123:O127" si="65">O122+1</f>
        <v>3</v>
      </c>
      <c r="P123" s="41">
        <f t="shared" si="62"/>
        <v>1</v>
      </c>
      <c r="R123" s="201">
        <f>VLOOKUP(CONCATENATE(O123,".4"),'Resultados - 1'!$A$10:$BL$156,5,FALSE)</f>
        <v>1</v>
      </c>
      <c r="S123" s="267">
        <f>IF(R123="",0,IF(COUNTIF($R$121:R122,R123)&gt;0,0,MAX($S$121:S122)+1))</f>
        <v>0</v>
      </c>
      <c r="T123" s="53" t="str">
        <f t="shared" si="63"/>
        <v/>
      </c>
      <c r="U123" s="266">
        <v>3</v>
      </c>
      <c r="V123" s="53" t="str">
        <f t="shared" si="64"/>
        <v/>
      </c>
      <c r="X123" s="201">
        <f ca="1">VLOOKUP(CONCATENATE(O123,".20"),'Resultados - 1'!$A$10:$BL$156,43,FALSE)</f>
        <v>0.9981811827377205</v>
      </c>
      <c r="AA123" s="201">
        <f ca="1">VLOOKUP(CONCATENATE(O123,".5"),'Resultados - 1'!$A$10:$BL$156,42,FALSE)</f>
        <v>10</v>
      </c>
      <c r="AD123" s="201">
        <f ca="1">VLOOKUP(CONCATENATE(O123,".20"),'Resultados - 1'!$A$10:$BL$156,44,FALSE)</f>
        <v>20.099999999999998</v>
      </c>
      <c r="AE123" s="201">
        <f ca="1">VLOOKUP(CONCATENATE(O123,".19"),'Resultados - 1'!$A$10:$BL$156,44,FALSE)</f>
        <v>0</v>
      </c>
      <c r="AF123" s="201">
        <f ca="1">VLOOKUP(CONCATENATE(O123,".9"),'Resultados - 1'!$A$10:$BL$156,48,FALSE)</f>
        <v>1</v>
      </c>
    </row>
    <row r="124" spans="1:103" x14ac:dyDescent="0.3">
      <c r="A124" s="201">
        <f ca="1">VLOOKUP(CONCATENATE(O124,".9"),'Resultados - 1'!$A$10:$BL$156,40,FALSE)</f>
        <v>9</v>
      </c>
      <c r="B124" s="69" t="str">
        <f t="shared" ca="1" si="59"/>
        <v>E.MS.LQ-006</v>
      </c>
      <c r="C124" s="69" t="str">
        <f t="shared" ca="1" si="58"/>
        <v>Balança Analítica</v>
      </c>
      <c r="D124" s="69" t="str">
        <f t="shared" ca="1" si="58"/>
        <v>E.MS.LQ-006</v>
      </c>
      <c r="E124" s="69" t="str">
        <f t="shared" ca="1" si="58"/>
        <v xml:space="preserve">Elus </v>
      </c>
      <c r="F124" s="69" t="str">
        <f t="shared" ca="1" si="58"/>
        <v>RBC - CAL 0439</v>
      </c>
      <c r="G124" s="69" t="str">
        <f t="shared" ca="1" si="58"/>
        <v>E0014/26</v>
      </c>
      <c r="H124" s="202">
        <f t="shared" ca="1" si="58"/>
        <v>46031</v>
      </c>
      <c r="I124" s="203">
        <f t="shared" ca="1" si="58"/>
        <v>46417</v>
      </c>
      <c r="J124" s="199"/>
      <c r="K124" s="193">
        <f ca="1">IF(G124="",0,IF(COUNTIF(G$121:$G123,G124)&gt;0,0,MAX(K$121:$K123)+1))</f>
        <v>0</v>
      </c>
      <c r="L124" s="200" t="str">
        <f t="shared" ca="1" si="60"/>
        <v/>
      </c>
      <c r="M124" s="69" t="str">
        <f t="shared" ca="1" si="61"/>
        <v>VÁLIDO</v>
      </c>
      <c r="O124" s="41">
        <f t="shared" si="65"/>
        <v>4</v>
      </c>
      <c r="P124" s="41">
        <f t="shared" si="62"/>
        <v>1</v>
      </c>
      <c r="R124" s="201">
        <f>VLOOKUP(CONCATENATE(O124,".4"),'Resultados - 1'!$A$10:$BL$156,5,FALSE)</f>
        <v>1</v>
      </c>
      <c r="S124" s="267">
        <f>IF(R124="",0,IF(COUNTIF($R$121:R123,R124)&gt;0,0,MAX($S$121:S123)+1))</f>
        <v>0</v>
      </c>
      <c r="T124" s="53" t="str">
        <f t="shared" si="63"/>
        <v/>
      </c>
      <c r="X124" s="201" t="str">
        <f>VLOOKUP(CONCATENATE(O124,".20"),'Resultados - 1'!$A$10:$BL$156,43,FALSE)</f>
        <v/>
      </c>
      <c r="AA124" s="201">
        <f>VLOOKUP(CONCATENATE(O124,".5"),'Resultados - 1'!$A$10:$BL$156,42,FALSE)</f>
        <v>0</v>
      </c>
      <c r="AD124" s="201" t="str">
        <f>VLOOKUP(CONCATENATE(O124,".20"),'Resultados - 1'!$A$10:$BL$156,44,FALSE)</f>
        <v/>
      </c>
      <c r="AE124" s="201" t="str">
        <f>VLOOKUP(CONCATENATE(O124,".19"),'Resultados - 1'!$A$10:$BL$156,44,FALSE)</f>
        <v/>
      </c>
      <c r="AF124" s="201" t="str">
        <f>VLOOKUP(CONCATENATE(O124,".9"),'Resultados - 1'!$A$10:$BL$156,48,FALSE)</f>
        <v/>
      </c>
    </row>
    <row r="125" spans="1:103" x14ac:dyDescent="0.3">
      <c r="A125" s="201">
        <f ca="1">VLOOKUP(CONCATENATE(O125,".9"),'Resultados - 1'!$A$10:$BL$156,40,FALSE)</f>
        <v>9</v>
      </c>
      <c r="B125" s="69" t="str">
        <f t="shared" ca="1" si="59"/>
        <v>E.MS.LQ-006</v>
      </c>
      <c r="C125" s="69" t="str">
        <f t="shared" ca="1" si="58"/>
        <v>Balança Analítica</v>
      </c>
      <c r="D125" s="69" t="str">
        <f t="shared" ca="1" si="58"/>
        <v>E.MS.LQ-006</v>
      </c>
      <c r="E125" s="69" t="str">
        <f t="shared" ca="1" si="58"/>
        <v xml:space="preserve">Elus </v>
      </c>
      <c r="F125" s="69" t="str">
        <f t="shared" ca="1" si="58"/>
        <v>RBC - CAL 0439</v>
      </c>
      <c r="G125" s="69" t="str">
        <f t="shared" ca="1" si="58"/>
        <v>E0014/26</v>
      </c>
      <c r="H125" s="202">
        <f t="shared" ca="1" si="58"/>
        <v>46031</v>
      </c>
      <c r="I125" s="203">
        <f t="shared" ca="1" si="58"/>
        <v>46417</v>
      </c>
      <c r="J125" s="199"/>
      <c r="K125" s="193">
        <f ca="1">IF(G125="",0,IF(COUNTIF(G$121:$G124,G125)&gt;0,0,MAX(K$121:$K124)+1))</f>
        <v>0</v>
      </c>
      <c r="L125" s="200" t="str">
        <f t="shared" ca="1" si="60"/>
        <v/>
      </c>
      <c r="M125" s="69" t="str">
        <f t="shared" ca="1" si="61"/>
        <v>VÁLIDO</v>
      </c>
      <c r="O125" s="41">
        <f t="shared" si="65"/>
        <v>5</v>
      </c>
      <c r="P125" s="41">
        <f t="shared" si="62"/>
        <v>1</v>
      </c>
      <c r="R125" s="201">
        <f>VLOOKUP(CONCATENATE(O125,".4"),'Resultados - 1'!$A$10:$BL$156,5,FALSE)</f>
        <v>1</v>
      </c>
      <c r="S125" s="267">
        <f>IF(R125="",0,IF(COUNTIF($R$121:R124,R125)&gt;0,0,MAX($S$121:S124)+1))</f>
        <v>0</v>
      </c>
      <c r="T125" s="53" t="str">
        <f t="shared" si="63"/>
        <v/>
      </c>
      <c r="X125" s="201" t="str">
        <f>VLOOKUP(CONCATENATE(O125,".20"),'Resultados - 1'!$A$10:$BL$156,43,FALSE)</f>
        <v/>
      </c>
      <c r="AA125" s="201">
        <f>VLOOKUP(CONCATENATE(O125,".5"),'Resultados - 1'!$A$10:$BL$156,42,FALSE)</f>
        <v>0</v>
      </c>
      <c r="AD125" s="201" t="str">
        <f>VLOOKUP(CONCATENATE(O125,".20"),'Resultados - 1'!$A$10:$BL$156,44,FALSE)</f>
        <v/>
      </c>
      <c r="AE125" s="201" t="str">
        <f>VLOOKUP(CONCATENATE(O125,".19"),'Resultados - 1'!$A$10:$BL$156,44,FALSE)</f>
        <v/>
      </c>
      <c r="AF125" s="201" t="str">
        <f>VLOOKUP(CONCATENATE(O125,".9"),'Resultados - 1'!$A$10:$BL$156,48,FALSE)</f>
        <v/>
      </c>
    </row>
    <row r="126" spans="1:103" x14ac:dyDescent="0.3">
      <c r="A126" s="201">
        <f ca="1">VLOOKUP(CONCATENATE(O126,".9"),'Resultados - 1'!$A$10:$BL$156,40,FALSE)</f>
        <v>9</v>
      </c>
      <c r="B126" s="69" t="str">
        <f t="shared" ca="1" si="59"/>
        <v>E.MS.LQ-006</v>
      </c>
      <c r="C126" s="69" t="str">
        <f t="shared" ca="1" si="58"/>
        <v>Balança Analítica</v>
      </c>
      <c r="D126" s="69" t="str">
        <f t="shared" ca="1" si="58"/>
        <v>E.MS.LQ-006</v>
      </c>
      <c r="E126" s="69" t="str">
        <f t="shared" ca="1" si="58"/>
        <v xml:space="preserve">Elus </v>
      </c>
      <c r="F126" s="69" t="str">
        <f t="shared" ca="1" si="58"/>
        <v>RBC - CAL 0439</v>
      </c>
      <c r="G126" s="69" t="str">
        <f t="shared" ca="1" si="58"/>
        <v>E0014/26</v>
      </c>
      <c r="H126" s="202">
        <f t="shared" ca="1" si="58"/>
        <v>46031</v>
      </c>
      <c r="I126" s="203">
        <f t="shared" ca="1" si="58"/>
        <v>46417</v>
      </c>
      <c r="J126" s="199"/>
      <c r="K126" s="193">
        <f ca="1">IF(G126="",0,IF(COUNTIF(G$121:$G125,G126)&gt;0,0,MAX(K$121:$K125)+1))</f>
        <v>0</v>
      </c>
      <c r="L126" s="200" t="str">
        <f t="shared" ca="1" si="60"/>
        <v/>
      </c>
      <c r="M126" s="69" t="str">
        <f t="shared" ca="1" si="61"/>
        <v>VÁLIDO</v>
      </c>
      <c r="O126" s="41">
        <f t="shared" si="65"/>
        <v>6</v>
      </c>
      <c r="P126" s="41">
        <f t="shared" si="62"/>
        <v>1</v>
      </c>
      <c r="R126" s="201">
        <f>VLOOKUP(CONCATENATE(O126,".4"),'Resultados - 1'!$A$10:$BL$156,5,FALSE)</f>
        <v>1</v>
      </c>
      <c r="S126" s="267">
        <f>IF(R126="",0,IF(COUNTIF($R$121:R125,R126)&gt;0,0,MAX($S$121:S125)+1))</f>
        <v>0</v>
      </c>
      <c r="T126" s="53" t="str">
        <f t="shared" si="63"/>
        <v/>
      </c>
      <c r="X126" s="201" t="str">
        <f>VLOOKUP(CONCATENATE(O126,".20"),'Resultados - 1'!$A$10:$BL$156,43,FALSE)</f>
        <v/>
      </c>
      <c r="AA126" s="201">
        <f>VLOOKUP(CONCATENATE(O126,".5"),'Resultados - 1'!$A$10:$BL$156,42,FALSE)</f>
        <v>0</v>
      </c>
      <c r="AD126" s="201" t="str">
        <f>VLOOKUP(CONCATENATE(O126,".20"),'Resultados - 1'!$A$10:$BL$156,44,FALSE)</f>
        <v/>
      </c>
      <c r="AE126" s="201" t="str">
        <f>VLOOKUP(CONCATENATE(O126,".19"),'Resultados - 1'!$A$10:$BL$156,44,FALSE)</f>
        <v/>
      </c>
      <c r="AF126" s="201" t="str">
        <f>VLOOKUP(CONCATENATE(O126,".9"),'Resultados - 1'!$A$10:$BL$156,48,FALSE)</f>
        <v/>
      </c>
    </row>
    <row r="127" spans="1:103" x14ac:dyDescent="0.3">
      <c r="A127" s="201">
        <f ca="1">VLOOKUP(CONCATENATE(O127,".9"),'Resultados - 1'!$A$10:$BL$156,40,FALSE)</f>
        <v>9</v>
      </c>
      <c r="B127" s="69" t="str">
        <f t="shared" ca="1" si="59"/>
        <v>E.MS.LQ-006</v>
      </c>
      <c r="C127" s="69" t="str">
        <f t="shared" ca="1" si="58"/>
        <v>Balança Analítica</v>
      </c>
      <c r="D127" s="69" t="str">
        <f t="shared" ca="1" si="58"/>
        <v>E.MS.LQ-006</v>
      </c>
      <c r="E127" s="69" t="str">
        <f t="shared" ca="1" si="58"/>
        <v xml:space="preserve">Elus </v>
      </c>
      <c r="F127" s="69" t="str">
        <f t="shared" ca="1" si="58"/>
        <v>RBC - CAL 0439</v>
      </c>
      <c r="G127" s="69" t="str">
        <f t="shared" ca="1" si="58"/>
        <v>E0014/26</v>
      </c>
      <c r="H127" s="202">
        <f t="shared" ca="1" si="58"/>
        <v>46031</v>
      </c>
      <c r="I127" s="203">
        <f t="shared" ca="1" si="58"/>
        <v>46417</v>
      </c>
      <c r="J127" s="199"/>
      <c r="K127" s="193">
        <f ca="1">IF(G127="",0,IF(COUNTIF(G$121:$G126,G127)&gt;0,0,MAX(K$121:$K126)+1))</f>
        <v>0</v>
      </c>
      <c r="L127" s="200" t="str">
        <f t="shared" ca="1" si="60"/>
        <v/>
      </c>
      <c r="M127" s="69" t="str">
        <f t="shared" ca="1" si="61"/>
        <v>VÁLIDO</v>
      </c>
      <c r="O127" s="41">
        <f t="shared" si="65"/>
        <v>7</v>
      </c>
      <c r="P127" s="41">
        <f t="shared" si="62"/>
        <v>1</v>
      </c>
      <c r="R127" s="201">
        <f>VLOOKUP(CONCATENATE(O127,".4"),'Resultados - 1'!$A$10:$BL$156,5,FALSE)</f>
        <v>1</v>
      </c>
      <c r="S127" s="267">
        <f>IF(R127="",0,IF(COUNTIF($R$121:R126,R127)&gt;0,0,MAX($S$121:S126)+1))</f>
        <v>0</v>
      </c>
      <c r="T127" s="53" t="str">
        <f t="shared" si="63"/>
        <v/>
      </c>
      <c r="X127" s="201" t="str">
        <f>VLOOKUP(CONCATENATE(O127,".20"),'Resultados - 1'!$A$10:$BL$156,43,FALSE)</f>
        <v/>
      </c>
      <c r="AA127" s="201">
        <f>VLOOKUP(CONCATENATE(O127,".5"),'Resultados - 1'!$A$10:$BL$156,42,FALSE)</f>
        <v>0</v>
      </c>
      <c r="AD127" s="201" t="str">
        <f>VLOOKUP(CONCATENATE(O127,".20"),'Resultados - 1'!$A$10:$BL$156,44,FALSE)</f>
        <v/>
      </c>
      <c r="AE127" s="201" t="str">
        <f>VLOOKUP(CONCATENATE(O127,".19"),'Resultados - 1'!$A$10:$BL$156,44,FALSE)</f>
        <v/>
      </c>
      <c r="AF127" s="201" t="str">
        <f>VLOOKUP(CONCATENATE(O127,".9"),'Resultados - 1'!$A$10:$BL$156,48,FALSE)</f>
        <v/>
      </c>
    </row>
    <row r="128" spans="1:103" x14ac:dyDescent="0.3">
      <c r="A128" s="204">
        <f ca="1">VLOOKUP(CONCATENATE(O128,".9"),'Resultados - 2'!$A$10:$BL$156,40,FALSE)</f>
        <v>9</v>
      </c>
      <c r="B128" s="69" t="str">
        <f t="shared" ref="B128:I137" ca="1" si="66">IF($A128="","",VLOOKUP($A128,$A$97:$CY$116,B$120,FALSE))</f>
        <v>E.MS.LQ-006</v>
      </c>
      <c r="C128" s="69" t="str">
        <f t="shared" ca="1" si="66"/>
        <v>Balança Analítica</v>
      </c>
      <c r="D128" s="69" t="str">
        <f t="shared" ca="1" si="66"/>
        <v>E.MS.LQ-006</v>
      </c>
      <c r="E128" s="69" t="str">
        <f t="shared" ca="1" si="66"/>
        <v xml:space="preserve">Elus </v>
      </c>
      <c r="F128" s="69" t="str">
        <f t="shared" ca="1" si="66"/>
        <v>RBC - CAL 0439</v>
      </c>
      <c r="G128" s="69" t="str">
        <f t="shared" ca="1" si="66"/>
        <v>E0014/26</v>
      </c>
      <c r="H128" s="202">
        <f t="shared" ca="1" si="66"/>
        <v>46031</v>
      </c>
      <c r="I128" s="203">
        <f t="shared" ca="1" si="66"/>
        <v>46417</v>
      </c>
      <c r="J128" s="199"/>
      <c r="K128" s="193">
        <f ca="1">IF(G128="",0,IF(COUNTIF(G$121:$G127,G128)&gt;0,0,MAX(K$121:$K127)+1))</f>
        <v>0</v>
      </c>
      <c r="L128" s="200" t="str">
        <f t="shared" ca="1" si="60"/>
        <v/>
      </c>
      <c r="M128" s="69" t="str">
        <f t="shared" ref="M128:M159" ca="1" si="67">IF($A128="","",VLOOKUP($A128,$A$97:$CY$116,M$120,FALSE))</f>
        <v>VÁLIDO</v>
      </c>
      <c r="O128" s="41">
        <f>O121</f>
        <v>1</v>
      </c>
      <c r="P128" s="41">
        <f>P121+1</f>
        <v>2</v>
      </c>
      <c r="R128" s="204">
        <f>VLOOKUP(CONCATENATE(O128,".4"),'Resultados - 2'!$A$10:$BL$156,5,FALSE)</f>
        <v>1</v>
      </c>
      <c r="S128" s="267">
        <f>IF(R128="",0,IF(COUNTIF($R$121:R127,R128)&gt;0,0,MAX($S$121:S127)+1))</f>
        <v>0</v>
      </c>
      <c r="T128" s="53" t="str">
        <f t="shared" si="63"/>
        <v/>
      </c>
      <c r="X128" s="204" t="str">
        <f>VLOOKUP(CONCATENATE(O128,".20"),'Resultados - 2'!$A$10:$BL$156,43,FALSE)</f>
        <v/>
      </c>
      <c r="AA128" s="204">
        <f>VLOOKUP(CONCATENATE(O128,".5"),'Resultados - 2'!$A$10:$BL$156,42,FALSE)</f>
        <v>0</v>
      </c>
      <c r="AD128" s="204" t="str">
        <f>VLOOKUP(CONCATENATE(O128,".20"),'Resultados - 2'!$A$10:$BL$156,44,FALSE)</f>
        <v/>
      </c>
      <c r="AE128" s="204" t="str">
        <f>VLOOKUP(CONCATENATE(O128,".19"),'Resultados - 2'!$A$10:$BL$156,44,FALSE)</f>
        <v/>
      </c>
      <c r="AF128" s="204" t="str">
        <f>VLOOKUP(CONCATENATE(O128,".9"),'Resultados - 2'!$A$10:$BL$156,48,FALSE)</f>
        <v/>
      </c>
    </row>
    <row r="129" spans="1:32" x14ac:dyDescent="0.3">
      <c r="A129" s="204">
        <f ca="1">VLOOKUP(CONCATENATE(O129,".9"),'Resultados - 2'!$A$10:$BL$156,40,FALSE)</f>
        <v>9</v>
      </c>
      <c r="B129" s="69" t="str">
        <f t="shared" ca="1" si="66"/>
        <v>E.MS.LQ-006</v>
      </c>
      <c r="C129" s="69" t="str">
        <f t="shared" ca="1" si="66"/>
        <v>Balança Analítica</v>
      </c>
      <c r="D129" s="69" t="str">
        <f t="shared" ca="1" si="66"/>
        <v>E.MS.LQ-006</v>
      </c>
      <c r="E129" s="69" t="str">
        <f t="shared" ca="1" si="66"/>
        <v xml:space="preserve">Elus </v>
      </c>
      <c r="F129" s="69" t="str">
        <f t="shared" ca="1" si="66"/>
        <v>RBC - CAL 0439</v>
      </c>
      <c r="G129" s="69" t="str">
        <f t="shared" ca="1" si="66"/>
        <v>E0014/26</v>
      </c>
      <c r="H129" s="202">
        <f t="shared" ca="1" si="66"/>
        <v>46031</v>
      </c>
      <c r="I129" s="203">
        <f t="shared" ca="1" si="66"/>
        <v>46417</v>
      </c>
      <c r="J129" s="199"/>
      <c r="K129" s="193">
        <f ca="1">IF(G129="",0,IF(COUNTIF(G$121:$G128,G129)&gt;0,0,MAX(K$121:$K128)+1))</f>
        <v>0</v>
      </c>
      <c r="L129" s="200" t="str">
        <f t="shared" ca="1" si="60"/>
        <v/>
      </c>
      <c r="M129" s="69" t="str">
        <f t="shared" ca="1" si="67"/>
        <v>VÁLIDO</v>
      </c>
      <c r="O129" s="41">
        <f t="shared" ref="O129:O134" si="68">O128+1</f>
        <v>2</v>
      </c>
      <c r="P129" s="41">
        <f t="shared" ref="P129:P192" si="69">P122+1</f>
        <v>2</v>
      </c>
      <c r="R129" s="204">
        <f>VLOOKUP(CONCATENATE(O129,".4"),'Resultados - 2'!$A$10:$BL$156,5,FALSE)</f>
        <v>1</v>
      </c>
      <c r="S129" s="267">
        <f>IF(R129="",0,IF(COUNTIF($R$121:R128,R129)&gt;0,0,MAX($S$121:S128)+1))</f>
        <v>0</v>
      </c>
      <c r="T129" s="53" t="str">
        <f t="shared" si="63"/>
        <v/>
      </c>
      <c r="X129" s="204" t="str">
        <f>VLOOKUP(CONCATENATE(O129,".20"),'Resultados - 2'!$A$10:$BL$156,43,FALSE)</f>
        <v/>
      </c>
      <c r="AA129" s="204">
        <f>VLOOKUP(CONCATENATE(O129,".5"),'Resultados - 2'!$A$10:$BL$156,42,FALSE)</f>
        <v>0</v>
      </c>
      <c r="AD129" s="204" t="str">
        <f>VLOOKUP(CONCATENATE(O129,".20"),'Resultados - 2'!$A$10:$BL$156,44,FALSE)</f>
        <v/>
      </c>
      <c r="AE129" s="204" t="str">
        <f>VLOOKUP(CONCATENATE(O129,".19"),'Resultados - 2'!$A$10:$BL$156,44,FALSE)</f>
        <v/>
      </c>
      <c r="AF129" s="204" t="str">
        <f>VLOOKUP(CONCATENATE(O129,".9"),'Resultados - 2'!$A$10:$BL$156,48,FALSE)</f>
        <v/>
      </c>
    </row>
    <row r="130" spans="1:32" x14ac:dyDescent="0.3">
      <c r="A130" s="204">
        <f ca="1">VLOOKUP(CONCATENATE(O130,".9"),'Resultados - 2'!$A$10:$BL$156,40,FALSE)</f>
        <v>9</v>
      </c>
      <c r="B130" s="69" t="str">
        <f t="shared" ca="1" si="66"/>
        <v>E.MS.LQ-006</v>
      </c>
      <c r="C130" s="69" t="str">
        <f t="shared" ca="1" si="66"/>
        <v>Balança Analítica</v>
      </c>
      <c r="D130" s="69" t="str">
        <f t="shared" ca="1" si="66"/>
        <v>E.MS.LQ-006</v>
      </c>
      <c r="E130" s="69" t="str">
        <f t="shared" ca="1" si="66"/>
        <v xml:space="preserve">Elus </v>
      </c>
      <c r="F130" s="69" t="str">
        <f t="shared" ca="1" si="66"/>
        <v>RBC - CAL 0439</v>
      </c>
      <c r="G130" s="69" t="str">
        <f t="shared" ca="1" si="66"/>
        <v>E0014/26</v>
      </c>
      <c r="H130" s="202">
        <f t="shared" ca="1" si="66"/>
        <v>46031</v>
      </c>
      <c r="I130" s="203">
        <f t="shared" ca="1" si="66"/>
        <v>46417</v>
      </c>
      <c r="J130" s="199"/>
      <c r="K130" s="193">
        <f ca="1">IF(G130="",0,IF(COUNTIF(G$121:$G129,G130)&gt;0,0,MAX(K$121:$K129)+1))</f>
        <v>0</v>
      </c>
      <c r="L130" s="200" t="str">
        <f t="shared" ca="1" si="60"/>
        <v/>
      </c>
      <c r="M130" s="69" t="str">
        <f t="shared" ca="1" si="67"/>
        <v>VÁLIDO</v>
      </c>
      <c r="O130" s="41">
        <f t="shared" si="68"/>
        <v>3</v>
      </c>
      <c r="P130" s="41">
        <f t="shared" si="69"/>
        <v>2</v>
      </c>
      <c r="R130" s="204">
        <f>VLOOKUP(CONCATENATE(O130,".4"),'Resultados - 2'!$A$10:$BL$156,5,FALSE)</f>
        <v>1</v>
      </c>
      <c r="S130" s="267">
        <f>IF(R130="",0,IF(COUNTIF($R$121:R129,R130)&gt;0,0,MAX($S$121:S129)+1))</f>
        <v>0</v>
      </c>
      <c r="T130" s="53" t="str">
        <f t="shared" si="63"/>
        <v/>
      </c>
      <c r="X130" s="204" t="str">
        <f>VLOOKUP(CONCATENATE(O130,".20"),'Resultados - 2'!$A$10:$BL$156,43,FALSE)</f>
        <v/>
      </c>
      <c r="AA130" s="204">
        <f>VLOOKUP(CONCATENATE(O130,".5"),'Resultados - 2'!$A$10:$BL$156,42,FALSE)</f>
        <v>0</v>
      </c>
      <c r="AD130" s="204" t="str">
        <f>VLOOKUP(CONCATENATE(O130,".20"),'Resultados - 2'!$A$10:$BL$156,44,FALSE)</f>
        <v/>
      </c>
      <c r="AE130" s="204" t="str">
        <f>VLOOKUP(CONCATENATE(O130,".19"),'Resultados - 2'!$A$10:$BL$156,44,FALSE)</f>
        <v/>
      </c>
      <c r="AF130" s="204" t="str">
        <f>VLOOKUP(CONCATENATE(O130,".9"),'Resultados - 2'!$A$10:$BL$156,48,FALSE)</f>
        <v/>
      </c>
    </row>
    <row r="131" spans="1:32" x14ac:dyDescent="0.3">
      <c r="A131" s="204">
        <f ca="1">VLOOKUP(CONCATENATE(O131,".9"),'Resultados - 2'!$A$10:$BL$156,40,FALSE)</f>
        <v>9</v>
      </c>
      <c r="B131" s="69" t="str">
        <f t="shared" ca="1" si="66"/>
        <v>E.MS.LQ-006</v>
      </c>
      <c r="C131" s="69" t="str">
        <f t="shared" ca="1" si="66"/>
        <v>Balança Analítica</v>
      </c>
      <c r="D131" s="69" t="str">
        <f t="shared" ca="1" si="66"/>
        <v>E.MS.LQ-006</v>
      </c>
      <c r="E131" s="69" t="str">
        <f t="shared" ca="1" si="66"/>
        <v xml:space="preserve">Elus </v>
      </c>
      <c r="F131" s="69" t="str">
        <f t="shared" ca="1" si="66"/>
        <v>RBC - CAL 0439</v>
      </c>
      <c r="G131" s="69" t="str">
        <f t="shared" ca="1" si="66"/>
        <v>E0014/26</v>
      </c>
      <c r="H131" s="202">
        <f t="shared" ca="1" si="66"/>
        <v>46031</v>
      </c>
      <c r="I131" s="203">
        <f t="shared" ca="1" si="66"/>
        <v>46417</v>
      </c>
      <c r="J131" s="199"/>
      <c r="K131" s="193">
        <f ca="1">IF(G131="",0,IF(COUNTIF(G$121:$G130,G131)&gt;0,0,MAX(K$121:$K130)+1))</f>
        <v>0</v>
      </c>
      <c r="L131" s="200" t="str">
        <f t="shared" ca="1" si="60"/>
        <v/>
      </c>
      <c r="M131" s="69" t="str">
        <f t="shared" ca="1" si="67"/>
        <v>VÁLIDO</v>
      </c>
      <c r="O131" s="41">
        <f t="shared" si="68"/>
        <v>4</v>
      </c>
      <c r="P131" s="41">
        <f t="shared" si="69"/>
        <v>2</v>
      </c>
      <c r="R131" s="204">
        <f>VLOOKUP(CONCATENATE(O131,".4"),'Resultados - 2'!$A$10:$BL$156,5,FALSE)</f>
        <v>1</v>
      </c>
      <c r="S131" s="267">
        <f>IF(R131="",0,IF(COUNTIF($R$121:R130,R131)&gt;0,0,MAX($S$121:S130)+1))</f>
        <v>0</v>
      </c>
      <c r="T131" s="53" t="str">
        <f t="shared" si="63"/>
        <v/>
      </c>
      <c r="X131" s="204" t="str">
        <f>VLOOKUP(CONCATENATE(O131,".20"),'Resultados - 2'!$A$10:$BL$156,43,FALSE)</f>
        <v/>
      </c>
      <c r="AA131" s="204">
        <f>VLOOKUP(CONCATENATE(O131,".5"),'Resultados - 2'!$A$10:$BL$156,42,FALSE)</f>
        <v>0</v>
      </c>
      <c r="AD131" s="204" t="str">
        <f>VLOOKUP(CONCATENATE(O131,".20"),'Resultados - 2'!$A$10:$BL$156,44,FALSE)</f>
        <v/>
      </c>
      <c r="AE131" s="204" t="str">
        <f>VLOOKUP(CONCATENATE(O131,".19"),'Resultados - 2'!$A$10:$BL$156,44,FALSE)</f>
        <v/>
      </c>
      <c r="AF131" s="204" t="str">
        <f>VLOOKUP(CONCATENATE(O131,".9"),'Resultados - 2'!$A$10:$BL$156,48,FALSE)</f>
        <v/>
      </c>
    </row>
    <row r="132" spans="1:32" x14ac:dyDescent="0.3">
      <c r="A132" s="204">
        <f ca="1">VLOOKUP(CONCATENATE(O132,".9"),'Resultados - 2'!$A$10:$BL$156,40,FALSE)</f>
        <v>9</v>
      </c>
      <c r="B132" s="69" t="str">
        <f t="shared" ca="1" si="66"/>
        <v>E.MS.LQ-006</v>
      </c>
      <c r="C132" s="69" t="str">
        <f t="shared" ca="1" si="66"/>
        <v>Balança Analítica</v>
      </c>
      <c r="D132" s="69" t="str">
        <f t="shared" ca="1" si="66"/>
        <v>E.MS.LQ-006</v>
      </c>
      <c r="E132" s="69" t="str">
        <f t="shared" ca="1" si="66"/>
        <v xml:space="preserve">Elus </v>
      </c>
      <c r="F132" s="69" t="str">
        <f t="shared" ca="1" si="66"/>
        <v>RBC - CAL 0439</v>
      </c>
      <c r="G132" s="69" t="str">
        <f t="shared" ca="1" si="66"/>
        <v>E0014/26</v>
      </c>
      <c r="H132" s="202">
        <f t="shared" ca="1" si="66"/>
        <v>46031</v>
      </c>
      <c r="I132" s="203">
        <f t="shared" ca="1" si="66"/>
        <v>46417</v>
      </c>
      <c r="J132" s="199"/>
      <c r="K132" s="193">
        <f ca="1">IF(G132="",0,IF(COUNTIF(G$121:$G131,G132)&gt;0,0,MAX(K$121:$K131)+1))</f>
        <v>0</v>
      </c>
      <c r="L132" s="200" t="str">
        <f t="shared" ca="1" si="60"/>
        <v/>
      </c>
      <c r="M132" s="69" t="str">
        <f t="shared" ca="1" si="67"/>
        <v>VÁLIDO</v>
      </c>
      <c r="O132" s="41">
        <f t="shared" si="68"/>
        <v>5</v>
      </c>
      <c r="P132" s="41">
        <f t="shared" si="69"/>
        <v>2</v>
      </c>
      <c r="R132" s="204">
        <f>VLOOKUP(CONCATENATE(O132,".4"),'Resultados - 2'!$A$10:$BL$156,5,FALSE)</f>
        <v>1</v>
      </c>
      <c r="S132" s="267">
        <f>IF(R132="",0,IF(COUNTIF($R$121:R131,R132)&gt;0,0,MAX($S$121:S131)+1))</f>
        <v>0</v>
      </c>
      <c r="T132" s="53" t="str">
        <f t="shared" si="63"/>
        <v/>
      </c>
      <c r="X132" s="204" t="str">
        <f>VLOOKUP(CONCATENATE(O132,".20"),'Resultados - 2'!$A$10:$BL$156,43,FALSE)</f>
        <v/>
      </c>
      <c r="AA132" s="204">
        <f>VLOOKUP(CONCATENATE(O132,".5"),'Resultados - 2'!$A$10:$BL$156,42,FALSE)</f>
        <v>0</v>
      </c>
      <c r="AD132" s="204" t="str">
        <f>VLOOKUP(CONCATENATE(O132,".20"),'Resultados - 2'!$A$10:$BL$156,44,FALSE)</f>
        <v/>
      </c>
      <c r="AE132" s="204" t="str">
        <f>VLOOKUP(CONCATENATE(O132,".19"),'Resultados - 2'!$A$10:$BL$156,44,FALSE)</f>
        <v/>
      </c>
      <c r="AF132" s="204" t="str">
        <f>VLOOKUP(CONCATENATE(O132,".9"),'Resultados - 2'!$A$10:$BL$156,48,FALSE)</f>
        <v/>
      </c>
    </row>
    <row r="133" spans="1:32" x14ac:dyDescent="0.3">
      <c r="A133" s="204">
        <f ca="1">VLOOKUP(CONCATENATE(O133,".9"),'Resultados - 2'!$A$10:$BL$156,40,FALSE)</f>
        <v>9</v>
      </c>
      <c r="B133" s="69" t="str">
        <f t="shared" ca="1" si="66"/>
        <v>E.MS.LQ-006</v>
      </c>
      <c r="C133" s="69" t="str">
        <f t="shared" ca="1" si="66"/>
        <v>Balança Analítica</v>
      </c>
      <c r="D133" s="69" t="str">
        <f t="shared" ca="1" si="66"/>
        <v>E.MS.LQ-006</v>
      </c>
      <c r="E133" s="69" t="str">
        <f t="shared" ca="1" si="66"/>
        <v xml:space="preserve">Elus </v>
      </c>
      <c r="F133" s="69" t="str">
        <f t="shared" ca="1" si="66"/>
        <v>RBC - CAL 0439</v>
      </c>
      <c r="G133" s="69" t="str">
        <f t="shared" ca="1" si="66"/>
        <v>E0014/26</v>
      </c>
      <c r="H133" s="202">
        <f t="shared" ca="1" si="66"/>
        <v>46031</v>
      </c>
      <c r="I133" s="203">
        <f t="shared" ca="1" si="66"/>
        <v>46417</v>
      </c>
      <c r="J133" s="199"/>
      <c r="K133" s="193">
        <f ca="1">IF(G133="",0,IF(COUNTIF(G$121:$G132,G133)&gt;0,0,MAX(K$121:$K132)+1))</f>
        <v>0</v>
      </c>
      <c r="L133" s="200" t="str">
        <f t="shared" ca="1" si="60"/>
        <v/>
      </c>
      <c r="M133" s="69" t="str">
        <f t="shared" ca="1" si="67"/>
        <v>VÁLIDO</v>
      </c>
      <c r="O133" s="41">
        <f t="shared" si="68"/>
        <v>6</v>
      </c>
      <c r="P133" s="41">
        <f t="shared" si="69"/>
        <v>2</v>
      </c>
      <c r="R133" s="204">
        <f>VLOOKUP(CONCATENATE(O133,".4"),'Resultados - 2'!$A$10:$BL$156,5,FALSE)</f>
        <v>1</v>
      </c>
      <c r="S133" s="267">
        <f>IF(R133="",0,IF(COUNTIF($R$121:R132,R133)&gt;0,0,MAX($S$121:S132)+1))</f>
        <v>0</v>
      </c>
      <c r="T133" s="53" t="str">
        <f t="shared" si="63"/>
        <v/>
      </c>
      <c r="X133" s="204" t="str">
        <f>VLOOKUP(CONCATENATE(O133,".20"),'Resultados - 2'!$A$10:$BL$156,43,FALSE)</f>
        <v/>
      </c>
      <c r="AA133" s="204">
        <f>VLOOKUP(CONCATENATE(O133,".5"),'Resultados - 2'!$A$10:$BL$156,42,FALSE)</f>
        <v>0</v>
      </c>
      <c r="AD133" s="204" t="str">
        <f>VLOOKUP(CONCATENATE(O133,".20"),'Resultados - 2'!$A$10:$BL$156,44,FALSE)</f>
        <v/>
      </c>
      <c r="AE133" s="204" t="str">
        <f>VLOOKUP(CONCATENATE(O133,".19"),'Resultados - 2'!$A$10:$BL$156,44,FALSE)</f>
        <v/>
      </c>
      <c r="AF133" s="204" t="str">
        <f>VLOOKUP(CONCATENATE(O133,".9"),'Resultados - 2'!$A$10:$BL$156,48,FALSE)</f>
        <v/>
      </c>
    </row>
    <row r="134" spans="1:32" x14ac:dyDescent="0.3">
      <c r="A134" s="204">
        <f ca="1">VLOOKUP(CONCATENATE(O134,".9"),'Resultados - 2'!$A$10:$BL$156,40,FALSE)</f>
        <v>9</v>
      </c>
      <c r="B134" s="69" t="str">
        <f t="shared" ca="1" si="66"/>
        <v>E.MS.LQ-006</v>
      </c>
      <c r="C134" s="69" t="str">
        <f t="shared" ca="1" si="66"/>
        <v>Balança Analítica</v>
      </c>
      <c r="D134" s="69" t="str">
        <f t="shared" ca="1" si="66"/>
        <v>E.MS.LQ-006</v>
      </c>
      <c r="E134" s="69" t="str">
        <f t="shared" ca="1" si="66"/>
        <v xml:space="preserve">Elus </v>
      </c>
      <c r="F134" s="69" t="str">
        <f t="shared" ca="1" si="66"/>
        <v>RBC - CAL 0439</v>
      </c>
      <c r="G134" s="69" t="str">
        <f t="shared" ca="1" si="66"/>
        <v>E0014/26</v>
      </c>
      <c r="H134" s="202">
        <f t="shared" ca="1" si="66"/>
        <v>46031</v>
      </c>
      <c r="I134" s="203">
        <f t="shared" ca="1" si="66"/>
        <v>46417</v>
      </c>
      <c r="J134" s="199"/>
      <c r="K134" s="193">
        <f ca="1">IF(G134="",0,IF(COUNTIF(G$121:$G133,G134)&gt;0,0,MAX(K$121:$K133)+1))</f>
        <v>0</v>
      </c>
      <c r="L134" s="200" t="str">
        <f t="shared" ca="1" si="60"/>
        <v/>
      </c>
      <c r="M134" s="69" t="str">
        <f t="shared" ca="1" si="67"/>
        <v>VÁLIDO</v>
      </c>
      <c r="O134" s="41">
        <f t="shared" si="68"/>
        <v>7</v>
      </c>
      <c r="P134" s="41">
        <f t="shared" si="69"/>
        <v>2</v>
      </c>
      <c r="R134" s="204">
        <f>VLOOKUP(CONCATENATE(O134,".4"),'Resultados - 2'!$A$10:$BL$156,5,FALSE)</f>
        <v>1</v>
      </c>
      <c r="S134" s="267">
        <f>IF(R134="",0,IF(COUNTIF($R$121:R133,R134)&gt;0,0,MAX($S$121:S133)+1))</f>
        <v>0</v>
      </c>
      <c r="T134" s="53" t="str">
        <f t="shared" si="63"/>
        <v/>
      </c>
      <c r="X134" s="204" t="str">
        <f>VLOOKUP(CONCATENATE(O134,".20"),'Resultados - 2'!$A$10:$BL$156,43,FALSE)</f>
        <v/>
      </c>
      <c r="AA134" s="204">
        <f>VLOOKUP(CONCATENATE(O134,".5"),'Resultados - 2'!$A$10:$BL$156,42,FALSE)</f>
        <v>0</v>
      </c>
      <c r="AD134" s="204" t="str">
        <f>VLOOKUP(CONCATENATE(O134,".20"),'Resultados - 2'!$A$10:$BL$156,44,FALSE)</f>
        <v/>
      </c>
      <c r="AE134" s="204" t="str">
        <f>VLOOKUP(CONCATENATE(O134,".19"),'Resultados - 2'!$A$10:$BL$156,44,FALSE)</f>
        <v/>
      </c>
      <c r="AF134" s="204" t="str">
        <f>VLOOKUP(CONCATENATE(O134,".9"),'Resultados - 2'!$A$10:$BL$156,48,FALSE)</f>
        <v/>
      </c>
    </row>
    <row r="135" spans="1:32" x14ac:dyDescent="0.3">
      <c r="A135" s="201">
        <f ca="1">VLOOKUP(CONCATENATE(O135,".9"),'Resultados - 3'!$A$10:$BL$156,40,FALSE)</f>
        <v>9</v>
      </c>
      <c r="B135" s="69" t="str">
        <f t="shared" ca="1" si="66"/>
        <v>E.MS.LQ-006</v>
      </c>
      <c r="C135" s="69" t="str">
        <f t="shared" ca="1" si="66"/>
        <v>Balança Analítica</v>
      </c>
      <c r="D135" s="69" t="str">
        <f t="shared" ca="1" si="66"/>
        <v>E.MS.LQ-006</v>
      </c>
      <c r="E135" s="69" t="str">
        <f t="shared" ca="1" si="66"/>
        <v xml:space="preserve">Elus </v>
      </c>
      <c r="F135" s="69" t="str">
        <f t="shared" ca="1" si="66"/>
        <v>RBC - CAL 0439</v>
      </c>
      <c r="G135" s="69" t="str">
        <f t="shared" ca="1" si="66"/>
        <v>E0014/26</v>
      </c>
      <c r="H135" s="202">
        <f t="shared" ca="1" si="66"/>
        <v>46031</v>
      </c>
      <c r="I135" s="203">
        <f t="shared" ca="1" si="66"/>
        <v>46417</v>
      </c>
      <c r="J135" s="199"/>
      <c r="K135" s="193">
        <f ca="1">IF(G135="",0,IF(COUNTIF(G$121:$G134,G135)&gt;0,0,MAX(K$121:$K134)+1))</f>
        <v>0</v>
      </c>
      <c r="L135" s="200" t="str">
        <f t="shared" ca="1" si="60"/>
        <v/>
      </c>
      <c r="M135" s="69" t="str">
        <f t="shared" ca="1" si="67"/>
        <v>VÁLIDO</v>
      </c>
      <c r="O135" s="41">
        <f>O128</f>
        <v>1</v>
      </c>
      <c r="P135" s="41">
        <f t="shared" si="69"/>
        <v>3</v>
      </c>
      <c r="R135" s="201">
        <f>VLOOKUP(CONCATENATE(O135,".4"),'Resultados - 3'!$A$10:$BL$156,5,FALSE)</f>
        <v>1</v>
      </c>
      <c r="S135" s="267">
        <f>IF(R135="",0,IF(COUNTIF($R$121:R134,R135)&gt;0,0,MAX($S$121:S134)+1))</f>
        <v>0</v>
      </c>
      <c r="T135" s="53" t="str">
        <f t="shared" si="63"/>
        <v/>
      </c>
      <c r="X135" s="201" t="str">
        <f>VLOOKUP(CONCATENATE(O135,".20"),'Resultados - 3'!$A$10:$BL$156,43,FALSE)</f>
        <v/>
      </c>
      <c r="AA135" s="201">
        <f>VLOOKUP(CONCATENATE(O135,".5"),'Resultados - 3'!$A$10:$BL$156,42,FALSE)</f>
        <v>0</v>
      </c>
      <c r="AD135" s="201" t="str">
        <f>VLOOKUP(CONCATENATE(O135,".20"),'Resultados - 3'!$A$10:$BL$156,44,FALSE)</f>
        <v/>
      </c>
    </row>
    <row r="136" spans="1:32" x14ac:dyDescent="0.3">
      <c r="A136" s="201">
        <f ca="1">VLOOKUP(CONCATENATE(O136,".9"),'Resultados - 3'!$A$10:$BL$156,40,FALSE)</f>
        <v>9</v>
      </c>
      <c r="B136" s="69" t="str">
        <f t="shared" ca="1" si="66"/>
        <v>E.MS.LQ-006</v>
      </c>
      <c r="C136" s="69" t="str">
        <f t="shared" ca="1" si="66"/>
        <v>Balança Analítica</v>
      </c>
      <c r="D136" s="69" t="str">
        <f t="shared" ca="1" si="66"/>
        <v>E.MS.LQ-006</v>
      </c>
      <c r="E136" s="69" t="str">
        <f t="shared" ca="1" si="66"/>
        <v xml:space="preserve">Elus </v>
      </c>
      <c r="F136" s="69" t="str">
        <f t="shared" ca="1" si="66"/>
        <v>RBC - CAL 0439</v>
      </c>
      <c r="G136" s="69" t="str">
        <f t="shared" ca="1" si="66"/>
        <v>E0014/26</v>
      </c>
      <c r="H136" s="202">
        <f t="shared" ca="1" si="66"/>
        <v>46031</v>
      </c>
      <c r="I136" s="203">
        <f t="shared" ca="1" si="66"/>
        <v>46417</v>
      </c>
      <c r="J136" s="199"/>
      <c r="K136" s="193">
        <f ca="1">IF(G136="",0,IF(COUNTIF(G$121:$G135,G136)&gt;0,0,MAX(K$121:$K135)+1))</f>
        <v>0</v>
      </c>
      <c r="L136" s="200" t="str">
        <f t="shared" ca="1" si="60"/>
        <v/>
      </c>
      <c r="M136" s="69" t="str">
        <f t="shared" ca="1" si="67"/>
        <v>VÁLIDO</v>
      </c>
      <c r="O136" s="41">
        <f t="shared" ref="O136:O141" si="70">O135+1</f>
        <v>2</v>
      </c>
      <c r="P136" s="41">
        <f t="shared" si="69"/>
        <v>3</v>
      </c>
      <c r="R136" s="201">
        <f>VLOOKUP(CONCATENATE(O136,".4"),'Resultados - 3'!$A$10:$BL$156,5,FALSE)</f>
        <v>1</v>
      </c>
      <c r="S136" s="267">
        <f>IF(R136="",0,IF(COUNTIF($R$121:R135,R136)&gt;0,0,MAX($S$121:S135)+1))</f>
        <v>0</v>
      </c>
      <c r="T136" s="53" t="str">
        <f t="shared" si="63"/>
        <v/>
      </c>
      <c r="X136" s="201" t="str">
        <f>VLOOKUP(CONCATENATE(O136,".20"),'Resultados - 3'!$A$10:$BL$156,43,FALSE)</f>
        <v/>
      </c>
      <c r="AA136" s="201">
        <f>VLOOKUP(CONCATENATE(O136,".5"),'Resultados - 3'!$A$10:$BL$156,42,FALSE)</f>
        <v>0</v>
      </c>
      <c r="AD136" s="201" t="str">
        <f>VLOOKUP(CONCATENATE(O136,".20"),'Resultados - 3'!$A$10:$BL$156,44,FALSE)</f>
        <v/>
      </c>
    </row>
    <row r="137" spans="1:32" x14ac:dyDescent="0.3">
      <c r="A137" s="201">
        <f ca="1">VLOOKUP(CONCATENATE(O137,".9"),'Resultados - 3'!$A$10:$BL$156,40,FALSE)</f>
        <v>9</v>
      </c>
      <c r="B137" s="69" t="str">
        <f t="shared" ca="1" si="66"/>
        <v>E.MS.LQ-006</v>
      </c>
      <c r="C137" s="69" t="str">
        <f t="shared" ca="1" si="66"/>
        <v>Balança Analítica</v>
      </c>
      <c r="D137" s="69" t="str">
        <f t="shared" ca="1" si="66"/>
        <v>E.MS.LQ-006</v>
      </c>
      <c r="E137" s="69" t="str">
        <f t="shared" ca="1" si="66"/>
        <v xml:space="preserve">Elus </v>
      </c>
      <c r="F137" s="69" t="str">
        <f t="shared" ca="1" si="66"/>
        <v>RBC - CAL 0439</v>
      </c>
      <c r="G137" s="69" t="str">
        <f t="shared" ca="1" si="66"/>
        <v>E0014/26</v>
      </c>
      <c r="H137" s="202">
        <f t="shared" ca="1" si="66"/>
        <v>46031</v>
      </c>
      <c r="I137" s="203">
        <f t="shared" ca="1" si="66"/>
        <v>46417</v>
      </c>
      <c r="J137" s="199"/>
      <c r="K137" s="193">
        <f ca="1">IF(G137="",0,IF(COUNTIF(G$121:$G136,G137)&gt;0,0,MAX(K$121:$K136)+1))</f>
        <v>0</v>
      </c>
      <c r="L137" s="200" t="str">
        <f t="shared" ca="1" si="60"/>
        <v/>
      </c>
      <c r="M137" s="69" t="str">
        <f t="shared" ca="1" si="67"/>
        <v>VÁLIDO</v>
      </c>
      <c r="O137" s="41">
        <f t="shared" si="70"/>
        <v>3</v>
      </c>
      <c r="P137" s="41">
        <f t="shared" si="69"/>
        <v>3</v>
      </c>
      <c r="R137" s="201">
        <f>VLOOKUP(CONCATENATE(O137,".4"),'Resultados - 3'!$A$10:$BL$156,5,FALSE)</f>
        <v>1</v>
      </c>
      <c r="S137" s="267">
        <f>IF(R137="",0,IF(COUNTIF($R$121:R136,R137)&gt;0,0,MAX($S$121:S136)+1))</f>
        <v>0</v>
      </c>
      <c r="T137" s="53" t="str">
        <f t="shared" si="63"/>
        <v/>
      </c>
      <c r="X137" s="201" t="str">
        <f>VLOOKUP(CONCATENATE(O137,".20"),'Resultados - 3'!$A$10:$BL$156,43,FALSE)</f>
        <v/>
      </c>
      <c r="AA137" s="201">
        <f>VLOOKUP(CONCATENATE(O137,".5"),'Resultados - 3'!$A$10:$BL$156,42,FALSE)</f>
        <v>0</v>
      </c>
      <c r="AD137" s="201" t="str">
        <f>VLOOKUP(CONCATENATE(O137,".20"),'Resultados - 3'!$A$10:$BL$156,44,FALSE)</f>
        <v/>
      </c>
    </row>
    <row r="138" spans="1:32" x14ac:dyDescent="0.3">
      <c r="A138" s="201">
        <f ca="1">VLOOKUP(CONCATENATE(O138,".9"),'Resultados - 3'!$A$10:$BL$156,40,FALSE)</f>
        <v>9</v>
      </c>
      <c r="B138" s="69" t="str">
        <f t="shared" ref="B138:I147" ca="1" si="71">IF($A138="","",VLOOKUP($A138,$A$97:$CY$116,B$120,FALSE))</f>
        <v>E.MS.LQ-006</v>
      </c>
      <c r="C138" s="69" t="str">
        <f t="shared" ca="1" si="71"/>
        <v>Balança Analítica</v>
      </c>
      <c r="D138" s="69" t="str">
        <f t="shared" ca="1" si="71"/>
        <v>E.MS.LQ-006</v>
      </c>
      <c r="E138" s="69" t="str">
        <f t="shared" ca="1" si="71"/>
        <v xml:space="preserve">Elus </v>
      </c>
      <c r="F138" s="69" t="str">
        <f t="shared" ca="1" si="71"/>
        <v>RBC - CAL 0439</v>
      </c>
      <c r="G138" s="69" t="str">
        <f t="shared" ca="1" si="71"/>
        <v>E0014/26</v>
      </c>
      <c r="H138" s="202">
        <f t="shared" ca="1" si="71"/>
        <v>46031</v>
      </c>
      <c r="I138" s="203">
        <f t="shared" ca="1" si="71"/>
        <v>46417</v>
      </c>
      <c r="J138" s="199"/>
      <c r="K138" s="193">
        <f ca="1">IF(G138="",0,IF(COUNTIF(G$121:$G137,G138)&gt;0,0,MAX(K$121:$K137)+1))</f>
        <v>0</v>
      </c>
      <c r="L138" s="200" t="str">
        <f t="shared" ca="1" si="60"/>
        <v/>
      </c>
      <c r="M138" s="69" t="str">
        <f t="shared" ca="1" si="67"/>
        <v>VÁLIDO</v>
      </c>
      <c r="O138" s="41">
        <f t="shared" si="70"/>
        <v>4</v>
      </c>
      <c r="P138" s="41">
        <f t="shared" si="69"/>
        <v>3</v>
      </c>
      <c r="R138" s="201">
        <f>VLOOKUP(CONCATENATE(O138,".4"),'Resultados - 3'!$A$10:$BL$156,5,FALSE)</f>
        <v>1</v>
      </c>
      <c r="S138" s="267">
        <f>IF(R138="",0,IF(COUNTIF($R$121:R137,R138)&gt;0,0,MAX($S$121:S137)+1))</f>
        <v>0</v>
      </c>
      <c r="T138" s="53" t="str">
        <f t="shared" si="63"/>
        <v/>
      </c>
      <c r="X138" s="201" t="str">
        <f>VLOOKUP(CONCATENATE(O138,".20"),'Resultados - 3'!$A$10:$BL$156,43,FALSE)</f>
        <v/>
      </c>
      <c r="AA138" s="201">
        <f>VLOOKUP(CONCATENATE(O138,".5"),'Resultados - 3'!$A$10:$BL$156,42,FALSE)</f>
        <v>0</v>
      </c>
      <c r="AD138" s="201" t="str">
        <f>VLOOKUP(CONCATENATE(O138,".20"),'Resultados - 3'!$A$10:$BL$156,44,FALSE)</f>
        <v/>
      </c>
    </row>
    <row r="139" spans="1:32" x14ac:dyDescent="0.3">
      <c r="A139" s="201">
        <f ca="1">VLOOKUP(CONCATENATE(O139,".9"),'Resultados - 3'!$A$10:$BL$156,40,FALSE)</f>
        <v>9</v>
      </c>
      <c r="B139" s="69" t="str">
        <f t="shared" ca="1" si="71"/>
        <v>E.MS.LQ-006</v>
      </c>
      <c r="C139" s="69" t="str">
        <f t="shared" ca="1" si="71"/>
        <v>Balança Analítica</v>
      </c>
      <c r="D139" s="69" t="str">
        <f t="shared" ca="1" si="71"/>
        <v>E.MS.LQ-006</v>
      </c>
      <c r="E139" s="69" t="str">
        <f t="shared" ca="1" si="71"/>
        <v xml:space="preserve">Elus </v>
      </c>
      <c r="F139" s="69" t="str">
        <f t="shared" ca="1" si="71"/>
        <v>RBC - CAL 0439</v>
      </c>
      <c r="G139" s="69" t="str">
        <f t="shared" ca="1" si="71"/>
        <v>E0014/26</v>
      </c>
      <c r="H139" s="202">
        <f t="shared" ca="1" si="71"/>
        <v>46031</v>
      </c>
      <c r="I139" s="203">
        <f t="shared" ca="1" si="71"/>
        <v>46417</v>
      </c>
      <c r="J139" s="199"/>
      <c r="K139" s="193">
        <f ca="1">IF(G139="",0,IF(COUNTIF(G$121:$G138,G139)&gt;0,0,MAX(K$121:$K138)+1))</f>
        <v>0</v>
      </c>
      <c r="L139" s="200" t="str">
        <f t="shared" ca="1" si="60"/>
        <v/>
      </c>
      <c r="M139" s="69" t="str">
        <f t="shared" ca="1" si="67"/>
        <v>VÁLIDO</v>
      </c>
      <c r="O139" s="41">
        <f t="shared" si="70"/>
        <v>5</v>
      </c>
      <c r="P139" s="41">
        <f t="shared" si="69"/>
        <v>3</v>
      </c>
      <c r="R139" s="201">
        <f>VLOOKUP(CONCATENATE(O139,".4"),'Resultados - 3'!$A$10:$BL$156,5,FALSE)</f>
        <v>1</v>
      </c>
      <c r="S139" s="267">
        <f>IF(R139="",0,IF(COUNTIF($R$121:R138,R139)&gt;0,0,MAX($S$121:S138)+1))</f>
        <v>0</v>
      </c>
      <c r="T139" s="53" t="str">
        <f t="shared" si="63"/>
        <v/>
      </c>
      <c r="X139" s="201" t="str">
        <f>VLOOKUP(CONCATENATE(O139,".20"),'Resultados - 3'!$A$10:$BL$156,43,FALSE)</f>
        <v/>
      </c>
      <c r="AA139" s="201">
        <f>VLOOKUP(CONCATENATE(O139,".5"),'Resultados - 3'!$A$10:$BL$156,42,FALSE)</f>
        <v>0</v>
      </c>
      <c r="AD139" s="201" t="str">
        <f>VLOOKUP(CONCATENATE(O139,".20"),'Resultados - 3'!$A$10:$BL$156,44,FALSE)</f>
        <v/>
      </c>
    </row>
    <row r="140" spans="1:32" x14ac:dyDescent="0.3">
      <c r="A140" s="201">
        <f ca="1">VLOOKUP(CONCATENATE(O140,".9"),'Resultados - 3'!$A$10:$BL$156,40,FALSE)</f>
        <v>9</v>
      </c>
      <c r="B140" s="69" t="str">
        <f t="shared" ca="1" si="71"/>
        <v>E.MS.LQ-006</v>
      </c>
      <c r="C140" s="69" t="str">
        <f t="shared" ca="1" si="71"/>
        <v>Balança Analítica</v>
      </c>
      <c r="D140" s="69" t="str">
        <f t="shared" ca="1" si="71"/>
        <v>E.MS.LQ-006</v>
      </c>
      <c r="E140" s="69" t="str">
        <f t="shared" ca="1" si="71"/>
        <v xml:space="preserve">Elus </v>
      </c>
      <c r="F140" s="69" t="str">
        <f t="shared" ca="1" si="71"/>
        <v>RBC - CAL 0439</v>
      </c>
      <c r="G140" s="69" t="str">
        <f t="shared" ca="1" si="71"/>
        <v>E0014/26</v>
      </c>
      <c r="H140" s="202">
        <f t="shared" ca="1" si="71"/>
        <v>46031</v>
      </c>
      <c r="I140" s="203">
        <f t="shared" ca="1" si="71"/>
        <v>46417</v>
      </c>
      <c r="J140" s="199"/>
      <c r="K140" s="193">
        <f ca="1">IF(G140="",0,IF(COUNTIF(G$121:$G139,G140)&gt;0,0,MAX(K$121:$K139)+1))</f>
        <v>0</v>
      </c>
      <c r="L140" s="200" t="str">
        <f t="shared" ca="1" si="60"/>
        <v/>
      </c>
      <c r="M140" s="69" t="str">
        <f t="shared" ca="1" si="67"/>
        <v>VÁLIDO</v>
      </c>
      <c r="O140" s="41">
        <f t="shared" si="70"/>
        <v>6</v>
      </c>
      <c r="P140" s="41">
        <f t="shared" si="69"/>
        <v>3</v>
      </c>
      <c r="R140" s="201">
        <f>VLOOKUP(CONCATENATE(O140,".4"),'Resultados - 3'!$A$10:$BL$156,5,FALSE)</f>
        <v>1</v>
      </c>
      <c r="S140" s="267">
        <f>IF(R140="",0,IF(COUNTIF($R$121:R139,R140)&gt;0,0,MAX($S$121:S139)+1))</f>
        <v>0</v>
      </c>
      <c r="T140" s="53" t="str">
        <f t="shared" si="63"/>
        <v/>
      </c>
      <c r="X140" s="201" t="str">
        <f>VLOOKUP(CONCATENATE(O140,".20"),'Resultados - 3'!$A$10:$BL$156,43,FALSE)</f>
        <v/>
      </c>
      <c r="AA140" s="201">
        <f>VLOOKUP(CONCATENATE(O140,".5"),'Resultados - 3'!$A$10:$BL$156,42,FALSE)</f>
        <v>0</v>
      </c>
      <c r="AD140" s="201" t="str">
        <f>VLOOKUP(CONCATENATE(O140,".20"),'Resultados - 3'!$A$10:$BL$156,44,FALSE)</f>
        <v/>
      </c>
    </row>
    <row r="141" spans="1:32" x14ac:dyDescent="0.3">
      <c r="A141" s="201">
        <f ca="1">VLOOKUP(CONCATENATE(O141,".9"),'Resultados - 3'!$A$10:$BL$156,40,FALSE)</f>
        <v>9</v>
      </c>
      <c r="B141" s="69" t="str">
        <f t="shared" ca="1" si="71"/>
        <v>E.MS.LQ-006</v>
      </c>
      <c r="C141" s="69" t="str">
        <f t="shared" ca="1" si="71"/>
        <v>Balança Analítica</v>
      </c>
      <c r="D141" s="69" t="str">
        <f t="shared" ca="1" si="71"/>
        <v>E.MS.LQ-006</v>
      </c>
      <c r="E141" s="69" t="str">
        <f t="shared" ca="1" si="71"/>
        <v xml:space="preserve">Elus </v>
      </c>
      <c r="F141" s="69" t="str">
        <f t="shared" ca="1" si="71"/>
        <v>RBC - CAL 0439</v>
      </c>
      <c r="G141" s="69" t="str">
        <f t="shared" ca="1" si="71"/>
        <v>E0014/26</v>
      </c>
      <c r="H141" s="202">
        <f t="shared" ca="1" si="71"/>
        <v>46031</v>
      </c>
      <c r="I141" s="203">
        <f t="shared" ca="1" si="71"/>
        <v>46417</v>
      </c>
      <c r="J141" s="199"/>
      <c r="K141" s="193">
        <f ca="1">IF(G141="",0,IF(COUNTIF(G$121:$G140,G141)&gt;0,0,MAX(K$121:$K140)+1))</f>
        <v>0</v>
      </c>
      <c r="L141" s="200" t="str">
        <f t="shared" ca="1" si="60"/>
        <v/>
      </c>
      <c r="M141" s="69" t="str">
        <f t="shared" ca="1" si="67"/>
        <v>VÁLIDO</v>
      </c>
      <c r="O141" s="41">
        <f t="shared" si="70"/>
        <v>7</v>
      </c>
      <c r="P141" s="41">
        <f t="shared" si="69"/>
        <v>3</v>
      </c>
      <c r="R141" s="201">
        <f>VLOOKUP(CONCATENATE(O141,".4"),'Resultados - 3'!$A$10:$BL$156,5,FALSE)</f>
        <v>1</v>
      </c>
      <c r="S141" s="267">
        <f>IF(R141="",0,IF(COUNTIF($R$121:R140,R141)&gt;0,0,MAX($S$121:S140)+1))</f>
        <v>0</v>
      </c>
      <c r="T141" s="53" t="str">
        <f t="shared" si="63"/>
        <v/>
      </c>
      <c r="X141" s="201" t="str">
        <f>VLOOKUP(CONCATENATE(O141,".20"),'Resultados - 3'!$A$10:$BL$156,43,FALSE)</f>
        <v/>
      </c>
      <c r="AA141" s="201">
        <f>VLOOKUP(CONCATENATE(O141,".5"),'Resultados - 3'!$A$10:$BL$156,42,FALSE)</f>
        <v>0</v>
      </c>
      <c r="AD141" s="201" t="str">
        <f>VLOOKUP(CONCATENATE(O141,".20"),'Resultados - 3'!$A$10:$BL$156,44,FALSE)</f>
        <v/>
      </c>
    </row>
    <row r="142" spans="1:32" x14ac:dyDescent="0.3">
      <c r="A142" s="204">
        <f ca="1">VLOOKUP(CONCATENATE(O142,".9"),'Resultados - 4'!$A$10:$BL$156,40,FALSE)</f>
        <v>9</v>
      </c>
      <c r="B142" s="69" t="str">
        <f t="shared" ca="1" si="71"/>
        <v>E.MS.LQ-006</v>
      </c>
      <c r="C142" s="69" t="str">
        <f t="shared" ca="1" si="71"/>
        <v>Balança Analítica</v>
      </c>
      <c r="D142" s="69" t="str">
        <f t="shared" ca="1" si="71"/>
        <v>E.MS.LQ-006</v>
      </c>
      <c r="E142" s="69" t="str">
        <f t="shared" ca="1" si="71"/>
        <v xml:space="preserve">Elus </v>
      </c>
      <c r="F142" s="69" t="str">
        <f t="shared" ca="1" si="71"/>
        <v>RBC - CAL 0439</v>
      </c>
      <c r="G142" s="69" t="str">
        <f t="shared" ca="1" si="71"/>
        <v>E0014/26</v>
      </c>
      <c r="H142" s="202">
        <f t="shared" ca="1" si="71"/>
        <v>46031</v>
      </c>
      <c r="I142" s="203">
        <f t="shared" ca="1" si="71"/>
        <v>46417</v>
      </c>
      <c r="J142" s="199"/>
      <c r="K142" s="193">
        <f ca="1">IF(G142="",0,IF(COUNTIF(G$121:$G141,G142)&gt;0,0,MAX(K$121:$K141)+1))</f>
        <v>0</v>
      </c>
      <c r="L142" s="200" t="str">
        <f t="shared" ca="1" si="60"/>
        <v/>
      </c>
      <c r="M142" s="69" t="str">
        <f t="shared" ca="1" si="67"/>
        <v>VÁLIDO</v>
      </c>
      <c r="O142" s="41">
        <f>O135</f>
        <v>1</v>
      </c>
      <c r="P142" s="41">
        <f t="shared" si="69"/>
        <v>4</v>
      </c>
      <c r="R142" s="204">
        <f>VLOOKUP(CONCATENATE(O142,".4"),'Resultados - 4'!$A$10:$BL$156,5,FALSE)</f>
        <v>1</v>
      </c>
      <c r="S142" s="267">
        <f>IF(R142="",0,IF(COUNTIF($R$121:R141,R142)&gt;0,0,MAX($S$121:S141)+1))</f>
        <v>0</v>
      </c>
      <c r="T142" s="53" t="str">
        <f t="shared" si="63"/>
        <v/>
      </c>
      <c r="X142" s="204" t="str">
        <f>VLOOKUP(CONCATENATE(O142,".20"),'Resultados - 4'!$A$10:$BL$156,43,FALSE)</f>
        <v/>
      </c>
      <c r="AA142" s="204">
        <f>VLOOKUP(CONCATENATE(O142,".5"),'Resultados - 4'!$A$10:$BL$156,42,FALSE)</f>
        <v>0</v>
      </c>
      <c r="AD142" s="204" t="str">
        <f>VLOOKUP(CONCATENATE(O142,".20"),'Resultados - 4'!$A$10:$BL$156,44,FALSE)</f>
        <v/>
      </c>
    </row>
    <row r="143" spans="1:32" x14ac:dyDescent="0.3">
      <c r="A143" s="204">
        <f ca="1">VLOOKUP(CONCATENATE(O143,".9"),'Resultados - 4'!$A$10:$BL$156,40,FALSE)</f>
        <v>9</v>
      </c>
      <c r="B143" s="69" t="str">
        <f t="shared" ca="1" si="71"/>
        <v>E.MS.LQ-006</v>
      </c>
      <c r="C143" s="69" t="str">
        <f t="shared" ca="1" si="71"/>
        <v>Balança Analítica</v>
      </c>
      <c r="D143" s="69" t="str">
        <f t="shared" ca="1" si="71"/>
        <v>E.MS.LQ-006</v>
      </c>
      <c r="E143" s="69" t="str">
        <f t="shared" ca="1" si="71"/>
        <v xml:space="preserve">Elus </v>
      </c>
      <c r="F143" s="69" t="str">
        <f t="shared" ca="1" si="71"/>
        <v>RBC - CAL 0439</v>
      </c>
      <c r="G143" s="69" t="str">
        <f t="shared" ca="1" si="71"/>
        <v>E0014/26</v>
      </c>
      <c r="H143" s="202">
        <f t="shared" ca="1" si="71"/>
        <v>46031</v>
      </c>
      <c r="I143" s="203">
        <f t="shared" ca="1" si="71"/>
        <v>46417</v>
      </c>
      <c r="J143" s="199"/>
      <c r="K143" s="193">
        <f ca="1">IF(G143="",0,IF(COUNTIF(G$121:$G142,G143)&gt;0,0,MAX(K$121:$K142)+1))</f>
        <v>0</v>
      </c>
      <c r="L143" s="200" t="str">
        <f t="shared" ca="1" si="60"/>
        <v/>
      </c>
      <c r="M143" s="69" t="str">
        <f t="shared" ca="1" si="67"/>
        <v>VÁLIDO</v>
      </c>
      <c r="O143" s="41">
        <f t="shared" ref="O143:O148" si="72">O142+1</f>
        <v>2</v>
      </c>
      <c r="P143" s="41">
        <f t="shared" si="69"/>
        <v>4</v>
      </c>
      <c r="R143" s="204">
        <f>VLOOKUP(CONCATENATE(O143,".4"),'Resultados - 4'!$A$10:$BL$156,5,FALSE)</f>
        <v>1</v>
      </c>
      <c r="S143" s="267">
        <f>IF(R143="",0,IF(COUNTIF($R$121:R142,R143)&gt;0,0,MAX($S$121:S142)+1))</f>
        <v>0</v>
      </c>
      <c r="T143" s="53" t="str">
        <f t="shared" si="63"/>
        <v/>
      </c>
      <c r="X143" s="204" t="str">
        <f>VLOOKUP(CONCATENATE(O143,".20"),'Resultados - 4'!$A$10:$BL$156,43,FALSE)</f>
        <v/>
      </c>
      <c r="AA143" s="204">
        <f>VLOOKUP(CONCATENATE(O143,".5"),'Resultados - 4'!$A$10:$BL$156,42,FALSE)</f>
        <v>0</v>
      </c>
      <c r="AD143" s="204" t="str">
        <f>VLOOKUP(CONCATENATE(O143,".20"),'Resultados - 4'!$A$10:$BL$156,44,FALSE)</f>
        <v/>
      </c>
    </row>
    <row r="144" spans="1:32" x14ac:dyDescent="0.3">
      <c r="A144" s="204">
        <f ca="1">VLOOKUP(CONCATENATE(O144,".9"),'Resultados - 4'!$A$10:$BL$156,40,FALSE)</f>
        <v>9</v>
      </c>
      <c r="B144" s="69" t="str">
        <f t="shared" ca="1" si="71"/>
        <v>E.MS.LQ-006</v>
      </c>
      <c r="C144" s="69" t="str">
        <f t="shared" ca="1" si="71"/>
        <v>Balança Analítica</v>
      </c>
      <c r="D144" s="69" t="str">
        <f t="shared" ca="1" si="71"/>
        <v>E.MS.LQ-006</v>
      </c>
      <c r="E144" s="69" t="str">
        <f t="shared" ca="1" si="71"/>
        <v xml:space="preserve">Elus </v>
      </c>
      <c r="F144" s="69" t="str">
        <f t="shared" ca="1" si="71"/>
        <v>RBC - CAL 0439</v>
      </c>
      <c r="G144" s="69" t="str">
        <f t="shared" ca="1" si="71"/>
        <v>E0014/26</v>
      </c>
      <c r="H144" s="202">
        <f t="shared" ca="1" si="71"/>
        <v>46031</v>
      </c>
      <c r="I144" s="203">
        <f t="shared" ca="1" si="71"/>
        <v>46417</v>
      </c>
      <c r="J144" s="199"/>
      <c r="K144" s="193">
        <f ca="1">IF(G144="",0,IF(COUNTIF(G$121:$G143,G144)&gt;0,0,MAX(K$121:$K143)+1))</f>
        <v>0</v>
      </c>
      <c r="L144" s="200" t="str">
        <f t="shared" ca="1" si="60"/>
        <v/>
      </c>
      <c r="M144" s="69" t="str">
        <f t="shared" ca="1" si="67"/>
        <v>VÁLIDO</v>
      </c>
      <c r="O144" s="41">
        <f t="shared" si="72"/>
        <v>3</v>
      </c>
      <c r="P144" s="41">
        <f t="shared" si="69"/>
        <v>4</v>
      </c>
      <c r="R144" s="204">
        <f>VLOOKUP(CONCATENATE(O144,".4"),'Resultados - 4'!$A$10:$BL$156,5,FALSE)</f>
        <v>1</v>
      </c>
      <c r="S144" s="267">
        <f>IF(R144="",0,IF(COUNTIF($R$121:R143,R144)&gt;0,0,MAX($S$121:S143)+1))</f>
        <v>0</v>
      </c>
      <c r="T144" s="53" t="str">
        <f t="shared" si="63"/>
        <v/>
      </c>
      <c r="X144" s="204" t="str">
        <f>VLOOKUP(CONCATENATE(O144,".20"),'Resultados - 4'!$A$10:$BL$156,43,FALSE)</f>
        <v/>
      </c>
      <c r="AA144" s="204">
        <f>VLOOKUP(CONCATENATE(O144,".5"),'Resultados - 4'!$A$10:$BL$156,42,FALSE)</f>
        <v>0</v>
      </c>
      <c r="AD144" s="204" t="str">
        <f>VLOOKUP(CONCATENATE(O144,".20"),'Resultados - 4'!$A$10:$BL$156,44,FALSE)</f>
        <v/>
      </c>
    </row>
    <row r="145" spans="1:30" x14ac:dyDescent="0.3">
      <c r="A145" s="204">
        <f ca="1">VLOOKUP(CONCATENATE(O145,".9"),'Resultados - 4'!$A$10:$BL$156,40,FALSE)</f>
        <v>9</v>
      </c>
      <c r="B145" s="69" t="str">
        <f t="shared" ca="1" si="71"/>
        <v>E.MS.LQ-006</v>
      </c>
      <c r="C145" s="69" t="str">
        <f t="shared" ca="1" si="71"/>
        <v>Balança Analítica</v>
      </c>
      <c r="D145" s="69" t="str">
        <f t="shared" ca="1" si="71"/>
        <v>E.MS.LQ-006</v>
      </c>
      <c r="E145" s="69" t="str">
        <f t="shared" ca="1" si="71"/>
        <v xml:space="preserve">Elus </v>
      </c>
      <c r="F145" s="69" t="str">
        <f t="shared" ca="1" si="71"/>
        <v>RBC - CAL 0439</v>
      </c>
      <c r="G145" s="69" t="str">
        <f t="shared" ca="1" si="71"/>
        <v>E0014/26</v>
      </c>
      <c r="H145" s="202">
        <f t="shared" ca="1" si="71"/>
        <v>46031</v>
      </c>
      <c r="I145" s="203">
        <f t="shared" ca="1" si="71"/>
        <v>46417</v>
      </c>
      <c r="J145" s="199"/>
      <c r="K145" s="193">
        <f ca="1">IF(G145="",0,IF(COUNTIF(G$121:$G144,G145)&gt;0,0,MAX(K$121:$K144)+1))</f>
        <v>0</v>
      </c>
      <c r="L145" s="200" t="str">
        <f t="shared" ca="1" si="60"/>
        <v/>
      </c>
      <c r="M145" s="69" t="str">
        <f t="shared" ca="1" si="67"/>
        <v>VÁLIDO</v>
      </c>
      <c r="O145" s="41">
        <f t="shared" si="72"/>
        <v>4</v>
      </c>
      <c r="P145" s="41">
        <f t="shared" si="69"/>
        <v>4</v>
      </c>
      <c r="R145" s="204">
        <f>VLOOKUP(CONCATENATE(O145,".4"),'Resultados - 4'!$A$10:$BL$156,5,FALSE)</f>
        <v>1</v>
      </c>
      <c r="S145" s="267">
        <f>IF(R145="",0,IF(COUNTIF($R$121:R144,R145)&gt;0,0,MAX($S$121:S144)+1))</f>
        <v>0</v>
      </c>
      <c r="T145" s="53" t="str">
        <f t="shared" si="63"/>
        <v/>
      </c>
      <c r="X145" s="204" t="str">
        <f>VLOOKUP(CONCATENATE(O145,".20"),'Resultados - 4'!$A$10:$BL$156,43,FALSE)</f>
        <v/>
      </c>
      <c r="AA145" s="204">
        <f>VLOOKUP(CONCATENATE(O145,".5"),'Resultados - 4'!$A$10:$BL$156,42,FALSE)</f>
        <v>0</v>
      </c>
      <c r="AD145" s="204" t="str">
        <f>VLOOKUP(CONCATENATE(O145,".20"),'Resultados - 4'!$A$10:$BL$156,44,FALSE)</f>
        <v/>
      </c>
    </row>
    <row r="146" spans="1:30" x14ac:dyDescent="0.3">
      <c r="A146" s="204">
        <f ca="1">VLOOKUP(CONCATENATE(O146,".9"),'Resultados - 4'!$A$10:$BL$156,40,FALSE)</f>
        <v>9</v>
      </c>
      <c r="B146" s="69" t="str">
        <f t="shared" ca="1" si="71"/>
        <v>E.MS.LQ-006</v>
      </c>
      <c r="C146" s="69" t="str">
        <f t="shared" ca="1" si="71"/>
        <v>Balança Analítica</v>
      </c>
      <c r="D146" s="69" t="str">
        <f t="shared" ca="1" si="71"/>
        <v>E.MS.LQ-006</v>
      </c>
      <c r="E146" s="69" t="str">
        <f t="shared" ca="1" si="71"/>
        <v xml:space="preserve">Elus </v>
      </c>
      <c r="F146" s="69" t="str">
        <f t="shared" ca="1" si="71"/>
        <v>RBC - CAL 0439</v>
      </c>
      <c r="G146" s="69" t="str">
        <f t="shared" ca="1" si="71"/>
        <v>E0014/26</v>
      </c>
      <c r="H146" s="202">
        <f t="shared" ca="1" si="71"/>
        <v>46031</v>
      </c>
      <c r="I146" s="203">
        <f t="shared" ca="1" si="71"/>
        <v>46417</v>
      </c>
      <c r="J146" s="199"/>
      <c r="K146" s="193">
        <f ca="1">IF(G146="",0,IF(COUNTIF(G$121:$G145,G146)&gt;0,0,MAX(K$121:$K145)+1))</f>
        <v>0</v>
      </c>
      <c r="L146" s="200" t="str">
        <f t="shared" ca="1" si="60"/>
        <v/>
      </c>
      <c r="M146" s="69" t="str">
        <f t="shared" ca="1" si="67"/>
        <v>VÁLIDO</v>
      </c>
      <c r="O146" s="41">
        <f t="shared" si="72"/>
        <v>5</v>
      </c>
      <c r="P146" s="41">
        <f t="shared" si="69"/>
        <v>4</v>
      </c>
      <c r="R146" s="204">
        <f>VLOOKUP(CONCATENATE(O146,".4"),'Resultados - 4'!$A$10:$BL$156,5,FALSE)</f>
        <v>1</v>
      </c>
      <c r="S146" s="267">
        <f>IF(R146="",0,IF(COUNTIF($R$121:R145,R146)&gt;0,0,MAX($S$121:S145)+1))</f>
        <v>0</v>
      </c>
      <c r="T146" s="53" t="str">
        <f t="shared" si="63"/>
        <v/>
      </c>
      <c r="X146" s="204" t="str">
        <f>VLOOKUP(CONCATENATE(O146,".20"),'Resultados - 4'!$A$10:$BL$156,43,FALSE)</f>
        <v/>
      </c>
      <c r="AA146" s="204">
        <f>VLOOKUP(CONCATENATE(O146,".5"),'Resultados - 4'!$A$10:$BL$156,42,FALSE)</f>
        <v>0</v>
      </c>
      <c r="AD146" s="204" t="str">
        <f>VLOOKUP(CONCATENATE(O146,".20"),'Resultados - 4'!$A$10:$BL$156,44,FALSE)</f>
        <v/>
      </c>
    </row>
    <row r="147" spans="1:30" x14ac:dyDescent="0.3">
      <c r="A147" s="204">
        <f ca="1">VLOOKUP(CONCATENATE(O147,".9"),'Resultados - 4'!$A$10:$BL$156,40,FALSE)</f>
        <v>9</v>
      </c>
      <c r="B147" s="69" t="str">
        <f t="shared" ca="1" si="71"/>
        <v>E.MS.LQ-006</v>
      </c>
      <c r="C147" s="69" t="str">
        <f t="shared" ca="1" si="71"/>
        <v>Balança Analítica</v>
      </c>
      <c r="D147" s="69" t="str">
        <f t="shared" ca="1" si="71"/>
        <v>E.MS.LQ-006</v>
      </c>
      <c r="E147" s="69" t="str">
        <f t="shared" ca="1" si="71"/>
        <v xml:space="preserve">Elus </v>
      </c>
      <c r="F147" s="69" t="str">
        <f t="shared" ca="1" si="71"/>
        <v>RBC - CAL 0439</v>
      </c>
      <c r="G147" s="69" t="str">
        <f t="shared" ca="1" si="71"/>
        <v>E0014/26</v>
      </c>
      <c r="H147" s="202">
        <f t="shared" ca="1" si="71"/>
        <v>46031</v>
      </c>
      <c r="I147" s="203">
        <f t="shared" ca="1" si="71"/>
        <v>46417</v>
      </c>
      <c r="J147" s="199"/>
      <c r="K147" s="193">
        <f ca="1">IF(G147="",0,IF(COUNTIF(G$121:$G146,G147)&gt;0,0,MAX(K$121:$K146)+1))</f>
        <v>0</v>
      </c>
      <c r="L147" s="200" t="str">
        <f t="shared" ca="1" si="60"/>
        <v/>
      </c>
      <c r="M147" s="69" t="str">
        <f t="shared" ca="1" si="67"/>
        <v>VÁLIDO</v>
      </c>
      <c r="O147" s="41">
        <f t="shared" si="72"/>
        <v>6</v>
      </c>
      <c r="P147" s="41">
        <f t="shared" si="69"/>
        <v>4</v>
      </c>
      <c r="R147" s="204">
        <f>VLOOKUP(CONCATENATE(O147,".4"),'Resultados - 4'!$A$10:$BL$156,5,FALSE)</f>
        <v>1</v>
      </c>
      <c r="S147" s="267">
        <f>IF(R147="",0,IF(COUNTIF($R$121:R146,R147)&gt;0,0,MAX($S$121:S146)+1))</f>
        <v>0</v>
      </c>
      <c r="T147" s="53" t="str">
        <f t="shared" si="63"/>
        <v/>
      </c>
      <c r="X147" s="204" t="str">
        <f>VLOOKUP(CONCATENATE(O147,".20"),'Resultados - 4'!$A$10:$BL$156,43,FALSE)</f>
        <v/>
      </c>
      <c r="AA147" s="204">
        <f>VLOOKUP(CONCATENATE(O147,".5"),'Resultados - 4'!$A$10:$BL$156,42,FALSE)</f>
        <v>0</v>
      </c>
      <c r="AD147" s="204" t="str">
        <f>VLOOKUP(CONCATENATE(O147,".20"),'Resultados - 4'!$A$10:$BL$156,44,FALSE)</f>
        <v/>
      </c>
    </row>
    <row r="148" spans="1:30" x14ac:dyDescent="0.3">
      <c r="A148" s="204">
        <f ca="1">VLOOKUP(CONCATENATE(O148,".9"),'Resultados - 4'!$A$10:$BL$156,40,FALSE)</f>
        <v>9</v>
      </c>
      <c r="B148" s="69" t="str">
        <f t="shared" ref="B148:I157" ca="1" si="73">IF($A148="","",VLOOKUP($A148,$A$97:$CY$116,B$120,FALSE))</f>
        <v>E.MS.LQ-006</v>
      </c>
      <c r="C148" s="69" t="str">
        <f t="shared" ca="1" si="73"/>
        <v>Balança Analítica</v>
      </c>
      <c r="D148" s="69" t="str">
        <f t="shared" ca="1" si="73"/>
        <v>E.MS.LQ-006</v>
      </c>
      <c r="E148" s="69" t="str">
        <f t="shared" ca="1" si="73"/>
        <v xml:space="preserve">Elus </v>
      </c>
      <c r="F148" s="69" t="str">
        <f t="shared" ca="1" si="73"/>
        <v>RBC - CAL 0439</v>
      </c>
      <c r="G148" s="69" t="str">
        <f t="shared" ca="1" si="73"/>
        <v>E0014/26</v>
      </c>
      <c r="H148" s="202">
        <f t="shared" ca="1" si="73"/>
        <v>46031</v>
      </c>
      <c r="I148" s="203">
        <f t="shared" ca="1" si="73"/>
        <v>46417</v>
      </c>
      <c r="J148" s="199"/>
      <c r="K148" s="193">
        <f ca="1">IF(G148="",0,IF(COUNTIF(G$121:$G147,G148)&gt;0,0,MAX(K$121:$K147)+1))</f>
        <v>0</v>
      </c>
      <c r="L148" s="200" t="str">
        <f t="shared" ca="1" si="60"/>
        <v/>
      </c>
      <c r="M148" s="69" t="str">
        <f t="shared" ca="1" si="67"/>
        <v>VÁLIDO</v>
      </c>
      <c r="O148" s="41">
        <f t="shared" si="72"/>
        <v>7</v>
      </c>
      <c r="P148" s="41">
        <f t="shared" si="69"/>
        <v>4</v>
      </c>
      <c r="R148" s="204">
        <f>VLOOKUP(CONCATENATE(O148,".4"),'Resultados - 4'!$A$10:$BL$156,5,FALSE)</f>
        <v>1</v>
      </c>
      <c r="S148" s="267">
        <f>IF(R148="",0,IF(COUNTIF($R$121:R147,R148)&gt;0,0,MAX($S$121:S147)+1))</f>
        <v>0</v>
      </c>
      <c r="T148" s="53" t="str">
        <f t="shared" si="63"/>
        <v/>
      </c>
      <c r="X148" s="204" t="str">
        <f>VLOOKUP(CONCATENATE(O148,".20"),'Resultados - 4'!$A$10:$BL$156,43,FALSE)</f>
        <v/>
      </c>
      <c r="AA148" s="204">
        <f>VLOOKUP(CONCATENATE(O148,".5"),'Resultados - 4'!$A$10:$BL$156,42,FALSE)</f>
        <v>0</v>
      </c>
      <c r="AD148" s="204" t="str">
        <f>VLOOKUP(CONCATENATE(O148,".20"),'Resultados - 4'!$A$10:$BL$156,44,FALSE)</f>
        <v/>
      </c>
    </row>
    <row r="149" spans="1:30" x14ac:dyDescent="0.3">
      <c r="A149" s="201">
        <f ca="1">VLOOKUP(CONCATENATE(O149,".9"),'Resultados - 5'!$A$10:$BL$156,40,FALSE)</f>
        <v>9</v>
      </c>
      <c r="B149" s="69" t="str">
        <f t="shared" ca="1" si="73"/>
        <v>E.MS.LQ-006</v>
      </c>
      <c r="C149" s="69" t="str">
        <f t="shared" ca="1" si="73"/>
        <v>Balança Analítica</v>
      </c>
      <c r="D149" s="69" t="str">
        <f t="shared" ca="1" si="73"/>
        <v>E.MS.LQ-006</v>
      </c>
      <c r="E149" s="69" t="str">
        <f t="shared" ca="1" si="73"/>
        <v xml:space="preserve">Elus </v>
      </c>
      <c r="F149" s="69" t="str">
        <f t="shared" ca="1" si="73"/>
        <v>RBC - CAL 0439</v>
      </c>
      <c r="G149" s="69" t="str">
        <f t="shared" ca="1" si="73"/>
        <v>E0014/26</v>
      </c>
      <c r="H149" s="202">
        <f t="shared" ca="1" si="73"/>
        <v>46031</v>
      </c>
      <c r="I149" s="203">
        <f t="shared" ca="1" si="73"/>
        <v>46417</v>
      </c>
      <c r="J149" s="199"/>
      <c r="K149" s="193">
        <f ca="1">IF(G149="",0,IF(COUNTIF(G$121:$G148,G149)&gt;0,0,MAX(K$121:$K148)+1))</f>
        <v>0</v>
      </c>
      <c r="L149" s="200" t="str">
        <f t="shared" ca="1" si="60"/>
        <v/>
      </c>
      <c r="M149" s="69" t="str">
        <f t="shared" ca="1" si="67"/>
        <v>VÁLIDO</v>
      </c>
      <c r="O149" s="41">
        <f>O142</f>
        <v>1</v>
      </c>
      <c r="P149" s="41">
        <f t="shared" si="69"/>
        <v>5</v>
      </c>
      <c r="R149" s="201">
        <f>VLOOKUP(CONCATENATE(O149,".4"),'Resultados - 5'!$A$10:$BL$156,5,FALSE)</f>
        <v>1</v>
      </c>
      <c r="S149" s="267">
        <f>IF(R149="",0,IF(COUNTIF($R$121:R148,R149)&gt;0,0,MAX($S$121:S148)+1))</f>
        <v>0</v>
      </c>
      <c r="T149" s="53" t="str">
        <f t="shared" si="63"/>
        <v/>
      </c>
      <c r="X149" s="201" t="str">
        <f>VLOOKUP(CONCATENATE(O149,".20"),'Resultados - 5'!$A$10:$BL$156,43,FALSE)</f>
        <v/>
      </c>
      <c r="AA149" s="201">
        <f>VLOOKUP(CONCATENATE(O149,".5"),'Resultados - 5'!$A$10:$BL$156,42,FALSE)</f>
        <v>0</v>
      </c>
      <c r="AD149" s="201" t="str">
        <f>VLOOKUP(CONCATENATE(O149,".20"),'Resultados - 5'!$A$10:$BL$156,44,FALSE)</f>
        <v/>
      </c>
    </row>
    <row r="150" spans="1:30" x14ac:dyDescent="0.3">
      <c r="A150" s="201">
        <f ca="1">VLOOKUP(CONCATENATE(O150,".9"),'Resultados - 5'!$A$10:$BL$156,40,FALSE)</f>
        <v>9</v>
      </c>
      <c r="B150" s="69" t="str">
        <f t="shared" ca="1" si="73"/>
        <v>E.MS.LQ-006</v>
      </c>
      <c r="C150" s="69" t="str">
        <f t="shared" ca="1" si="73"/>
        <v>Balança Analítica</v>
      </c>
      <c r="D150" s="69" t="str">
        <f t="shared" ca="1" si="73"/>
        <v>E.MS.LQ-006</v>
      </c>
      <c r="E150" s="69" t="str">
        <f t="shared" ca="1" si="73"/>
        <v xml:space="preserve">Elus </v>
      </c>
      <c r="F150" s="69" t="str">
        <f t="shared" ca="1" si="73"/>
        <v>RBC - CAL 0439</v>
      </c>
      <c r="G150" s="69" t="str">
        <f t="shared" ca="1" si="73"/>
        <v>E0014/26</v>
      </c>
      <c r="H150" s="202">
        <f t="shared" ca="1" si="73"/>
        <v>46031</v>
      </c>
      <c r="I150" s="203">
        <f t="shared" ca="1" si="73"/>
        <v>46417</v>
      </c>
      <c r="J150" s="199"/>
      <c r="K150" s="193">
        <f ca="1">IF(G150="",0,IF(COUNTIF(G$121:$G149,G150)&gt;0,0,MAX(K$121:$K149)+1))</f>
        <v>0</v>
      </c>
      <c r="L150" s="200" t="str">
        <f t="shared" ca="1" si="60"/>
        <v/>
      </c>
      <c r="M150" s="69" t="str">
        <f t="shared" ca="1" si="67"/>
        <v>VÁLIDO</v>
      </c>
      <c r="O150" s="41">
        <f t="shared" ref="O150:O155" si="74">O149+1</f>
        <v>2</v>
      </c>
      <c r="P150" s="41">
        <f t="shared" si="69"/>
        <v>5</v>
      </c>
      <c r="R150" s="201">
        <f>VLOOKUP(CONCATENATE(O150,".4"),'Resultados - 5'!$A$10:$BL$156,5,FALSE)</f>
        <v>1</v>
      </c>
      <c r="S150" s="267">
        <f>IF(R150="",0,IF(COUNTIF($R$121:R149,R150)&gt;0,0,MAX($S$121:S149)+1))</f>
        <v>0</v>
      </c>
      <c r="T150" s="53" t="str">
        <f t="shared" si="63"/>
        <v/>
      </c>
      <c r="X150" s="201" t="str">
        <f>VLOOKUP(CONCATENATE(O150,".20"),'Resultados - 5'!$A$10:$BL$156,43,FALSE)</f>
        <v/>
      </c>
      <c r="AA150" s="201">
        <f>VLOOKUP(CONCATENATE(O150,".5"),'Resultados - 5'!$A$10:$BL$156,42,FALSE)</f>
        <v>0</v>
      </c>
      <c r="AD150" s="201" t="str">
        <f>VLOOKUP(CONCATENATE(O150,".20"),'Resultados - 5'!$A$10:$BL$156,44,FALSE)</f>
        <v/>
      </c>
    </row>
    <row r="151" spans="1:30" x14ac:dyDescent="0.3">
      <c r="A151" s="201">
        <f ca="1">VLOOKUP(CONCATENATE(O151,".9"),'Resultados - 5'!$A$10:$BL$156,40,FALSE)</f>
        <v>9</v>
      </c>
      <c r="B151" s="69" t="str">
        <f t="shared" ca="1" si="73"/>
        <v>E.MS.LQ-006</v>
      </c>
      <c r="C151" s="69" t="str">
        <f t="shared" ca="1" si="73"/>
        <v>Balança Analítica</v>
      </c>
      <c r="D151" s="69" t="str">
        <f t="shared" ca="1" si="73"/>
        <v>E.MS.LQ-006</v>
      </c>
      <c r="E151" s="69" t="str">
        <f t="shared" ca="1" si="73"/>
        <v xml:space="preserve">Elus </v>
      </c>
      <c r="F151" s="69" t="str">
        <f t="shared" ca="1" si="73"/>
        <v>RBC - CAL 0439</v>
      </c>
      <c r="G151" s="69" t="str">
        <f t="shared" ca="1" si="73"/>
        <v>E0014/26</v>
      </c>
      <c r="H151" s="202">
        <f t="shared" ca="1" si="73"/>
        <v>46031</v>
      </c>
      <c r="I151" s="203">
        <f t="shared" ca="1" si="73"/>
        <v>46417</v>
      </c>
      <c r="J151" s="199"/>
      <c r="K151" s="193">
        <f ca="1">IF(G151="",0,IF(COUNTIF(G$121:$G150,G151)&gt;0,0,MAX(K$121:$K150)+1))</f>
        <v>0</v>
      </c>
      <c r="L151" s="200" t="str">
        <f t="shared" ca="1" si="60"/>
        <v/>
      </c>
      <c r="M151" s="69" t="str">
        <f t="shared" ca="1" si="67"/>
        <v>VÁLIDO</v>
      </c>
      <c r="O151" s="41">
        <f t="shared" si="74"/>
        <v>3</v>
      </c>
      <c r="P151" s="41">
        <f t="shared" si="69"/>
        <v>5</v>
      </c>
      <c r="R151" s="201">
        <f>VLOOKUP(CONCATENATE(O151,".4"),'Resultados - 5'!$A$10:$BL$156,5,FALSE)</f>
        <v>1</v>
      </c>
      <c r="S151" s="267">
        <f>IF(R151="",0,IF(COUNTIF($R$121:R150,R151)&gt;0,0,MAX($S$121:S150)+1))</f>
        <v>0</v>
      </c>
      <c r="T151" s="53" t="str">
        <f t="shared" si="63"/>
        <v/>
      </c>
      <c r="X151" s="201" t="str">
        <f>VLOOKUP(CONCATENATE(O151,".20"),'Resultados - 5'!$A$10:$BL$156,43,FALSE)</f>
        <v/>
      </c>
      <c r="AA151" s="201">
        <f>VLOOKUP(CONCATENATE(O151,".5"),'Resultados - 5'!$A$10:$BL$156,42,FALSE)</f>
        <v>0</v>
      </c>
      <c r="AD151" s="201" t="str">
        <f>VLOOKUP(CONCATENATE(O151,".20"),'Resultados - 5'!$A$10:$BL$156,44,FALSE)</f>
        <v/>
      </c>
    </row>
    <row r="152" spans="1:30" x14ac:dyDescent="0.3">
      <c r="A152" s="201">
        <f ca="1">VLOOKUP(CONCATENATE(O152,".9"),'Resultados - 5'!$A$10:$BL$156,40,FALSE)</f>
        <v>9</v>
      </c>
      <c r="B152" s="69" t="str">
        <f t="shared" ca="1" si="73"/>
        <v>E.MS.LQ-006</v>
      </c>
      <c r="C152" s="69" t="str">
        <f t="shared" ca="1" si="73"/>
        <v>Balança Analítica</v>
      </c>
      <c r="D152" s="69" t="str">
        <f t="shared" ca="1" si="73"/>
        <v>E.MS.LQ-006</v>
      </c>
      <c r="E152" s="69" t="str">
        <f t="shared" ca="1" si="73"/>
        <v xml:space="preserve">Elus </v>
      </c>
      <c r="F152" s="69" t="str">
        <f t="shared" ca="1" si="73"/>
        <v>RBC - CAL 0439</v>
      </c>
      <c r="G152" s="69" t="str">
        <f t="shared" ca="1" si="73"/>
        <v>E0014/26</v>
      </c>
      <c r="H152" s="202">
        <f t="shared" ca="1" si="73"/>
        <v>46031</v>
      </c>
      <c r="I152" s="203">
        <f t="shared" ca="1" si="73"/>
        <v>46417</v>
      </c>
      <c r="J152" s="199"/>
      <c r="K152" s="193">
        <f ca="1">IF(G152="",0,IF(COUNTIF(G$121:$G151,G152)&gt;0,0,MAX(K$121:$K151)+1))</f>
        <v>0</v>
      </c>
      <c r="L152" s="200" t="str">
        <f t="shared" ca="1" si="60"/>
        <v/>
      </c>
      <c r="M152" s="69" t="str">
        <f t="shared" ca="1" si="67"/>
        <v>VÁLIDO</v>
      </c>
      <c r="O152" s="41">
        <f t="shared" si="74"/>
        <v>4</v>
      </c>
      <c r="P152" s="41">
        <f t="shared" si="69"/>
        <v>5</v>
      </c>
      <c r="R152" s="201">
        <f>VLOOKUP(CONCATENATE(O152,".4"),'Resultados - 5'!$A$10:$BL$156,5,FALSE)</f>
        <v>1</v>
      </c>
      <c r="S152" s="267">
        <f>IF(R152="",0,IF(COUNTIF($R$121:R151,R152)&gt;0,0,MAX($S$121:S151)+1))</f>
        <v>0</v>
      </c>
      <c r="T152" s="53" t="str">
        <f t="shared" si="63"/>
        <v/>
      </c>
      <c r="X152" s="201" t="str">
        <f>VLOOKUP(CONCATENATE(O152,".20"),'Resultados - 5'!$A$10:$BL$156,43,FALSE)</f>
        <v/>
      </c>
      <c r="AA152" s="201">
        <f>VLOOKUP(CONCATENATE(O152,".5"),'Resultados - 5'!$A$10:$BL$156,42,FALSE)</f>
        <v>0</v>
      </c>
      <c r="AD152" s="201" t="str">
        <f>VLOOKUP(CONCATENATE(O152,".20"),'Resultados - 5'!$A$10:$BL$156,44,FALSE)</f>
        <v/>
      </c>
    </row>
    <row r="153" spans="1:30" x14ac:dyDescent="0.3">
      <c r="A153" s="201">
        <f ca="1">VLOOKUP(CONCATENATE(O153,".9"),'Resultados - 5'!$A$10:$BL$156,40,FALSE)</f>
        <v>9</v>
      </c>
      <c r="B153" s="69" t="str">
        <f t="shared" ca="1" si="73"/>
        <v>E.MS.LQ-006</v>
      </c>
      <c r="C153" s="69" t="str">
        <f t="shared" ca="1" si="73"/>
        <v>Balança Analítica</v>
      </c>
      <c r="D153" s="69" t="str">
        <f t="shared" ca="1" si="73"/>
        <v>E.MS.LQ-006</v>
      </c>
      <c r="E153" s="69" t="str">
        <f t="shared" ca="1" si="73"/>
        <v xml:space="preserve">Elus </v>
      </c>
      <c r="F153" s="69" t="str">
        <f t="shared" ca="1" si="73"/>
        <v>RBC - CAL 0439</v>
      </c>
      <c r="G153" s="69" t="str">
        <f t="shared" ca="1" si="73"/>
        <v>E0014/26</v>
      </c>
      <c r="H153" s="202">
        <f t="shared" ca="1" si="73"/>
        <v>46031</v>
      </c>
      <c r="I153" s="203">
        <f t="shared" ca="1" si="73"/>
        <v>46417</v>
      </c>
      <c r="J153" s="199"/>
      <c r="K153" s="193">
        <f ca="1">IF(G153="",0,IF(COUNTIF(G$121:$G152,G153)&gt;0,0,MAX(K$121:$K152)+1))</f>
        <v>0</v>
      </c>
      <c r="L153" s="200" t="str">
        <f t="shared" ca="1" si="60"/>
        <v/>
      </c>
      <c r="M153" s="69" t="str">
        <f t="shared" ca="1" si="67"/>
        <v>VÁLIDO</v>
      </c>
      <c r="O153" s="41">
        <f t="shared" si="74"/>
        <v>5</v>
      </c>
      <c r="P153" s="41">
        <f t="shared" si="69"/>
        <v>5</v>
      </c>
      <c r="R153" s="201">
        <f>VLOOKUP(CONCATENATE(O153,".4"),'Resultados - 5'!$A$10:$BL$156,5,FALSE)</f>
        <v>1</v>
      </c>
      <c r="S153" s="267">
        <f>IF(R153="",0,IF(COUNTIF($R$121:R152,R153)&gt;0,0,MAX($S$121:S152)+1))</f>
        <v>0</v>
      </c>
      <c r="T153" s="53" t="str">
        <f t="shared" si="63"/>
        <v/>
      </c>
      <c r="X153" s="201" t="str">
        <f>VLOOKUP(CONCATENATE(O153,".20"),'Resultados - 5'!$A$10:$BL$156,43,FALSE)</f>
        <v/>
      </c>
      <c r="AA153" s="201">
        <f>VLOOKUP(CONCATENATE(O153,".5"),'Resultados - 5'!$A$10:$BL$156,42,FALSE)</f>
        <v>0</v>
      </c>
      <c r="AD153" s="201" t="str">
        <f>VLOOKUP(CONCATENATE(O153,".20"),'Resultados - 5'!$A$10:$BL$156,44,FALSE)</f>
        <v/>
      </c>
    </row>
    <row r="154" spans="1:30" x14ac:dyDescent="0.3">
      <c r="A154" s="201">
        <f ca="1">VLOOKUP(CONCATENATE(O154,".9"),'Resultados - 5'!$A$10:$BL$156,40,FALSE)</f>
        <v>9</v>
      </c>
      <c r="B154" s="69" t="str">
        <f t="shared" ca="1" si="73"/>
        <v>E.MS.LQ-006</v>
      </c>
      <c r="C154" s="69" t="str">
        <f t="shared" ca="1" si="73"/>
        <v>Balança Analítica</v>
      </c>
      <c r="D154" s="69" t="str">
        <f t="shared" ca="1" si="73"/>
        <v>E.MS.LQ-006</v>
      </c>
      <c r="E154" s="69" t="str">
        <f t="shared" ca="1" si="73"/>
        <v xml:space="preserve">Elus </v>
      </c>
      <c r="F154" s="69" t="str">
        <f t="shared" ca="1" si="73"/>
        <v>RBC - CAL 0439</v>
      </c>
      <c r="G154" s="69" t="str">
        <f t="shared" ca="1" si="73"/>
        <v>E0014/26</v>
      </c>
      <c r="H154" s="202">
        <f t="shared" ca="1" si="73"/>
        <v>46031</v>
      </c>
      <c r="I154" s="203">
        <f t="shared" ca="1" si="73"/>
        <v>46417</v>
      </c>
      <c r="J154" s="199"/>
      <c r="K154" s="193">
        <f ca="1">IF(G154="",0,IF(COUNTIF(G$121:$G153,G154)&gt;0,0,MAX(K$121:$K153)+1))</f>
        <v>0</v>
      </c>
      <c r="L154" s="200" t="str">
        <f t="shared" ca="1" si="60"/>
        <v/>
      </c>
      <c r="M154" s="69" t="str">
        <f t="shared" ca="1" si="67"/>
        <v>VÁLIDO</v>
      </c>
      <c r="O154" s="41">
        <f t="shared" si="74"/>
        <v>6</v>
      </c>
      <c r="P154" s="41">
        <f t="shared" si="69"/>
        <v>5</v>
      </c>
      <c r="R154" s="201">
        <f>VLOOKUP(CONCATENATE(O154,".4"),'Resultados - 5'!$A$10:$BL$156,5,FALSE)</f>
        <v>1</v>
      </c>
      <c r="S154" s="267">
        <f>IF(R154="",0,IF(COUNTIF($R$121:R153,R154)&gt;0,0,MAX($S$121:S153)+1))</f>
        <v>0</v>
      </c>
      <c r="T154" s="53" t="str">
        <f t="shared" si="63"/>
        <v/>
      </c>
      <c r="X154" s="201" t="str">
        <f>VLOOKUP(CONCATENATE(O154,".20"),'Resultados - 5'!$A$10:$BL$156,43,FALSE)</f>
        <v/>
      </c>
      <c r="AA154" s="201">
        <f>VLOOKUP(CONCATENATE(O154,".5"),'Resultados - 5'!$A$10:$BL$156,42,FALSE)</f>
        <v>0</v>
      </c>
      <c r="AD154" s="201" t="str">
        <f>VLOOKUP(CONCATENATE(O154,".20"),'Resultados - 5'!$A$10:$BL$156,44,FALSE)</f>
        <v/>
      </c>
    </row>
    <row r="155" spans="1:30" x14ac:dyDescent="0.3">
      <c r="A155" s="201">
        <f ca="1">VLOOKUP(CONCATENATE(O155,".9"),'Resultados - 5'!$A$10:$BL$156,40,FALSE)</f>
        <v>9</v>
      </c>
      <c r="B155" s="69" t="str">
        <f t="shared" ca="1" si="73"/>
        <v>E.MS.LQ-006</v>
      </c>
      <c r="C155" s="69" t="str">
        <f t="shared" ca="1" si="73"/>
        <v>Balança Analítica</v>
      </c>
      <c r="D155" s="69" t="str">
        <f t="shared" ca="1" si="73"/>
        <v>E.MS.LQ-006</v>
      </c>
      <c r="E155" s="69" t="str">
        <f t="shared" ca="1" si="73"/>
        <v xml:space="preserve">Elus </v>
      </c>
      <c r="F155" s="69" t="str">
        <f t="shared" ca="1" si="73"/>
        <v>RBC - CAL 0439</v>
      </c>
      <c r="G155" s="69" t="str">
        <f t="shared" ca="1" si="73"/>
        <v>E0014/26</v>
      </c>
      <c r="H155" s="202">
        <f t="shared" ca="1" si="73"/>
        <v>46031</v>
      </c>
      <c r="I155" s="203">
        <f t="shared" ca="1" si="73"/>
        <v>46417</v>
      </c>
      <c r="J155" s="199"/>
      <c r="K155" s="193">
        <f ca="1">IF(G155="",0,IF(COUNTIF(G$121:$G154,G155)&gt;0,0,MAX(K$121:$K154)+1))</f>
        <v>0</v>
      </c>
      <c r="L155" s="200" t="str">
        <f t="shared" ca="1" si="60"/>
        <v/>
      </c>
      <c r="M155" s="69" t="str">
        <f t="shared" ca="1" si="67"/>
        <v>VÁLIDO</v>
      </c>
      <c r="O155" s="41">
        <f t="shared" si="74"/>
        <v>7</v>
      </c>
      <c r="P155" s="41">
        <f t="shared" si="69"/>
        <v>5</v>
      </c>
      <c r="R155" s="201">
        <f>VLOOKUP(CONCATENATE(O155,".4"),'Resultados - 5'!$A$10:$BL$156,5,FALSE)</f>
        <v>1</v>
      </c>
      <c r="S155" s="267">
        <f>IF(R155="",0,IF(COUNTIF($R$121:R154,R155)&gt;0,0,MAX($S$121:S154)+1))</f>
        <v>0</v>
      </c>
      <c r="T155" s="53" t="str">
        <f t="shared" si="63"/>
        <v/>
      </c>
      <c r="X155" s="201" t="str">
        <f>VLOOKUP(CONCATENATE(O155,".20"),'Resultados - 5'!$A$10:$BL$156,43,FALSE)</f>
        <v/>
      </c>
      <c r="AA155" s="201">
        <f>VLOOKUP(CONCATENATE(O155,".5"),'Resultados - 5'!$A$10:$BL$156,42,FALSE)</f>
        <v>0</v>
      </c>
      <c r="AD155" s="201" t="str">
        <f>VLOOKUP(CONCATENATE(O155,".20"),'Resultados - 5'!$A$10:$BL$156,44,FALSE)</f>
        <v/>
      </c>
    </row>
    <row r="156" spans="1:30" x14ac:dyDescent="0.3">
      <c r="A156" s="204">
        <f ca="1">VLOOKUP(CONCATENATE(O156,".9"),'Resultados - 6'!$A$10:$BL$156,40,FALSE)</f>
        <v>9</v>
      </c>
      <c r="B156" s="69" t="str">
        <f t="shared" ca="1" si="73"/>
        <v>E.MS.LQ-006</v>
      </c>
      <c r="C156" s="69" t="str">
        <f t="shared" ca="1" si="73"/>
        <v>Balança Analítica</v>
      </c>
      <c r="D156" s="69" t="str">
        <f t="shared" ca="1" si="73"/>
        <v>E.MS.LQ-006</v>
      </c>
      <c r="E156" s="69" t="str">
        <f t="shared" ca="1" si="73"/>
        <v xml:space="preserve">Elus </v>
      </c>
      <c r="F156" s="69" t="str">
        <f t="shared" ca="1" si="73"/>
        <v>RBC - CAL 0439</v>
      </c>
      <c r="G156" s="69" t="str">
        <f t="shared" ca="1" si="73"/>
        <v>E0014/26</v>
      </c>
      <c r="H156" s="202">
        <f t="shared" ca="1" si="73"/>
        <v>46031</v>
      </c>
      <c r="I156" s="203">
        <f t="shared" ca="1" si="73"/>
        <v>46417</v>
      </c>
      <c r="J156" s="199"/>
      <c r="K156" s="193">
        <f ca="1">IF(G156="",0,IF(COUNTIF(G$121:$G155,G156)&gt;0,0,MAX(K$121:$K155)+1))</f>
        <v>0</v>
      </c>
      <c r="L156" s="200" t="str">
        <f t="shared" ca="1" si="60"/>
        <v/>
      </c>
      <c r="M156" s="69" t="str">
        <f t="shared" ca="1" si="67"/>
        <v>VÁLIDO</v>
      </c>
      <c r="O156" s="41">
        <f>O149</f>
        <v>1</v>
      </c>
      <c r="P156" s="41">
        <f t="shared" si="69"/>
        <v>6</v>
      </c>
      <c r="R156" s="204">
        <f>VLOOKUP(CONCATENATE(O156,".4"),'Resultados - 6'!$A$10:$BL$156,5,FALSE)</f>
        <v>1</v>
      </c>
      <c r="S156" s="267">
        <f>IF(R156="",0,IF(COUNTIF($R$121:R155,R156)&gt;0,0,MAX($S$121:S155)+1))</f>
        <v>0</v>
      </c>
      <c r="T156" s="53" t="str">
        <f t="shared" si="63"/>
        <v/>
      </c>
      <c r="X156" s="204" t="str">
        <f>VLOOKUP(CONCATENATE(O156,".20"),'Resultados - 6'!$A$10:$BL$156,43,FALSE)</f>
        <v/>
      </c>
      <c r="AA156" s="204">
        <f>VLOOKUP(CONCATENATE(O156,".5"),'Resultados - 6'!$A$10:$BL$156,42,FALSE)</f>
        <v>0</v>
      </c>
      <c r="AD156" s="204" t="str">
        <f>VLOOKUP(CONCATENATE(O156,".20"),'Resultados - 6'!$A$10:$BL$156,44,FALSE)</f>
        <v/>
      </c>
    </row>
    <row r="157" spans="1:30" x14ac:dyDescent="0.3">
      <c r="A157" s="204">
        <f ca="1">VLOOKUP(CONCATENATE(O157,".9"),'Resultados - 6'!$A$10:$BL$156,40,FALSE)</f>
        <v>9</v>
      </c>
      <c r="B157" s="69" t="str">
        <f t="shared" ca="1" si="73"/>
        <v>E.MS.LQ-006</v>
      </c>
      <c r="C157" s="69" t="str">
        <f t="shared" ca="1" si="73"/>
        <v>Balança Analítica</v>
      </c>
      <c r="D157" s="69" t="str">
        <f t="shared" ca="1" si="73"/>
        <v>E.MS.LQ-006</v>
      </c>
      <c r="E157" s="69" t="str">
        <f t="shared" ca="1" si="73"/>
        <v xml:space="preserve">Elus </v>
      </c>
      <c r="F157" s="69" t="str">
        <f t="shared" ca="1" si="73"/>
        <v>RBC - CAL 0439</v>
      </c>
      <c r="G157" s="69" t="str">
        <f t="shared" ca="1" si="73"/>
        <v>E0014/26</v>
      </c>
      <c r="H157" s="202">
        <f t="shared" ca="1" si="73"/>
        <v>46031</v>
      </c>
      <c r="I157" s="203">
        <f t="shared" ca="1" si="73"/>
        <v>46417</v>
      </c>
      <c r="J157" s="199"/>
      <c r="K157" s="193">
        <f ca="1">IF(G157="",0,IF(COUNTIF(G$121:$G156,G157)&gt;0,0,MAX(K$121:$K156)+1))</f>
        <v>0</v>
      </c>
      <c r="L157" s="200" t="str">
        <f t="shared" ca="1" si="60"/>
        <v/>
      </c>
      <c r="M157" s="69" t="str">
        <f t="shared" ca="1" si="67"/>
        <v>VÁLIDO</v>
      </c>
      <c r="O157" s="41">
        <f t="shared" ref="O157:O162" si="75">O156+1</f>
        <v>2</v>
      </c>
      <c r="P157" s="41">
        <f t="shared" si="69"/>
        <v>6</v>
      </c>
      <c r="R157" s="204">
        <f>VLOOKUP(CONCATENATE(O157,".4"),'Resultados - 6'!$A$10:$BL$156,5,FALSE)</f>
        <v>1</v>
      </c>
      <c r="S157" s="267">
        <f>IF(R157="",0,IF(COUNTIF($R$121:R156,R157)&gt;0,0,MAX($S$121:S156)+1))</f>
        <v>0</v>
      </c>
      <c r="T157" s="53" t="str">
        <f t="shared" si="63"/>
        <v/>
      </c>
      <c r="X157" s="204" t="str">
        <f>VLOOKUP(CONCATENATE(O157,".20"),'Resultados - 6'!$A$10:$BL$156,43,FALSE)</f>
        <v/>
      </c>
      <c r="AA157" s="204">
        <f>VLOOKUP(CONCATENATE(O157,".5"),'Resultados - 6'!$A$10:$BL$156,42,FALSE)</f>
        <v>0</v>
      </c>
      <c r="AD157" s="204" t="str">
        <f>VLOOKUP(CONCATENATE(O157,".20"),'Resultados - 6'!$A$10:$BL$156,44,FALSE)</f>
        <v/>
      </c>
    </row>
    <row r="158" spans="1:30" x14ac:dyDescent="0.3">
      <c r="A158" s="204">
        <f ca="1">VLOOKUP(CONCATENATE(O158,".9"),'Resultados - 6'!$A$10:$BL$156,40,FALSE)</f>
        <v>9</v>
      </c>
      <c r="B158" s="69" t="str">
        <f t="shared" ref="B158:I167" ca="1" si="76">IF($A158="","",VLOOKUP($A158,$A$97:$CY$116,B$120,FALSE))</f>
        <v>E.MS.LQ-006</v>
      </c>
      <c r="C158" s="69" t="str">
        <f t="shared" ca="1" si="76"/>
        <v>Balança Analítica</v>
      </c>
      <c r="D158" s="69" t="str">
        <f t="shared" ca="1" si="76"/>
        <v>E.MS.LQ-006</v>
      </c>
      <c r="E158" s="69" t="str">
        <f t="shared" ca="1" si="76"/>
        <v xml:space="preserve">Elus </v>
      </c>
      <c r="F158" s="69" t="str">
        <f t="shared" ca="1" si="76"/>
        <v>RBC - CAL 0439</v>
      </c>
      <c r="G158" s="69" t="str">
        <f t="shared" ca="1" si="76"/>
        <v>E0014/26</v>
      </c>
      <c r="H158" s="202">
        <f t="shared" ca="1" si="76"/>
        <v>46031</v>
      </c>
      <c r="I158" s="203">
        <f t="shared" ca="1" si="76"/>
        <v>46417</v>
      </c>
      <c r="J158" s="199"/>
      <c r="K158" s="193">
        <f ca="1">IF(G158="",0,IF(COUNTIF(G$121:$G157,G158)&gt;0,0,MAX(K$121:$K157)+1))</f>
        <v>0</v>
      </c>
      <c r="L158" s="200" t="str">
        <f t="shared" ca="1" si="60"/>
        <v/>
      </c>
      <c r="M158" s="69" t="str">
        <f t="shared" ca="1" si="67"/>
        <v>VÁLIDO</v>
      </c>
      <c r="O158" s="41">
        <f t="shared" si="75"/>
        <v>3</v>
      </c>
      <c r="P158" s="41">
        <f t="shared" si="69"/>
        <v>6</v>
      </c>
      <c r="R158" s="204">
        <f>VLOOKUP(CONCATENATE(O158,".4"),'Resultados - 6'!$A$10:$BL$156,5,FALSE)</f>
        <v>1</v>
      </c>
      <c r="S158" s="267">
        <f>IF(R158="",0,IF(COUNTIF($R$121:R157,R158)&gt;0,0,MAX($S$121:S157)+1))</f>
        <v>0</v>
      </c>
      <c r="T158" s="53" t="str">
        <f t="shared" si="63"/>
        <v/>
      </c>
      <c r="X158" s="204" t="str">
        <f>VLOOKUP(CONCATENATE(O158,".20"),'Resultados - 6'!$A$10:$BL$156,43,FALSE)</f>
        <v/>
      </c>
      <c r="AA158" s="204">
        <f>VLOOKUP(CONCATENATE(O158,".5"),'Resultados - 6'!$A$10:$BL$156,42,FALSE)</f>
        <v>0</v>
      </c>
      <c r="AD158" s="204" t="str">
        <f>VLOOKUP(CONCATENATE(O158,".20"),'Resultados - 6'!$A$10:$BL$156,44,FALSE)</f>
        <v/>
      </c>
    </row>
    <row r="159" spans="1:30" x14ac:dyDescent="0.3">
      <c r="A159" s="204">
        <f ca="1">VLOOKUP(CONCATENATE(O159,".9"),'Resultados - 6'!$A$10:$BL$156,40,FALSE)</f>
        <v>9</v>
      </c>
      <c r="B159" s="69" t="str">
        <f t="shared" ca="1" si="76"/>
        <v>E.MS.LQ-006</v>
      </c>
      <c r="C159" s="69" t="str">
        <f t="shared" ca="1" si="76"/>
        <v>Balança Analítica</v>
      </c>
      <c r="D159" s="69" t="str">
        <f t="shared" ca="1" si="76"/>
        <v>E.MS.LQ-006</v>
      </c>
      <c r="E159" s="69" t="str">
        <f t="shared" ca="1" si="76"/>
        <v xml:space="preserve">Elus </v>
      </c>
      <c r="F159" s="69" t="str">
        <f t="shared" ca="1" si="76"/>
        <v>RBC - CAL 0439</v>
      </c>
      <c r="G159" s="69" t="str">
        <f t="shared" ca="1" si="76"/>
        <v>E0014/26</v>
      </c>
      <c r="H159" s="202">
        <f t="shared" ca="1" si="76"/>
        <v>46031</v>
      </c>
      <c r="I159" s="203">
        <f t="shared" ca="1" si="76"/>
        <v>46417</v>
      </c>
      <c r="J159" s="199"/>
      <c r="K159" s="193">
        <f ca="1">IF(G159="",0,IF(COUNTIF(G$121:$G158,G159)&gt;0,0,MAX(K$121:$K158)+1))</f>
        <v>0</v>
      </c>
      <c r="L159" s="200" t="str">
        <f t="shared" ca="1" si="60"/>
        <v/>
      </c>
      <c r="M159" s="69" t="str">
        <f t="shared" ca="1" si="67"/>
        <v>VÁLIDO</v>
      </c>
      <c r="O159" s="41">
        <f t="shared" si="75"/>
        <v>4</v>
      </c>
      <c r="P159" s="41">
        <f t="shared" si="69"/>
        <v>6</v>
      </c>
      <c r="R159" s="204">
        <f>VLOOKUP(CONCATENATE(O159,".4"),'Resultados - 6'!$A$10:$BL$156,5,FALSE)</f>
        <v>1</v>
      </c>
      <c r="S159" s="267">
        <f>IF(R159="",0,IF(COUNTIF($R$121:R158,R159)&gt;0,0,MAX($S$121:S158)+1))</f>
        <v>0</v>
      </c>
      <c r="T159" s="53" t="str">
        <f t="shared" si="63"/>
        <v/>
      </c>
      <c r="X159" s="204" t="str">
        <f>VLOOKUP(CONCATENATE(O159,".20"),'Resultados - 6'!$A$10:$BL$156,43,FALSE)</f>
        <v/>
      </c>
      <c r="AA159" s="204">
        <f>VLOOKUP(CONCATENATE(O159,".5"),'Resultados - 6'!$A$10:$BL$156,42,FALSE)</f>
        <v>0</v>
      </c>
      <c r="AD159" s="204" t="str">
        <f>VLOOKUP(CONCATENATE(O159,".20"),'Resultados - 6'!$A$10:$BL$156,44,FALSE)</f>
        <v/>
      </c>
    </row>
    <row r="160" spans="1:30" x14ac:dyDescent="0.3">
      <c r="A160" s="204">
        <f ca="1">VLOOKUP(CONCATENATE(O160,".9"),'Resultados - 6'!$A$10:$BL$156,40,FALSE)</f>
        <v>9</v>
      </c>
      <c r="B160" s="69" t="str">
        <f t="shared" ca="1" si="76"/>
        <v>E.MS.LQ-006</v>
      </c>
      <c r="C160" s="69" t="str">
        <f t="shared" ca="1" si="76"/>
        <v>Balança Analítica</v>
      </c>
      <c r="D160" s="69" t="str">
        <f t="shared" ca="1" si="76"/>
        <v>E.MS.LQ-006</v>
      </c>
      <c r="E160" s="69" t="str">
        <f t="shared" ca="1" si="76"/>
        <v xml:space="preserve">Elus </v>
      </c>
      <c r="F160" s="69" t="str">
        <f t="shared" ca="1" si="76"/>
        <v>RBC - CAL 0439</v>
      </c>
      <c r="G160" s="69" t="str">
        <f t="shared" ca="1" si="76"/>
        <v>E0014/26</v>
      </c>
      <c r="H160" s="202">
        <f t="shared" ca="1" si="76"/>
        <v>46031</v>
      </c>
      <c r="I160" s="203">
        <f t="shared" ca="1" si="76"/>
        <v>46417</v>
      </c>
      <c r="J160" s="199"/>
      <c r="K160" s="193">
        <f ca="1">IF(G160="",0,IF(COUNTIF(G$121:$G159,G160)&gt;0,0,MAX(K$121:$K159)+1))</f>
        <v>0</v>
      </c>
      <c r="L160" s="200" t="str">
        <f t="shared" ca="1" si="60"/>
        <v/>
      </c>
      <c r="M160" s="69" t="str">
        <f t="shared" ref="M160:M191" ca="1" si="77">IF($A160="","",VLOOKUP($A160,$A$97:$CY$116,M$120,FALSE))</f>
        <v>VÁLIDO</v>
      </c>
      <c r="O160" s="41">
        <f t="shared" si="75"/>
        <v>5</v>
      </c>
      <c r="P160" s="41">
        <f t="shared" si="69"/>
        <v>6</v>
      </c>
      <c r="R160" s="204">
        <f>VLOOKUP(CONCATENATE(O160,".4"),'Resultados - 6'!$A$10:$BL$156,5,FALSE)</f>
        <v>1</v>
      </c>
      <c r="S160" s="267">
        <f>IF(R160="",0,IF(COUNTIF($R$121:R159,R160)&gt;0,0,MAX($S$121:S159)+1))</f>
        <v>0</v>
      </c>
      <c r="T160" s="53" t="str">
        <f t="shared" si="63"/>
        <v/>
      </c>
      <c r="X160" s="204" t="str">
        <f>VLOOKUP(CONCATENATE(O160,".20"),'Resultados - 6'!$A$10:$BL$156,43,FALSE)</f>
        <v/>
      </c>
      <c r="AA160" s="204">
        <f>VLOOKUP(CONCATENATE(O160,".5"),'Resultados - 6'!$A$10:$BL$156,42,FALSE)</f>
        <v>0</v>
      </c>
      <c r="AD160" s="204" t="str">
        <f>VLOOKUP(CONCATENATE(O160,".20"),'Resultados - 6'!$A$10:$BL$156,44,FALSE)</f>
        <v/>
      </c>
    </row>
    <row r="161" spans="1:30" x14ac:dyDescent="0.3">
      <c r="A161" s="204">
        <f ca="1">VLOOKUP(CONCATENATE(O161,".9"),'Resultados - 6'!$A$10:$BL$156,40,FALSE)</f>
        <v>9</v>
      </c>
      <c r="B161" s="69" t="str">
        <f t="shared" ca="1" si="76"/>
        <v>E.MS.LQ-006</v>
      </c>
      <c r="C161" s="69" t="str">
        <f t="shared" ca="1" si="76"/>
        <v>Balança Analítica</v>
      </c>
      <c r="D161" s="69" t="str">
        <f t="shared" ca="1" si="76"/>
        <v>E.MS.LQ-006</v>
      </c>
      <c r="E161" s="69" t="str">
        <f t="shared" ca="1" si="76"/>
        <v xml:space="preserve">Elus </v>
      </c>
      <c r="F161" s="69" t="str">
        <f t="shared" ca="1" si="76"/>
        <v>RBC - CAL 0439</v>
      </c>
      <c r="G161" s="69" t="str">
        <f t="shared" ca="1" si="76"/>
        <v>E0014/26</v>
      </c>
      <c r="H161" s="202">
        <f t="shared" ca="1" si="76"/>
        <v>46031</v>
      </c>
      <c r="I161" s="203">
        <f t="shared" ca="1" si="76"/>
        <v>46417</v>
      </c>
      <c r="J161" s="199"/>
      <c r="K161" s="193">
        <f ca="1">IF(G161="",0,IF(COUNTIF(G$121:$G160,G161)&gt;0,0,MAX(K$121:$K160)+1))</f>
        <v>0</v>
      </c>
      <c r="L161" s="200" t="str">
        <f t="shared" ca="1" si="60"/>
        <v/>
      </c>
      <c r="M161" s="69" t="str">
        <f t="shared" ca="1" si="77"/>
        <v>VÁLIDO</v>
      </c>
      <c r="O161" s="41">
        <f t="shared" si="75"/>
        <v>6</v>
      </c>
      <c r="P161" s="41">
        <f t="shared" si="69"/>
        <v>6</v>
      </c>
      <c r="R161" s="204">
        <f>VLOOKUP(CONCATENATE(O161,".4"),'Resultados - 6'!$A$10:$BL$156,5,FALSE)</f>
        <v>1</v>
      </c>
      <c r="S161" s="267">
        <f>IF(R161="",0,IF(COUNTIF($R$121:R160,R161)&gt;0,0,MAX($S$121:S160)+1))</f>
        <v>0</v>
      </c>
      <c r="T161" s="53" t="str">
        <f t="shared" si="63"/>
        <v/>
      </c>
      <c r="X161" s="204" t="str">
        <f>VLOOKUP(CONCATENATE(O161,".20"),'Resultados - 6'!$A$10:$BL$156,43,FALSE)</f>
        <v/>
      </c>
      <c r="AA161" s="204">
        <f>VLOOKUP(CONCATENATE(O161,".5"),'Resultados - 6'!$A$10:$BL$156,42,FALSE)</f>
        <v>0</v>
      </c>
      <c r="AD161" s="204" t="str">
        <f>VLOOKUP(CONCATENATE(O161,".20"),'Resultados - 6'!$A$10:$BL$156,44,FALSE)</f>
        <v/>
      </c>
    </row>
    <row r="162" spans="1:30" x14ac:dyDescent="0.3">
      <c r="A162" s="204">
        <f ca="1">VLOOKUP(CONCATENATE(O162,".9"),'Resultados - 6'!$A$10:$BL$156,40,FALSE)</f>
        <v>9</v>
      </c>
      <c r="B162" s="69" t="str">
        <f t="shared" ca="1" si="76"/>
        <v>E.MS.LQ-006</v>
      </c>
      <c r="C162" s="69" t="str">
        <f t="shared" ca="1" si="76"/>
        <v>Balança Analítica</v>
      </c>
      <c r="D162" s="69" t="str">
        <f t="shared" ca="1" si="76"/>
        <v>E.MS.LQ-006</v>
      </c>
      <c r="E162" s="69" t="str">
        <f t="shared" ca="1" si="76"/>
        <v xml:space="preserve">Elus </v>
      </c>
      <c r="F162" s="69" t="str">
        <f t="shared" ca="1" si="76"/>
        <v>RBC - CAL 0439</v>
      </c>
      <c r="G162" s="69" t="str">
        <f t="shared" ca="1" si="76"/>
        <v>E0014/26</v>
      </c>
      <c r="H162" s="202">
        <f t="shared" ca="1" si="76"/>
        <v>46031</v>
      </c>
      <c r="I162" s="203">
        <f t="shared" ca="1" si="76"/>
        <v>46417</v>
      </c>
      <c r="J162" s="199"/>
      <c r="K162" s="193">
        <f ca="1">IF(G162="",0,IF(COUNTIF(G$121:$G161,G162)&gt;0,0,MAX(K$121:$K161)+1))</f>
        <v>0</v>
      </c>
      <c r="L162" s="200" t="str">
        <f t="shared" ca="1" si="60"/>
        <v/>
      </c>
      <c r="M162" s="69" t="str">
        <f t="shared" ca="1" si="77"/>
        <v>VÁLIDO</v>
      </c>
      <c r="O162" s="41">
        <f t="shared" si="75"/>
        <v>7</v>
      </c>
      <c r="P162" s="41">
        <f t="shared" si="69"/>
        <v>6</v>
      </c>
      <c r="R162" s="204">
        <f>VLOOKUP(CONCATENATE(O162,".4"),'Resultados - 6'!$A$10:$BL$156,5,FALSE)</f>
        <v>1</v>
      </c>
      <c r="S162" s="267">
        <f>IF(R162="",0,IF(COUNTIF($R$121:R161,R162)&gt;0,0,MAX($S$121:S161)+1))</f>
        <v>0</v>
      </c>
      <c r="T162" s="53" t="str">
        <f t="shared" si="63"/>
        <v/>
      </c>
      <c r="X162" s="204" t="str">
        <f>VLOOKUP(CONCATENATE(O162,".20"),'Resultados - 6'!$A$10:$BL$156,43,FALSE)</f>
        <v/>
      </c>
      <c r="AA162" s="204">
        <f>VLOOKUP(CONCATENATE(O162,".5"),'Resultados - 6'!$A$10:$BL$156,42,FALSE)</f>
        <v>0</v>
      </c>
      <c r="AD162" s="204" t="str">
        <f>VLOOKUP(CONCATENATE(O162,".20"),'Resultados - 6'!$A$10:$BL$156,44,FALSE)</f>
        <v/>
      </c>
    </row>
    <row r="163" spans="1:30" x14ac:dyDescent="0.3">
      <c r="A163" s="201">
        <f ca="1">VLOOKUP(CONCATENATE(O163,".9"),'Resultados - 7'!$A$10:$BL$156,40,FALSE)</f>
        <v>9</v>
      </c>
      <c r="B163" s="69" t="str">
        <f t="shared" ca="1" si="76"/>
        <v>E.MS.LQ-006</v>
      </c>
      <c r="C163" s="69" t="str">
        <f t="shared" ca="1" si="76"/>
        <v>Balança Analítica</v>
      </c>
      <c r="D163" s="69" t="str">
        <f t="shared" ca="1" si="76"/>
        <v>E.MS.LQ-006</v>
      </c>
      <c r="E163" s="69" t="str">
        <f t="shared" ca="1" si="76"/>
        <v xml:space="preserve">Elus </v>
      </c>
      <c r="F163" s="69" t="str">
        <f t="shared" ca="1" si="76"/>
        <v>RBC - CAL 0439</v>
      </c>
      <c r="G163" s="69" t="str">
        <f t="shared" ca="1" si="76"/>
        <v>E0014/26</v>
      </c>
      <c r="H163" s="202">
        <f t="shared" ca="1" si="76"/>
        <v>46031</v>
      </c>
      <c r="I163" s="203">
        <f t="shared" ca="1" si="76"/>
        <v>46417</v>
      </c>
      <c r="J163" s="199"/>
      <c r="K163" s="193">
        <f ca="1">IF(G163="",0,IF(COUNTIF(G$121:$G162,G163)&gt;0,0,MAX(K$121:$K162)+1))</f>
        <v>0</v>
      </c>
      <c r="L163" s="200" t="str">
        <f t="shared" ca="1" si="60"/>
        <v/>
      </c>
      <c r="M163" s="69" t="str">
        <f t="shared" ca="1" si="77"/>
        <v>VÁLIDO</v>
      </c>
      <c r="O163" s="41">
        <f>O156</f>
        <v>1</v>
      </c>
      <c r="P163" s="41">
        <f t="shared" si="69"/>
        <v>7</v>
      </c>
      <c r="R163" s="201">
        <f>VLOOKUP(CONCATENATE(O163,".4"),'Resultados - 7'!$A$10:$BL$156,5,FALSE)</f>
        <v>1</v>
      </c>
      <c r="S163" s="267">
        <f>IF(R163="",0,IF(COUNTIF($R$121:R162,R163)&gt;0,0,MAX($S$121:S162)+1))</f>
        <v>0</v>
      </c>
      <c r="T163" s="53" t="str">
        <f t="shared" si="63"/>
        <v/>
      </c>
      <c r="X163" s="201" t="str">
        <f>VLOOKUP(CONCATENATE(O163,".20"),'Resultados - 7'!$A$10:$BL$156,43,FALSE)</f>
        <v/>
      </c>
      <c r="AA163" s="201">
        <f>VLOOKUP(CONCATENATE(O163,".5"),'Resultados - 7'!$A$10:$BL$156,42,FALSE)</f>
        <v>0</v>
      </c>
      <c r="AD163" s="201" t="str">
        <f>VLOOKUP(CONCATENATE(O163,".20"),'Resultados - 7'!$A$10:$BL$156,44,FALSE)</f>
        <v/>
      </c>
    </row>
    <row r="164" spans="1:30" x14ac:dyDescent="0.3">
      <c r="A164" s="201">
        <f ca="1">VLOOKUP(CONCATENATE(O164,".9"),'Resultados - 7'!$A$10:$BL$156,40,FALSE)</f>
        <v>9</v>
      </c>
      <c r="B164" s="69" t="str">
        <f t="shared" ca="1" si="76"/>
        <v>E.MS.LQ-006</v>
      </c>
      <c r="C164" s="69" t="str">
        <f t="shared" ca="1" si="76"/>
        <v>Balança Analítica</v>
      </c>
      <c r="D164" s="69" t="str">
        <f t="shared" ca="1" si="76"/>
        <v>E.MS.LQ-006</v>
      </c>
      <c r="E164" s="69" t="str">
        <f t="shared" ca="1" si="76"/>
        <v xml:space="preserve">Elus </v>
      </c>
      <c r="F164" s="69" t="str">
        <f t="shared" ca="1" si="76"/>
        <v>RBC - CAL 0439</v>
      </c>
      <c r="G164" s="69" t="str">
        <f t="shared" ca="1" si="76"/>
        <v>E0014/26</v>
      </c>
      <c r="H164" s="202">
        <f t="shared" ca="1" si="76"/>
        <v>46031</v>
      </c>
      <c r="I164" s="203">
        <f t="shared" ca="1" si="76"/>
        <v>46417</v>
      </c>
      <c r="J164" s="199"/>
      <c r="K164" s="193">
        <f ca="1">IF(G164="",0,IF(COUNTIF(G$121:$G163,G164)&gt;0,0,MAX(K$121:$K163)+1))</f>
        <v>0</v>
      </c>
      <c r="L164" s="200" t="str">
        <f t="shared" ca="1" si="60"/>
        <v/>
      </c>
      <c r="M164" s="69" t="str">
        <f t="shared" ca="1" si="77"/>
        <v>VÁLIDO</v>
      </c>
      <c r="O164" s="41">
        <f t="shared" ref="O164:O169" si="78">O163+1</f>
        <v>2</v>
      </c>
      <c r="P164" s="41">
        <f t="shared" si="69"/>
        <v>7</v>
      </c>
      <c r="R164" s="201">
        <f>VLOOKUP(CONCATENATE(O164,".4"),'Resultados - 7'!$A$10:$BL$156,5,FALSE)</f>
        <v>1</v>
      </c>
      <c r="S164" s="267">
        <f>IF(R164="",0,IF(COUNTIF($R$121:R163,R164)&gt;0,0,MAX($S$121:S163)+1))</f>
        <v>0</v>
      </c>
      <c r="T164" s="53" t="str">
        <f t="shared" si="63"/>
        <v/>
      </c>
      <c r="X164" s="201" t="str">
        <f>VLOOKUP(CONCATENATE(O164,".20"),'Resultados - 7'!$A$10:$BL$156,43,FALSE)</f>
        <v/>
      </c>
      <c r="AA164" s="201">
        <f>VLOOKUP(CONCATENATE(O164,".5"),'Resultados - 7'!$A$10:$BL$156,42,FALSE)</f>
        <v>0</v>
      </c>
      <c r="AD164" s="201" t="str">
        <f>VLOOKUP(CONCATENATE(O164,".20"),'Resultados - 7'!$A$10:$BL$156,44,FALSE)</f>
        <v/>
      </c>
    </row>
    <row r="165" spans="1:30" x14ac:dyDescent="0.3">
      <c r="A165" s="201">
        <f ca="1">VLOOKUP(CONCATENATE(O165,".9"),'Resultados - 7'!$A$10:$BL$156,40,FALSE)</f>
        <v>9</v>
      </c>
      <c r="B165" s="69" t="str">
        <f t="shared" ca="1" si="76"/>
        <v>E.MS.LQ-006</v>
      </c>
      <c r="C165" s="69" t="str">
        <f t="shared" ca="1" si="76"/>
        <v>Balança Analítica</v>
      </c>
      <c r="D165" s="69" t="str">
        <f t="shared" ca="1" si="76"/>
        <v>E.MS.LQ-006</v>
      </c>
      <c r="E165" s="69" t="str">
        <f t="shared" ca="1" si="76"/>
        <v xml:space="preserve">Elus </v>
      </c>
      <c r="F165" s="69" t="str">
        <f t="shared" ca="1" si="76"/>
        <v>RBC - CAL 0439</v>
      </c>
      <c r="G165" s="69" t="str">
        <f t="shared" ca="1" si="76"/>
        <v>E0014/26</v>
      </c>
      <c r="H165" s="202">
        <f t="shared" ca="1" si="76"/>
        <v>46031</v>
      </c>
      <c r="I165" s="203">
        <f t="shared" ca="1" si="76"/>
        <v>46417</v>
      </c>
      <c r="J165" s="199"/>
      <c r="K165" s="193">
        <f ca="1">IF(G165="",0,IF(COUNTIF(G$121:$G164,G165)&gt;0,0,MAX(K$121:$K164)+1))</f>
        <v>0</v>
      </c>
      <c r="L165" s="200" t="str">
        <f t="shared" ca="1" si="60"/>
        <v/>
      </c>
      <c r="M165" s="69" t="str">
        <f t="shared" ca="1" si="77"/>
        <v>VÁLIDO</v>
      </c>
      <c r="O165" s="41">
        <f t="shared" si="78"/>
        <v>3</v>
      </c>
      <c r="P165" s="41">
        <f t="shared" si="69"/>
        <v>7</v>
      </c>
      <c r="R165" s="201">
        <f>VLOOKUP(CONCATENATE(O165,".4"),'Resultados - 7'!$A$10:$BL$156,5,FALSE)</f>
        <v>1</v>
      </c>
      <c r="S165" s="267">
        <f>IF(R165="",0,IF(COUNTIF($R$121:R164,R165)&gt;0,0,MAX($S$121:S164)+1))</f>
        <v>0</v>
      </c>
      <c r="T165" s="53" t="str">
        <f t="shared" si="63"/>
        <v/>
      </c>
      <c r="X165" s="201" t="str">
        <f>VLOOKUP(CONCATENATE(O165,".20"),'Resultados - 7'!$A$10:$BL$156,43,FALSE)</f>
        <v/>
      </c>
      <c r="AA165" s="201">
        <f>VLOOKUP(CONCATENATE(O165,".5"),'Resultados - 7'!$A$10:$BL$156,42,FALSE)</f>
        <v>0</v>
      </c>
      <c r="AD165" s="201" t="str">
        <f>VLOOKUP(CONCATENATE(O165,".20"),'Resultados - 7'!$A$10:$BL$156,44,FALSE)</f>
        <v/>
      </c>
    </row>
    <row r="166" spans="1:30" x14ac:dyDescent="0.3">
      <c r="A166" s="201">
        <f ca="1">VLOOKUP(CONCATENATE(O166,".9"),'Resultados - 7'!$A$10:$BL$156,40,FALSE)</f>
        <v>9</v>
      </c>
      <c r="B166" s="69" t="str">
        <f t="shared" ca="1" si="76"/>
        <v>E.MS.LQ-006</v>
      </c>
      <c r="C166" s="69" t="str">
        <f t="shared" ca="1" si="76"/>
        <v>Balança Analítica</v>
      </c>
      <c r="D166" s="69" t="str">
        <f t="shared" ca="1" si="76"/>
        <v>E.MS.LQ-006</v>
      </c>
      <c r="E166" s="69" t="str">
        <f t="shared" ca="1" si="76"/>
        <v xml:space="preserve">Elus </v>
      </c>
      <c r="F166" s="69" t="str">
        <f t="shared" ca="1" si="76"/>
        <v>RBC - CAL 0439</v>
      </c>
      <c r="G166" s="69" t="str">
        <f t="shared" ca="1" si="76"/>
        <v>E0014/26</v>
      </c>
      <c r="H166" s="202">
        <f t="shared" ca="1" si="76"/>
        <v>46031</v>
      </c>
      <c r="I166" s="203">
        <f t="shared" ca="1" si="76"/>
        <v>46417</v>
      </c>
      <c r="J166" s="199"/>
      <c r="K166" s="193">
        <f ca="1">IF(G166="",0,IF(COUNTIF(G$121:$G165,G166)&gt;0,0,MAX(K$121:$K165)+1))</f>
        <v>0</v>
      </c>
      <c r="L166" s="200" t="str">
        <f t="shared" ca="1" si="60"/>
        <v/>
      </c>
      <c r="M166" s="69" t="str">
        <f t="shared" ca="1" si="77"/>
        <v>VÁLIDO</v>
      </c>
      <c r="O166" s="41">
        <f t="shared" si="78"/>
        <v>4</v>
      </c>
      <c r="P166" s="41">
        <f t="shared" si="69"/>
        <v>7</v>
      </c>
      <c r="R166" s="201">
        <f>VLOOKUP(CONCATENATE(O166,".4"),'Resultados - 7'!$A$10:$BL$156,5,FALSE)</f>
        <v>1</v>
      </c>
      <c r="S166" s="267">
        <f>IF(R166="",0,IF(COUNTIF($R$121:R165,R166)&gt;0,0,MAX($S$121:S165)+1))</f>
        <v>0</v>
      </c>
      <c r="T166" s="53" t="str">
        <f t="shared" si="63"/>
        <v/>
      </c>
      <c r="X166" s="201" t="str">
        <f>VLOOKUP(CONCATENATE(O166,".20"),'Resultados - 7'!$A$10:$BL$156,43,FALSE)</f>
        <v/>
      </c>
      <c r="AA166" s="201">
        <f>VLOOKUP(CONCATENATE(O166,".5"),'Resultados - 7'!$A$10:$BL$156,42,FALSE)</f>
        <v>0</v>
      </c>
      <c r="AD166" s="201" t="str">
        <f>VLOOKUP(CONCATENATE(O166,".20"),'Resultados - 7'!$A$10:$BL$156,44,FALSE)</f>
        <v/>
      </c>
    </row>
    <row r="167" spans="1:30" x14ac:dyDescent="0.3">
      <c r="A167" s="201">
        <f ca="1">VLOOKUP(CONCATENATE(O167,".9"),'Resultados - 7'!$A$10:$BL$156,40,FALSE)</f>
        <v>9</v>
      </c>
      <c r="B167" s="69" t="str">
        <f t="shared" ca="1" si="76"/>
        <v>E.MS.LQ-006</v>
      </c>
      <c r="C167" s="69" t="str">
        <f t="shared" ca="1" si="76"/>
        <v>Balança Analítica</v>
      </c>
      <c r="D167" s="69" t="str">
        <f t="shared" ca="1" si="76"/>
        <v>E.MS.LQ-006</v>
      </c>
      <c r="E167" s="69" t="str">
        <f t="shared" ca="1" si="76"/>
        <v xml:space="preserve">Elus </v>
      </c>
      <c r="F167" s="69" t="str">
        <f t="shared" ca="1" si="76"/>
        <v>RBC - CAL 0439</v>
      </c>
      <c r="G167" s="69" t="str">
        <f t="shared" ca="1" si="76"/>
        <v>E0014/26</v>
      </c>
      <c r="H167" s="202">
        <f t="shared" ca="1" si="76"/>
        <v>46031</v>
      </c>
      <c r="I167" s="203">
        <f t="shared" ca="1" si="76"/>
        <v>46417</v>
      </c>
      <c r="J167" s="199"/>
      <c r="K167" s="193">
        <f ca="1">IF(G167="",0,IF(COUNTIF(G$121:$G166,G167)&gt;0,0,MAX(K$121:$K166)+1))</f>
        <v>0</v>
      </c>
      <c r="L167" s="200" t="str">
        <f t="shared" ca="1" si="60"/>
        <v/>
      </c>
      <c r="M167" s="69" t="str">
        <f t="shared" ca="1" si="77"/>
        <v>VÁLIDO</v>
      </c>
      <c r="O167" s="41">
        <f t="shared" si="78"/>
        <v>5</v>
      </c>
      <c r="P167" s="41">
        <f t="shared" si="69"/>
        <v>7</v>
      </c>
      <c r="R167" s="201">
        <f>VLOOKUP(CONCATENATE(O167,".4"),'Resultados - 7'!$A$10:$BL$156,5,FALSE)</f>
        <v>1</v>
      </c>
      <c r="S167" s="267">
        <f>IF(R167="",0,IF(COUNTIF($R$121:R166,R167)&gt;0,0,MAX($S$121:S166)+1))</f>
        <v>0</v>
      </c>
      <c r="T167" s="53" t="str">
        <f t="shared" si="63"/>
        <v/>
      </c>
      <c r="X167" s="201" t="str">
        <f>VLOOKUP(CONCATENATE(O167,".20"),'Resultados - 7'!$A$10:$BL$156,43,FALSE)</f>
        <v/>
      </c>
      <c r="AA167" s="201">
        <f>VLOOKUP(CONCATENATE(O167,".5"),'Resultados - 7'!$A$10:$BL$156,42,FALSE)</f>
        <v>0</v>
      </c>
      <c r="AD167" s="201" t="str">
        <f>VLOOKUP(CONCATENATE(O167,".20"),'Resultados - 7'!$A$10:$BL$156,44,FALSE)</f>
        <v/>
      </c>
    </row>
    <row r="168" spans="1:30" x14ac:dyDescent="0.3">
      <c r="A168" s="201">
        <f ca="1">VLOOKUP(CONCATENATE(O168,".9"),'Resultados - 7'!$A$10:$BL$156,40,FALSE)</f>
        <v>9</v>
      </c>
      <c r="B168" s="69" t="str">
        <f t="shared" ref="B168:I177" ca="1" si="79">IF($A168="","",VLOOKUP($A168,$A$97:$CY$116,B$120,FALSE))</f>
        <v>E.MS.LQ-006</v>
      </c>
      <c r="C168" s="69" t="str">
        <f t="shared" ca="1" si="79"/>
        <v>Balança Analítica</v>
      </c>
      <c r="D168" s="69" t="str">
        <f t="shared" ca="1" si="79"/>
        <v>E.MS.LQ-006</v>
      </c>
      <c r="E168" s="69" t="str">
        <f t="shared" ca="1" si="79"/>
        <v xml:space="preserve">Elus </v>
      </c>
      <c r="F168" s="69" t="str">
        <f t="shared" ca="1" si="79"/>
        <v>RBC - CAL 0439</v>
      </c>
      <c r="G168" s="69" t="str">
        <f t="shared" ca="1" si="79"/>
        <v>E0014/26</v>
      </c>
      <c r="H168" s="202">
        <f t="shared" ca="1" si="79"/>
        <v>46031</v>
      </c>
      <c r="I168" s="203">
        <f t="shared" ca="1" si="79"/>
        <v>46417</v>
      </c>
      <c r="J168" s="199"/>
      <c r="K168" s="193">
        <f ca="1">IF(G168="",0,IF(COUNTIF(G$121:$G167,G168)&gt;0,0,MAX(K$121:$K167)+1))</f>
        <v>0</v>
      </c>
      <c r="L168" s="200" t="str">
        <f t="shared" ca="1" si="60"/>
        <v/>
      </c>
      <c r="M168" s="69" t="str">
        <f t="shared" ca="1" si="77"/>
        <v>VÁLIDO</v>
      </c>
      <c r="O168" s="41">
        <f t="shared" si="78"/>
        <v>6</v>
      </c>
      <c r="P168" s="41">
        <f t="shared" si="69"/>
        <v>7</v>
      </c>
      <c r="R168" s="201">
        <f>VLOOKUP(CONCATENATE(O168,".4"),'Resultados - 7'!$A$10:$BL$156,5,FALSE)</f>
        <v>1</v>
      </c>
      <c r="S168" s="267">
        <f>IF(R168="",0,IF(COUNTIF($R$121:R167,R168)&gt;0,0,MAX($S$121:S167)+1))</f>
        <v>0</v>
      </c>
      <c r="T168" s="53" t="str">
        <f t="shared" si="63"/>
        <v/>
      </c>
      <c r="X168" s="201" t="str">
        <f>VLOOKUP(CONCATENATE(O168,".20"),'Resultados - 7'!$A$10:$BL$156,43,FALSE)</f>
        <v/>
      </c>
      <c r="AA168" s="201">
        <f>VLOOKUP(CONCATENATE(O168,".5"),'Resultados - 7'!$A$10:$BL$156,42,FALSE)</f>
        <v>0</v>
      </c>
      <c r="AD168" s="201" t="str">
        <f>VLOOKUP(CONCATENATE(O168,".20"),'Resultados - 7'!$A$10:$BL$156,44,FALSE)</f>
        <v/>
      </c>
    </row>
    <row r="169" spans="1:30" x14ac:dyDescent="0.3">
      <c r="A169" s="201">
        <f ca="1">VLOOKUP(CONCATENATE(O169,".9"),'Resultados - 7'!$A$10:$BL$156,40,FALSE)</f>
        <v>9</v>
      </c>
      <c r="B169" s="69" t="str">
        <f t="shared" ca="1" si="79"/>
        <v>E.MS.LQ-006</v>
      </c>
      <c r="C169" s="69" t="str">
        <f t="shared" ca="1" si="79"/>
        <v>Balança Analítica</v>
      </c>
      <c r="D169" s="69" t="str">
        <f t="shared" ca="1" si="79"/>
        <v>E.MS.LQ-006</v>
      </c>
      <c r="E169" s="69" t="str">
        <f t="shared" ca="1" si="79"/>
        <v xml:space="preserve">Elus </v>
      </c>
      <c r="F169" s="69" t="str">
        <f t="shared" ca="1" si="79"/>
        <v>RBC - CAL 0439</v>
      </c>
      <c r="G169" s="69" t="str">
        <f t="shared" ca="1" si="79"/>
        <v>E0014/26</v>
      </c>
      <c r="H169" s="202">
        <f t="shared" ca="1" si="79"/>
        <v>46031</v>
      </c>
      <c r="I169" s="203">
        <f t="shared" ca="1" si="79"/>
        <v>46417</v>
      </c>
      <c r="J169" s="199"/>
      <c r="K169" s="193">
        <f ca="1">IF(G169="",0,IF(COUNTIF(G$121:$G168,G169)&gt;0,0,MAX(K$121:$K168)+1))</f>
        <v>0</v>
      </c>
      <c r="L169" s="200" t="str">
        <f t="shared" ca="1" si="60"/>
        <v/>
      </c>
      <c r="M169" s="69" t="str">
        <f t="shared" ca="1" si="77"/>
        <v>VÁLIDO</v>
      </c>
      <c r="O169" s="41">
        <f t="shared" si="78"/>
        <v>7</v>
      </c>
      <c r="P169" s="41">
        <f t="shared" si="69"/>
        <v>7</v>
      </c>
      <c r="R169" s="201">
        <f>VLOOKUP(CONCATENATE(O169,".4"),'Resultados - 7'!$A$10:$BL$156,5,FALSE)</f>
        <v>1</v>
      </c>
      <c r="S169" s="267">
        <f>IF(R169="",0,IF(COUNTIF($R$121:R168,R169)&gt;0,0,MAX($S$121:S168)+1))</f>
        <v>0</v>
      </c>
      <c r="T169" s="53" t="str">
        <f t="shared" si="63"/>
        <v/>
      </c>
      <c r="X169" s="201" t="str">
        <f>VLOOKUP(CONCATENATE(O169,".20"),'Resultados - 7'!$A$10:$BL$156,43,FALSE)</f>
        <v/>
      </c>
      <c r="AA169" s="201">
        <f>VLOOKUP(CONCATENATE(O169,".5"),'Resultados - 7'!$A$10:$BL$156,42,FALSE)</f>
        <v>0</v>
      </c>
      <c r="AD169" s="201" t="str">
        <f>VLOOKUP(CONCATENATE(O169,".20"),'Resultados - 7'!$A$10:$BL$156,44,FALSE)</f>
        <v/>
      </c>
    </row>
    <row r="170" spans="1:30" x14ac:dyDescent="0.3">
      <c r="A170" s="204">
        <f ca="1">VLOOKUP(CONCATENATE(O170,".9"),'Resultados - 8'!$A$10:$BL$156,40,FALSE)</f>
        <v>9</v>
      </c>
      <c r="B170" s="69" t="str">
        <f t="shared" ca="1" si="79"/>
        <v>E.MS.LQ-006</v>
      </c>
      <c r="C170" s="69" t="str">
        <f t="shared" ca="1" si="79"/>
        <v>Balança Analítica</v>
      </c>
      <c r="D170" s="69" t="str">
        <f t="shared" ca="1" si="79"/>
        <v>E.MS.LQ-006</v>
      </c>
      <c r="E170" s="69" t="str">
        <f t="shared" ca="1" si="79"/>
        <v xml:space="preserve">Elus </v>
      </c>
      <c r="F170" s="69" t="str">
        <f t="shared" ca="1" si="79"/>
        <v>RBC - CAL 0439</v>
      </c>
      <c r="G170" s="69" t="str">
        <f t="shared" ca="1" si="79"/>
        <v>E0014/26</v>
      </c>
      <c r="H170" s="202">
        <f t="shared" ca="1" si="79"/>
        <v>46031</v>
      </c>
      <c r="I170" s="203">
        <f t="shared" ca="1" si="79"/>
        <v>46417</v>
      </c>
      <c r="J170" s="199"/>
      <c r="K170" s="193">
        <f ca="1">IF(G170="",0,IF(COUNTIF(G$121:$G169,G170)&gt;0,0,MAX(K$121:$K169)+1))</f>
        <v>0</v>
      </c>
      <c r="L170" s="200" t="str">
        <f t="shared" ca="1" si="60"/>
        <v/>
      </c>
      <c r="M170" s="69" t="str">
        <f t="shared" ca="1" si="77"/>
        <v>VÁLIDO</v>
      </c>
      <c r="O170" s="41">
        <f>O163</f>
        <v>1</v>
      </c>
      <c r="P170" s="41">
        <f t="shared" si="69"/>
        <v>8</v>
      </c>
      <c r="R170" s="204">
        <f>VLOOKUP(CONCATENATE(O170,".4"),'Resultados - 8'!$A$10:$BL$156,5,FALSE)</f>
        <v>1</v>
      </c>
      <c r="S170" s="267">
        <f>IF(R170="",0,IF(COUNTIF($R$121:R169,R170)&gt;0,0,MAX($S$121:S169)+1))</f>
        <v>0</v>
      </c>
      <c r="T170" s="53" t="str">
        <f t="shared" si="63"/>
        <v/>
      </c>
      <c r="X170" s="204" t="str">
        <f>VLOOKUP(CONCATENATE(O170,".20"),'Resultados - 8'!$A$10:$BL$156,43,FALSE)</f>
        <v/>
      </c>
      <c r="AA170" s="204">
        <f>VLOOKUP(CONCATENATE(O170,".5"),'Resultados - 8'!$A$10:$BL$156,42,FALSE)</f>
        <v>0</v>
      </c>
      <c r="AD170" s="204" t="str">
        <f>VLOOKUP(CONCATENATE(O170,".20"),'Resultados - 8'!$A$10:$BL$156,44,FALSE)</f>
        <v/>
      </c>
    </row>
    <row r="171" spans="1:30" x14ac:dyDescent="0.3">
      <c r="A171" s="204">
        <f ca="1">VLOOKUP(CONCATENATE(O171,".9"),'Resultados - 8'!$A$10:$BL$156,40,FALSE)</f>
        <v>9</v>
      </c>
      <c r="B171" s="69" t="str">
        <f t="shared" ca="1" si="79"/>
        <v>E.MS.LQ-006</v>
      </c>
      <c r="C171" s="69" t="str">
        <f t="shared" ca="1" si="79"/>
        <v>Balança Analítica</v>
      </c>
      <c r="D171" s="69" t="str">
        <f t="shared" ca="1" si="79"/>
        <v>E.MS.LQ-006</v>
      </c>
      <c r="E171" s="69" t="str">
        <f t="shared" ca="1" si="79"/>
        <v xml:space="preserve">Elus </v>
      </c>
      <c r="F171" s="69" t="str">
        <f t="shared" ca="1" si="79"/>
        <v>RBC - CAL 0439</v>
      </c>
      <c r="G171" s="69" t="str">
        <f t="shared" ca="1" si="79"/>
        <v>E0014/26</v>
      </c>
      <c r="H171" s="202">
        <f t="shared" ca="1" si="79"/>
        <v>46031</v>
      </c>
      <c r="I171" s="203">
        <f t="shared" ca="1" si="79"/>
        <v>46417</v>
      </c>
      <c r="J171" s="199"/>
      <c r="K171" s="193">
        <f ca="1">IF(G171="",0,IF(COUNTIF(G$121:$G170,G171)&gt;0,0,MAX(K$121:$K170)+1))</f>
        <v>0</v>
      </c>
      <c r="L171" s="200" t="str">
        <f t="shared" ca="1" si="60"/>
        <v/>
      </c>
      <c r="M171" s="69" t="str">
        <f t="shared" ca="1" si="77"/>
        <v>VÁLIDO</v>
      </c>
      <c r="O171" s="41">
        <f t="shared" ref="O171:O176" si="80">O170+1</f>
        <v>2</v>
      </c>
      <c r="P171" s="41">
        <f t="shared" si="69"/>
        <v>8</v>
      </c>
      <c r="R171" s="204">
        <f>VLOOKUP(CONCATENATE(O171,".4"),'Resultados - 8'!$A$10:$BL$156,5,FALSE)</f>
        <v>1</v>
      </c>
      <c r="S171" s="267">
        <f>IF(R171="",0,IF(COUNTIF($R$121:R170,R171)&gt;0,0,MAX($S$121:S170)+1))</f>
        <v>0</v>
      </c>
      <c r="T171" s="53" t="str">
        <f t="shared" si="63"/>
        <v/>
      </c>
      <c r="X171" s="204" t="str">
        <f>VLOOKUP(CONCATENATE(O171,".20"),'Resultados - 8'!$A$10:$BL$156,43,FALSE)</f>
        <v/>
      </c>
      <c r="AA171" s="204">
        <f>VLOOKUP(CONCATENATE(O171,".5"),'Resultados - 8'!$A$10:$BL$156,42,FALSE)</f>
        <v>0</v>
      </c>
      <c r="AD171" s="204" t="str">
        <f>VLOOKUP(CONCATENATE(O171,".20"),'Resultados - 8'!$A$10:$BL$156,44,FALSE)</f>
        <v/>
      </c>
    </row>
    <row r="172" spans="1:30" x14ac:dyDescent="0.3">
      <c r="A172" s="204">
        <f ca="1">VLOOKUP(CONCATENATE(O172,".9"),'Resultados - 8'!$A$10:$BL$156,40,FALSE)</f>
        <v>9</v>
      </c>
      <c r="B172" s="69" t="str">
        <f t="shared" ca="1" si="79"/>
        <v>E.MS.LQ-006</v>
      </c>
      <c r="C172" s="69" t="str">
        <f t="shared" ca="1" si="79"/>
        <v>Balança Analítica</v>
      </c>
      <c r="D172" s="69" t="str">
        <f t="shared" ca="1" si="79"/>
        <v>E.MS.LQ-006</v>
      </c>
      <c r="E172" s="69" t="str">
        <f t="shared" ca="1" si="79"/>
        <v xml:space="preserve">Elus </v>
      </c>
      <c r="F172" s="69" t="str">
        <f t="shared" ca="1" si="79"/>
        <v>RBC - CAL 0439</v>
      </c>
      <c r="G172" s="69" t="str">
        <f t="shared" ca="1" si="79"/>
        <v>E0014/26</v>
      </c>
      <c r="H172" s="202">
        <f t="shared" ca="1" si="79"/>
        <v>46031</v>
      </c>
      <c r="I172" s="203">
        <f t="shared" ca="1" si="79"/>
        <v>46417</v>
      </c>
      <c r="J172" s="199"/>
      <c r="K172" s="193">
        <f ca="1">IF(G172="",0,IF(COUNTIF(G$121:$G171,G172)&gt;0,0,MAX(K$121:$K171)+1))</f>
        <v>0</v>
      </c>
      <c r="L172" s="200" t="str">
        <f t="shared" ca="1" si="60"/>
        <v/>
      </c>
      <c r="M172" s="69" t="str">
        <f t="shared" ca="1" si="77"/>
        <v>VÁLIDO</v>
      </c>
      <c r="O172" s="41">
        <f t="shared" si="80"/>
        <v>3</v>
      </c>
      <c r="P172" s="41">
        <f t="shared" si="69"/>
        <v>8</v>
      </c>
      <c r="R172" s="204">
        <f>VLOOKUP(CONCATENATE(O172,".4"),'Resultados - 8'!$A$10:$BL$156,5,FALSE)</f>
        <v>1</v>
      </c>
      <c r="S172" s="267">
        <f>IF(R172="",0,IF(COUNTIF($R$121:R171,R172)&gt;0,0,MAX($S$121:S171)+1))</f>
        <v>0</v>
      </c>
      <c r="T172" s="53" t="str">
        <f t="shared" si="63"/>
        <v/>
      </c>
      <c r="X172" s="204" t="str">
        <f>VLOOKUP(CONCATENATE(O172,".20"),'Resultados - 8'!$A$10:$BL$156,43,FALSE)</f>
        <v/>
      </c>
      <c r="AA172" s="204">
        <f>VLOOKUP(CONCATENATE(O172,".5"),'Resultados - 8'!$A$10:$BL$156,42,FALSE)</f>
        <v>0</v>
      </c>
      <c r="AD172" s="204" t="str">
        <f>VLOOKUP(CONCATENATE(O172,".20"),'Resultados - 8'!$A$10:$BL$156,44,FALSE)</f>
        <v/>
      </c>
    </row>
    <row r="173" spans="1:30" x14ac:dyDescent="0.3">
      <c r="A173" s="204">
        <f ca="1">VLOOKUP(CONCATENATE(O173,".9"),'Resultados - 8'!$A$10:$BL$156,40,FALSE)</f>
        <v>9</v>
      </c>
      <c r="B173" s="69" t="str">
        <f t="shared" ca="1" si="79"/>
        <v>E.MS.LQ-006</v>
      </c>
      <c r="C173" s="69" t="str">
        <f t="shared" ca="1" si="79"/>
        <v>Balança Analítica</v>
      </c>
      <c r="D173" s="69" t="str">
        <f t="shared" ca="1" si="79"/>
        <v>E.MS.LQ-006</v>
      </c>
      <c r="E173" s="69" t="str">
        <f t="shared" ca="1" si="79"/>
        <v xml:space="preserve">Elus </v>
      </c>
      <c r="F173" s="69" t="str">
        <f t="shared" ca="1" si="79"/>
        <v>RBC - CAL 0439</v>
      </c>
      <c r="G173" s="69" t="str">
        <f t="shared" ca="1" si="79"/>
        <v>E0014/26</v>
      </c>
      <c r="H173" s="202">
        <f t="shared" ca="1" si="79"/>
        <v>46031</v>
      </c>
      <c r="I173" s="203">
        <f t="shared" ca="1" si="79"/>
        <v>46417</v>
      </c>
      <c r="J173" s="199"/>
      <c r="K173" s="193">
        <f ca="1">IF(G173="",0,IF(COUNTIF(G$121:$G172,G173)&gt;0,0,MAX(K$121:$K172)+1))</f>
        <v>0</v>
      </c>
      <c r="L173" s="200" t="str">
        <f t="shared" ca="1" si="60"/>
        <v/>
      </c>
      <c r="M173" s="69" t="str">
        <f t="shared" ca="1" si="77"/>
        <v>VÁLIDO</v>
      </c>
      <c r="O173" s="41">
        <f t="shared" si="80"/>
        <v>4</v>
      </c>
      <c r="P173" s="41">
        <f t="shared" si="69"/>
        <v>8</v>
      </c>
      <c r="R173" s="204">
        <f>VLOOKUP(CONCATENATE(O173,".4"),'Resultados - 8'!$A$10:$BL$156,5,FALSE)</f>
        <v>1</v>
      </c>
      <c r="S173" s="267">
        <f>IF(R173="",0,IF(COUNTIF($R$121:R172,R173)&gt;0,0,MAX($S$121:S172)+1))</f>
        <v>0</v>
      </c>
      <c r="T173" s="53" t="str">
        <f t="shared" si="63"/>
        <v/>
      </c>
      <c r="X173" s="204" t="str">
        <f>VLOOKUP(CONCATENATE(O173,".20"),'Resultados - 8'!$A$10:$BL$156,43,FALSE)</f>
        <v/>
      </c>
      <c r="AA173" s="204">
        <f>VLOOKUP(CONCATENATE(O173,".5"),'Resultados - 8'!$A$10:$BL$156,42,FALSE)</f>
        <v>0</v>
      </c>
      <c r="AD173" s="204" t="str">
        <f>VLOOKUP(CONCATENATE(O173,".20"),'Resultados - 8'!$A$10:$BL$156,44,FALSE)</f>
        <v/>
      </c>
    </row>
    <row r="174" spans="1:30" x14ac:dyDescent="0.3">
      <c r="A174" s="204">
        <f ca="1">VLOOKUP(CONCATENATE(O174,".9"),'Resultados - 8'!$A$10:$BL$156,40,FALSE)</f>
        <v>9</v>
      </c>
      <c r="B174" s="69" t="str">
        <f t="shared" ca="1" si="79"/>
        <v>E.MS.LQ-006</v>
      </c>
      <c r="C174" s="69" t="str">
        <f t="shared" ca="1" si="79"/>
        <v>Balança Analítica</v>
      </c>
      <c r="D174" s="69" t="str">
        <f t="shared" ca="1" si="79"/>
        <v>E.MS.LQ-006</v>
      </c>
      <c r="E174" s="69" t="str">
        <f t="shared" ca="1" si="79"/>
        <v xml:space="preserve">Elus </v>
      </c>
      <c r="F174" s="69" t="str">
        <f t="shared" ca="1" si="79"/>
        <v>RBC - CAL 0439</v>
      </c>
      <c r="G174" s="69" t="str">
        <f t="shared" ca="1" si="79"/>
        <v>E0014/26</v>
      </c>
      <c r="H174" s="202">
        <f t="shared" ca="1" si="79"/>
        <v>46031</v>
      </c>
      <c r="I174" s="203">
        <f t="shared" ca="1" si="79"/>
        <v>46417</v>
      </c>
      <c r="J174" s="199"/>
      <c r="K174" s="193">
        <f ca="1">IF(G174="",0,IF(COUNTIF(G$121:$G173,G174)&gt;0,0,MAX(K$121:$K173)+1))</f>
        <v>0</v>
      </c>
      <c r="L174" s="200" t="str">
        <f t="shared" ca="1" si="60"/>
        <v/>
      </c>
      <c r="M174" s="69" t="str">
        <f t="shared" ca="1" si="77"/>
        <v>VÁLIDO</v>
      </c>
      <c r="O174" s="41">
        <f t="shared" si="80"/>
        <v>5</v>
      </c>
      <c r="P174" s="41">
        <f t="shared" si="69"/>
        <v>8</v>
      </c>
      <c r="R174" s="204">
        <f>VLOOKUP(CONCATENATE(O174,".4"),'Resultados - 8'!$A$10:$BL$156,5,FALSE)</f>
        <v>1</v>
      </c>
      <c r="S174" s="267">
        <f>IF(R174="",0,IF(COUNTIF($R$121:R173,R174)&gt;0,0,MAX($S$121:S173)+1))</f>
        <v>0</v>
      </c>
      <c r="T174" s="53" t="str">
        <f t="shared" si="63"/>
        <v/>
      </c>
      <c r="X174" s="204" t="str">
        <f>VLOOKUP(CONCATENATE(O174,".20"),'Resultados - 8'!$A$10:$BL$156,43,FALSE)</f>
        <v/>
      </c>
      <c r="AA174" s="204">
        <f>VLOOKUP(CONCATENATE(O174,".5"),'Resultados - 8'!$A$10:$BL$156,42,FALSE)</f>
        <v>0</v>
      </c>
      <c r="AD174" s="204" t="str">
        <f>VLOOKUP(CONCATENATE(O174,".20"),'Resultados - 8'!$A$10:$BL$156,44,FALSE)</f>
        <v/>
      </c>
    </row>
    <row r="175" spans="1:30" x14ac:dyDescent="0.3">
      <c r="A175" s="204">
        <f ca="1">VLOOKUP(CONCATENATE(O175,".9"),'Resultados - 8'!$A$10:$BL$156,40,FALSE)</f>
        <v>9</v>
      </c>
      <c r="B175" s="69" t="str">
        <f t="shared" ca="1" si="79"/>
        <v>E.MS.LQ-006</v>
      </c>
      <c r="C175" s="69" t="str">
        <f t="shared" ca="1" si="79"/>
        <v>Balança Analítica</v>
      </c>
      <c r="D175" s="69" t="str">
        <f t="shared" ca="1" si="79"/>
        <v>E.MS.LQ-006</v>
      </c>
      <c r="E175" s="69" t="str">
        <f t="shared" ca="1" si="79"/>
        <v xml:space="preserve">Elus </v>
      </c>
      <c r="F175" s="69" t="str">
        <f t="shared" ca="1" si="79"/>
        <v>RBC - CAL 0439</v>
      </c>
      <c r="G175" s="69" t="str">
        <f t="shared" ca="1" si="79"/>
        <v>E0014/26</v>
      </c>
      <c r="H175" s="202">
        <f t="shared" ca="1" si="79"/>
        <v>46031</v>
      </c>
      <c r="I175" s="203">
        <f t="shared" ca="1" si="79"/>
        <v>46417</v>
      </c>
      <c r="J175" s="199"/>
      <c r="K175" s="193">
        <f ca="1">IF(G175="",0,IF(COUNTIF(G$121:$G174,G175)&gt;0,0,MAX(K$121:$K174)+1))</f>
        <v>0</v>
      </c>
      <c r="L175" s="200" t="str">
        <f t="shared" ca="1" si="60"/>
        <v/>
      </c>
      <c r="M175" s="69" t="str">
        <f t="shared" ca="1" si="77"/>
        <v>VÁLIDO</v>
      </c>
      <c r="O175" s="41">
        <f t="shared" si="80"/>
        <v>6</v>
      </c>
      <c r="P175" s="41">
        <f t="shared" si="69"/>
        <v>8</v>
      </c>
      <c r="R175" s="204">
        <f>VLOOKUP(CONCATENATE(O175,".4"),'Resultados - 8'!$A$10:$BL$156,5,FALSE)</f>
        <v>1</v>
      </c>
      <c r="S175" s="267">
        <f>IF(R175="",0,IF(COUNTIF($R$121:R174,R175)&gt;0,0,MAX($S$121:S174)+1))</f>
        <v>0</v>
      </c>
      <c r="T175" s="53" t="str">
        <f t="shared" si="63"/>
        <v/>
      </c>
      <c r="X175" s="204" t="str">
        <f>VLOOKUP(CONCATENATE(O175,".20"),'Resultados - 8'!$A$10:$BL$156,43,FALSE)</f>
        <v/>
      </c>
      <c r="AA175" s="204">
        <f>VLOOKUP(CONCATENATE(O175,".5"),'Resultados - 8'!$A$10:$BL$156,42,FALSE)</f>
        <v>0</v>
      </c>
      <c r="AD175" s="204" t="str">
        <f>VLOOKUP(CONCATENATE(O175,".20"),'Resultados - 8'!$A$10:$BL$156,44,FALSE)</f>
        <v/>
      </c>
    </row>
    <row r="176" spans="1:30" x14ac:dyDescent="0.3">
      <c r="A176" s="204">
        <f ca="1">VLOOKUP(CONCATENATE(O176,".9"),'Resultados - 8'!$A$10:$BL$156,40,FALSE)</f>
        <v>9</v>
      </c>
      <c r="B176" s="69" t="str">
        <f t="shared" ca="1" si="79"/>
        <v>E.MS.LQ-006</v>
      </c>
      <c r="C176" s="69" t="str">
        <f t="shared" ca="1" si="79"/>
        <v>Balança Analítica</v>
      </c>
      <c r="D176" s="69" t="str">
        <f t="shared" ca="1" si="79"/>
        <v>E.MS.LQ-006</v>
      </c>
      <c r="E176" s="69" t="str">
        <f t="shared" ca="1" si="79"/>
        <v xml:space="preserve">Elus </v>
      </c>
      <c r="F176" s="69" t="str">
        <f t="shared" ca="1" si="79"/>
        <v>RBC - CAL 0439</v>
      </c>
      <c r="G176" s="69" t="str">
        <f t="shared" ca="1" si="79"/>
        <v>E0014/26</v>
      </c>
      <c r="H176" s="202">
        <f t="shared" ca="1" si="79"/>
        <v>46031</v>
      </c>
      <c r="I176" s="203">
        <f t="shared" ca="1" si="79"/>
        <v>46417</v>
      </c>
      <c r="J176" s="199"/>
      <c r="K176" s="193">
        <f ca="1">IF(G176="",0,IF(COUNTIF(G$121:$G175,G176)&gt;0,0,MAX(K$121:$K175)+1))</f>
        <v>0</v>
      </c>
      <c r="L176" s="200" t="str">
        <f t="shared" ca="1" si="60"/>
        <v/>
      </c>
      <c r="M176" s="69" t="str">
        <f t="shared" ca="1" si="77"/>
        <v>VÁLIDO</v>
      </c>
      <c r="O176" s="41">
        <f t="shared" si="80"/>
        <v>7</v>
      </c>
      <c r="P176" s="41">
        <f t="shared" si="69"/>
        <v>8</v>
      </c>
      <c r="R176" s="204">
        <f>VLOOKUP(CONCATENATE(O176,".4"),'Resultados - 8'!$A$10:$BL$156,5,FALSE)</f>
        <v>1</v>
      </c>
      <c r="S176" s="267">
        <f>IF(R176="",0,IF(COUNTIF($R$121:R175,R176)&gt;0,0,MAX($S$121:S175)+1))</f>
        <v>0</v>
      </c>
      <c r="T176" s="53" t="str">
        <f t="shared" si="63"/>
        <v/>
      </c>
      <c r="X176" s="204" t="str">
        <f>VLOOKUP(CONCATENATE(O176,".20"),'Resultados - 8'!$A$10:$BL$156,43,FALSE)</f>
        <v/>
      </c>
      <c r="AA176" s="204">
        <f>VLOOKUP(CONCATENATE(O176,".5"),'Resultados - 8'!$A$10:$BL$156,42,FALSE)</f>
        <v>0</v>
      </c>
      <c r="AD176" s="204" t="str">
        <f>VLOOKUP(CONCATENATE(O176,".20"),'Resultados - 8'!$A$10:$BL$156,44,FALSE)</f>
        <v/>
      </c>
    </row>
    <row r="177" spans="1:30" x14ac:dyDescent="0.3">
      <c r="A177" s="201">
        <f ca="1">VLOOKUP(CONCATENATE(O177,".9"),'Resultados - 9'!$A$10:$BL$156,40,FALSE)</f>
        <v>9</v>
      </c>
      <c r="B177" s="69" t="str">
        <f t="shared" ca="1" si="79"/>
        <v>E.MS.LQ-006</v>
      </c>
      <c r="C177" s="69" t="str">
        <f t="shared" ca="1" si="79"/>
        <v>Balança Analítica</v>
      </c>
      <c r="D177" s="69" t="str">
        <f t="shared" ca="1" si="79"/>
        <v>E.MS.LQ-006</v>
      </c>
      <c r="E177" s="69" t="str">
        <f t="shared" ca="1" si="79"/>
        <v xml:space="preserve">Elus </v>
      </c>
      <c r="F177" s="69" t="str">
        <f t="shared" ca="1" si="79"/>
        <v>RBC - CAL 0439</v>
      </c>
      <c r="G177" s="69" t="str">
        <f t="shared" ca="1" si="79"/>
        <v>E0014/26</v>
      </c>
      <c r="H177" s="202">
        <f t="shared" ca="1" si="79"/>
        <v>46031</v>
      </c>
      <c r="I177" s="203">
        <f t="shared" ca="1" si="79"/>
        <v>46417</v>
      </c>
      <c r="J177" s="199"/>
      <c r="K177" s="193">
        <f ca="1">IF(G177="",0,IF(COUNTIF(G$121:$G176,G177)&gt;0,0,MAX(K$121:$K176)+1))</f>
        <v>0</v>
      </c>
      <c r="L177" s="200" t="str">
        <f t="shared" ca="1" si="60"/>
        <v/>
      </c>
      <c r="M177" s="69" t="str">
        <f t="shared" ca="1" si="77"/>
        <v>VÁLIDO</v>
      </c>
      <c r="O177" s="41">
        <f>O170</f>
        <v>1</v>
      </c>
      <c r="P177" s="41">
        <f t="shared" si="69"/>
        <v>9</v>
      </c>
      <c r="R177" s="201">
        <f>VLOOKUP(CONCATENATE(O177,".4"),'Resultados - 9'!$A$10:$BL$156,5,FALSE)</f>
        <v>1</v>
      </c>
      <c r="S177" s="267">
        <f>IF(R177="",0,IF(COUNTIF($R$121:R176,R177)&gt;0,0,MAX($S$121:S176)+1))</f>
        <v>0</v>
      </c>
      <c r="T177" s="53" t="str">
        <f t="shared" si="63"/>
        <v/>
      </c>
      <c r="X177" s="201" t="str">
        <f>VLOOKUP(CONCATENATE(O177,".20"),'Resultados - 9'!$A$10:$BL$156,43,FALSE)</f>
        <v/>
      </c>
      <c r="AA177" s="201">
        <f>VLOOKUP(CONCATENATE(O177,".5"),'Resultados - 9'!$A$10:$BL$156,42,FALSE)</f>
        <v>0</v>
      </c>
      <c r="AD177" s="201" t="str">
        <f>VLOOKUP(CONCATENATE(O177,".20"),'Resultados - 9'!$A$10:$BL$156,44,FALSE)</f>
        <v/>
      </c>
    </row>
    <row r="178" spans="1:30" x14ac:dyDescent="0.3">
      <c r="A178" s="201">
        <f ca="1">VLOOKUP(CONCATENATE(O178,".9"),'Resultados - 9'!$A$10:$BL$156,40,FALSE)</f>
        <v>9</v>
      </c>
      <c r="B178" s="69" t="str">
        <f t="shared" ref="B178:I187" ca="1" si="81">IF($A178="","",VLOOKUP($A178,$A$97:$CY$116,B$120,FALSE))</f>
        <v>E.MS.LQ-006</v>
      </c>
      <c r="C178" s="69" t="str">
        <f t="shared" ca="1" si="81"/>
        <v>Balança Analítica</v>
      </c>
      <c r="D178" s="69" t="str">
        <f t="shared" ca="1" si="81"/>
        <v>E.MS.LQ-006</v>
      </c>
      <c r="E178" s="69" t="str">
        <f t="shared" ca="1" si="81"/>
        <v xml:space="preserve">Elus </v>
      </c>
      <c r="F178" s="69" t="str">
        <f t="shared" ca="1" si="81"/>
        <v>RBC - CAL 0439</v>
      </c>
      <c r="G178" s="69" t="str">
        <f t="shared" ca="1" si="81"/>
        <v>E0014/26</v>
      </c>
      <c r="H178" s="202">
        <f t="shared" ca="1" si="81"/>
        <v>46031</v>
      </c>
      <c r="I178" s="203">
        <f t="shared" ca="1" si="81"/>
        <v>46417</v>
      </c>
      <c r="J178" s="199"/>
      <c r="K178" s="193">
        <f ca="1">IF(G178="",0,IF(COUNTIF(G$121:$G177,G178)&gt;0,0,MAX(K$121:$K177)+1))</f>
        <v>0</v>
      </c>
      <c r="L178" s="200" t="str">
        <f t="shared" ca="1" si="60"/>
        <v/>
      </c>
      <c r="M178" s="69" t="str">
        <f t="shared" ca="1" si="77"/>
        <v>VÁLIDO</v>
      </c>
      <c r="O178" s="41">
        <f t="shared" ref="O178:O183" si="82">O177+1</f>
        <v>2</v>
      </c>
      <c r="P178" s="41">
        <f t="shared" si="69"/>
        <v>9</v>
      </c>
      <c r="R178" s="201">
        <f>VLOOKUP(CONCATENATE(O178,".4"),'Resultados - 9'!$A$10:$BL$156,5,FALSE)</f>
        <v>1</v>
      </c>
      <c r="S178" s="267">
        <f>IF(R178="",0,IF(COUNTIF($R$121:R177,R178)&gt;0,0,MAX($S$121:S177)+1))</f>
        <v>0</v>
      </c>
      <c r="T178" s="53" t="str">
        <f t="shared" si="63"/>
        <v/>
      </c>
      <c r="X178" s="201" t="str">
        <f>VLOOKUP(CONCATENATE(O178,".20"),'Resultados - 9'!$A$10:$BL$156,43,FALSE)</f>
        <v/>
      </c>
      <c r="AA178" s="201">
        <f>VLOOKUP(CONCATENATE(O178,".5"),'Resultados - 9'!$A$10:$BL$156,42,FALSE)</f>
        <v>0</v>
      </c>
      <c r="AD178" s="201" t="str">
        <f>VLOOKUP(CONCATENATE(O178,".20"),'Resultados - 9'!$A$10:$BL$156,44,FALSE)</f>
        <v/>
      </c>
    </row>
    <row r="179" spans="1:30" x14ac:dyDescent="0.3">
      <c r="A179" s="201">
        <f ca="1">VLOOKUP(CONCATENATE(O179,".9"),'Resultados - 9'!$A$10:$BL$156,40,FALSE)</f>
        <v>9</v>
      </c>
      <c r="B179" s="69" t="str">
        <f t="shared" ca="1" si="81"/>
        <v>E.MS.LQ-006</v>
      </c>
      <c r="C179" s="69" t="str">
        <f t="shared" ca="1" si="81"/>
        <v>Balança Analítica</v>
      </c>
      <c r="D179" s="69" t="str">
        <f t="shared" ca="1" si="81"/>
        <v>E.MS.LQ-006</v>
      </c>
      <c r="E179" s="69" t="str">
        <f t="shared" ca="1" si="81"/>
        <v xml:space="preserve">Elus </v>
      </c>
      <c r="F179" s="69" t="str">
        <f t="shared" ca="1" si="81"/>
        <v>RBC - CAL 0439</v>
      </c>
      <c r="G179" s="69" t="str">
        <f t="shared" ca="1" si="81"/>
        <v>E0014/26</v>
      </c>
      <c r="H179" s="202">
        <f t="shared" ca="1" si="81"/>
        <v>46031</v>
      </c>
      <c r="I179" s="203">
        <f t="shared" ca="1" si="81"/>
        <v>46417</v>
      </c>
      <c r="J179" s="199"/>
      <c r="K179" s="193">
        <f ca="1">IF(G179="",0,IF(COUNTIF(G$121:$G178,G179)&gt;0,0,MAX(K$121:$K178)+1))</f>
        <v>0</v>
      </c>
      <c r="L179" s="200" t="str">
        <f t="shared" ca="1" si="60"/>
        <v/>
      </c>
      <c r="M179" s="69" t="str">
        <f t="shared" ca="1" si="77"/>
        <v>VÁLIDO</v>
      </c>
      <c r="O179" s="41">
        <f t="shared" si="82"/>
        <v>3</v>
      </c>
      <c r="P179" s="41">
        <f t="shared" si="69"/>
        <v>9</v>
      </c>
      <c r="R179" s="201">
        <f>VLOOKUP(CONCATENATE(O179,".4"),'Resultados - 9'!$A$10:$BL$156,5,FALSE)</f>
        <v>1</v>
      </c>
      <c r="S179" s="267">
        <f>IF(R179="",0,IF(COUNTIF($R$121:R178,R179)&gt;0,0,MAX($S$121:S178)+1))</f>
        <v>0</v>
      </c>
      <c r="T179" s="53" t="str">
        <f t="shared" si="63"/>
        <v/>
      </c>
      <c r="X179" s="201" t="str">
        <f>VLOOKUP(CONCATENATE(O179,".20"),'Resultados - 9'!$A$10:$BL$156,43,FALSE)</f>
        <v/>
      </c>
      <c r="AA179" s="201">
        <f>VLOOKUP(CONCATENATE(O179,".5"),'Resultados - 9'!$A$10:$BL$156,42,FALSE)</f>
        <v>0</v>
      </c>
      <c r="AD179" s="201" t="str">
        <f>VLOOKUP(CONCATENATE(O179,".20"),'Resultados - 9'!$A$10:$BL$156,44,FALSE)</f>
        <v/>
      </c>
    </row>
    <row r="180" spans="1:30" x14ac:dyDescent="0.3">
      <c r="A180" s="201">
        <f ca="1">VLOOKUP(CONCATENATE(O180,".9"),'Resultados - 9'!$A$10:$BL$156,40,FALSE)</f>
        <v>9</v>
      </c>
      <c r="B180" s="69" t="str">
        <f t="shared" ca="1" si="81"/>
        <v>E.MS.LQ-006</v>
      </c>
      <c r="C180" s="69" t="str">
        <f t="shared" ca="1" si="81"/>
        <v>Balança Analítica</v>
      </c>
      <c r="D180" s="69" t="str">
        <f t="shared" ca="1" si="81"/>
        <v>E.MS.LQ-006</v>
      </c>
      <c r="E180" s="69" t="str">
        <f t="shared" ca="1" si="81"/>
        <v xml:space="preserve">Elus </v>
      </c>
      <c r="F180" s="69" t="str">
        <f t="shared" ca="1" si="81"/>
        <v>RBC - CAL 0439</v>
      </c>
      <c r="G180" s="69" t="str">
        <f t="shared" ca="1" si="81"/>
        <v>E0014/26</v>
      </c>
      <c r="H180" s="202">
        <f t="shared" ca="1" si="81"/>
        <v>46031</v>
      </c>
      <c r="I180" s="203">
        <f t="shared" ca="1" si="81"/>
        <v>46417</v>
      </c>
      <c r="J180" s="199"/>
      <c r="K180" s="193">
        <f ca="1">IF(G180="",0,IF(COUNTIF(G$121:$G179,G180)&gt;0,0,MAX(K$121:$K179)+1))</f>
        <v>0</v>
      </c>
      <c r="L180" s="200" t="str">
        <f t="shared" ca="1" si="60"/>
        <v/>
      </c>
      <c r="M180" s="69" t="str">
        <f t="shared" ca="1" si="77"/>
        <v>VÁLIDO</v>
      </c>
      <c r="O180" s="41">
        <f t="shared" si="82"/>
        <v>4</v>
      </c>
      <c r="P180" s="41">
        <f t="shared" si="69"/>
        <v>9</v>
      </c>
      <c r="R180" s="201">
        <f>VLOOKUP(CONCATENATE(O180,".4"),'Resultados - 9'!$A$10:$BL$156,5,FALSE)</f>
        <v>1</v>
      </c>
      <c r="S180" s="267">
        <f>IF(R180="",0,IF(COUNTIF($R$121:R179,R180)&gt;0,0,MAX($S$121:S179)+1))</f>
        <v>0</v>
      </c>
      <c r="T180" s="53" t="str">
        <f t="shared" si="63"/>
        <v/>
      </c>
      <c r="X180" s="201" t="str">
        <f>VLOOKUP(CONCATENATE(O180,".20"),'Resultados - 9'!$A$10:$BL$156,43,FALSE)</f>
        <v/>
      </c>
      <c r="AA180" s="201">
        <f>VLOOKUP(CONCATENATE(O180,".5"),'Resultados - 9'!$A$10:$BL$156,42,FALSE)</f>
        <v>0</v>
      </c>
      <c r="AD180" s="201" t="str">
        <f>VLOOKUP(CONCATENATE(O180,".20"),'Resultados - 9'!$A$10:$BL$156,44,FALSE)</f>
        <v/>
      </c>
    </row>
    <row r="181" spans="1:30" x14ac:dyDescent="0.3">
      <c r="A181" s="201">
        <f ca="1">VLOOKUP(CONCATENATE(O181,".9"),'Resultados - 9'!$A$10:$BL$156,40,FALSE)</f>
        <v>9</v>
      </c>
      <c r="B181" s="69" t="str">
        <f t="shared" ca="1" si="81"/>
        <v>E.MS.LQ-006</v>
      </c>
      <c r="C181" s="69" t="str">
        <f t="shared" ca="1" si="81"/>
        <v>Balança Analítica</v>
      </c>
      <c r="D181" s="69" t="str">
        <f t="shared" ca="1" si="81"/>
        <v>E.MS.LQ-006</v>
      </c>
      <c r="E181" s="69" t="str">
        <f t="shared" ca="1" si="81"/>
        <v xml:space="preserve">Elus </v>
      </c>
      <c r="F181" s="69" t="str">
        <f t="shared" ca="1" si="81"/>
        <v>RBC - CAL 0439</v>
      </c>
      <c r="G181" s="69" t="str">
        <f t="shared" ca="1" si="81"/>
        <v>E0014/26</v>
      </c>
      <c r="H181" s="202">
        <f t="shared" ca="1" si="81"/>
        <v>46031</v>
      </c>
      <c r="I181" s="203">
        <f t="shared" ca="1" si="81"/>
        <v>46417</v>
      </c>
      <c r="J181" s="199"/>
      <c r="K181" s="193">
        <f ca="1">IF(G181="",0,IF(COUNTIF(G$121:$G180,G181)&gt;0,0,MAX(K$121:$K180)+1))</f>
        <v>0</v>
      </c>
      <c r="L181" s="200" t="str">
        <f t="shared" ca="1" si="60"/>
        <v/>
      </c>
      <c r="M181" s="69" t="str">
        <f t="shared" ca="1" si="77"/>
        <v>VÁLIDO</v>
      </c>
      <c r="O181" s="41">
        <f t="shared" si="82"/>
        <v>5</v>
      </c>
      <c r="P181" s="41">
        <f t="shared" si="69"/>
        <v>9</v>
      </c>
      <c r="R181" s="201">
        <f>VLOOKUP(CONCATENATE(O181,".4"),'Resultados - 9'!$A$10:$BL$156,5,FALSE)</f>
        <v>1</v>
      </c>
      <c r="S181" s="267">
        <f>IF(R181="",0,IF(COUNTIF($R$121:R180,R181)&gt;0,0,MAX($S$121:S180)+1))</f>
        <v>0</v>
      </c>
      <c r="T181" s="53" t="str">
        <f t="shared" si="63"/>
        <v/>
      </c>
      <c r="X181" s="201" t="str">
        <f>VLOOKUP(CONCATENATE(O181,".20"),'Resultados - 9'!$A$10:$BL$156,43,FALSE)</f>
        <v/>
      </c>
      <c r="AA181" s="201">
        <f>VLOOKUP(CONCATENATE(O181,".5"),'Resultados - 9'!$A$10:$BL$156,42,FALSE)</f>
        <v>0</v>
      </c>
      <c r="AD181" s="201" t="str">
        <f>VLOOKUP(CONCATENATE(O181,".20"),'Resultados - 9'!$A$10:$BL$156,44,FALSE)</f>
        <v/>
      </c>
    </row>
    <row r="182" spans="1:30" x14ac:dyDescent="0.3">
      <c r="A182" s="201">
        <f ca="1">VLOOKUP(CONCATENATE(O182,".9"),'Resultados - 9'!$A$10:$BL$156,40,FALSE)</f>
        <v>9</v>
      </c>
      <c r="B182" s="69" t="str">
        <f t="shared" ca="1" si="81"/>
        <v>E.MS.LQ-006</v>
      </c>
      <c r="C182" s="69" t="str">
        <f t="shared" ca="1" si="81"/>
        <v>Balança Analítica</v>
      </c>
      <c r="D182" s="69" t="str">
        <f t="shared" ca="1" si="81"/>
        <v>E.MS.LQ-006</v>
      </c>
      <c r="E182" s="69" t="str">
        <f t="shared" ca="1" si="81"/>
        <v xml:space="preserve">Elus </v>
      </c>
      <c r="F182" s="69" t="str">
        <f t="shared" ca="1" si="81"/>
        <v>RBC - CAL 0439</v>
      </c>
      <c r="G182" s="69" t="str">
        <f t="shared" ca="1" si="81"/>
        <v>E0014/26</v>
      </c>
      <c r="H182" s="202">
        <f t="shared" ca="1" si="81"/>
        <v>46031</v>
      </c>
      <c r="I182" s="203">
        <f t="shared" ca="1" si="81"/>
        <v>46417</v>
      </c>
      <c r="J182" s="199"/>
      <c r="K182" s="193">
        <f ca="1">IF(G182="",0,IF(COUNTIF(G$121:$G181,G182)&gt;0,0,MAX(K$121:$K181)+1))</f>
        <v>0</v>
      </c>
      <c r="L182" s="200" t="str">
        <f t="shared" ca="1" si="60"/>
        <v/>
      </c>
      <c r="M182" s="69" t="str">
        <f t="shared" ca="1" si="77"/>
        <v>VÁLIDO</v>
      </c>
      <c r="O182" s="41">
        <f t="shared" si="82"/>
        <v>6</v>
      </c>
      <c r="P182" s="41">
        <f t="shared" si="69"/>
        <v>9</v>
      </c>
      <c r="R182" s="201">
        <f>VLOOKUP(CONCATENATE(O182,".4"),'Resultados - 9'!$A$10:$BL$156,5,FALSE)</f>
        <v>1</v>
      </c>
      <c r="S182" s="267">
        <f>IF(R182="",0,IF(COUNTIF($R$121:R181,R182)&gt;0,0,MAX($S$121:S181)+1))</f>
        <v>0</v>
      </c>
      <c r="T182" s="53" t="str">
        <f t="shared" si="63"/>
        <v/>
      </c>
      <c r="X182" s="201" t="str">
        <f>VLOOKUP(CONCATENATE(O182,".20"),'Resultados - 9'!$A$10:$BL$156,43,FALSE)</f>
        <v/>
      </c>
      <c r="AA182" s="201">
        <f>VLOOKUP(CONCATENATE(O182,".5"),'Resultados - 9'!$A$10:$BL$156,42,FALSE)</f>
        <v>0</v>
      </c>
      <c r="AD182" s="201" t="str">
        <f>VLOOKUP(CONCATENATE(O182,".20"),'Resultados - 9'!$A$10:$BL$156,44,FALSE)</f>
        <v/>
      </c>
    </row>
    <row r="183" spans="1:30" x14ac:dyDescent="0.3">
      <c r="A183" s="201">
        <f ca="1">VLOOKUP(CONCATENATE(O183,".9"),'Resultados - 9'!$A$10:$BL$156,40,FALSE)</f>
        <v>9</v>
      </c>
      <c r="B183" s="69" t="str">
        <f t="shared" ca="1" si="81"/>
        <v>E.MS.LQ-006</v>
      </c>
      <c r="C183" s="69" t="str">
        <f t="shared" ca="1" si="81"/>
        <v>Balança Analítica</v>
      </c>
      <c r="D183" s="69" t="str">
        <f t="shared" ca="1" si="81"/>
        <v>E.MS.LQ-006</v>
      </c>
      <c r="E183" s="69" t="str">
        <f t="shared" ca="1" si="81"/>
        <v xml:space="preserve">Elus </v>
      </c>
      <c r="F183" s="69" t="str">
        <f t="shared" ca="1" si="81"/>
        <v>RBC - CAL 0439</v>
      </c>
      <c r="G183" s="69" t="str">
        <f t="shared" ca="1" si="81"/>
        <v>E0014/26</v>
      </c>
      <c r="H183" s="202">
        <f t="shared" ca="1" si="81"/>
        <v>46031</v>
      </c>
      <c r="I183" s="203">
        <f t="shared" ca="1" si="81"/>
        <v>46417</v>
      </c>
      <c r="J183" s="199"/>
      <c r="K183" s="193">
        <f ca="1">IF(G183="",0,IF(COUNTIF(G$121:$G182,G183)&gt;0,0,MAX(K$121:$K182)+1))</f>
        <v>0</v>
      </c>
      <c r="L183" s="200" t="str">
        <f t="shared" ca="1" si="60"/>
        <v/>
      </c>
      <c r="M183" s="69" t="str">
        <f t="shared" ca="1" si="77"/>
        <v>VÁLIDO</v>
      </c>
      <c r="O183" s="41">
        <f t="shared" si="82"/>
        <v>7</v>
      </c>
      <c r="P183" s="41">
        <f t="shared" si="69"/>
        <v>9</v>
      </c>
      <c r="R183" s="201">
        <f>VLOOKUP(CONCATENATE(O183,".4"),'Resultados - 9'!$A$10:$BL$156,5,FALSE)</f>
        <v>1</v>
      </c>
      <c r="S183" s="267">
        <f>IF(R183="",0,IF(COUNTIF($R$121:R182,R183)&gt;0,0,MAX($S$121:S182)+1))</f>
        <v>0</v>
      </c>
      <c r="T183" s="53" t="str">
        <f t="shared" si="63"/>
        <v/>
      </c>
      <c r="X183" s="201" t="str">
        <f>VLOOKUP(CONCATENATE(O183,".20"),'Resultados - 9'!$A$10:$BL$156,43,FALSE)</f>
        <v/>
      </c>
      <c r="AA183" s="201">
        <f>VLOOKUP(CONCATENATE(O183,".5"),'Resultados - 9'!$A$10:$BL$156,42,FALSE)</f>
        <v>0</v>
      </c>
      <c r="AD183" s="201" t="str">
        <f>VLOOKUP(CONCATENATE(O183,".20"),'Resultados - 9'!$A$10:$BL$156,44,FALSE)</f>
        <v/>
      </c>
    </row>
    <row r="184" spans="1:30" x14ac:dyDescent="0.3">
      <c r="A184" s="204">
        <f ca="1">VLOOKUP(CONCATENATE(O184,".9"),'Resultados - 10'!$A$10:$BL$156,40,FALSE)</f>
        <v>9</v>
      </c>
      <c r="B184" s="69" t="str">
        <f t="shared" ca="1" si="81"/>
        <v>E.MS.LQ-006</v>
      </c>
      <c r="C184" s="69" t="str">
        <f t="shared" ca="1" si="81"/>
        <v>Balança Analítica</v>
      </c>
      <c r="D184" s="69" t="str">
        <f t="shared" ca="1" si="81"/>
        <v>E.MS.LQ-006</v>
      </c>
      <c r="E184" s="69" t="str">
        <f t="shared" ca="1" si="81"/>
        <v xml:space="preserve">Elus </v>
      </c>
      <c r="F184" s="69" t="str">
        <f t="shared" ca="1" si="81"/>
        <v>RBC - CAL 0439</v>
      </c>
      <c r="G184" s="69" t="str">
        <f t="shared" ca="1" si="81"/>
        <v>E0014/26</v>
      </c>
      <c r="H184" s="202">
        <f t="shared" ca="1" si="81"/>
        <v>46031</v>
      </c>
      <c r="I184" s="203">
        <f t="shared" ca="1" si="81"/>
        <v>46417</v>
      </c>
      <c r="J184" s="199"/>
      <c r="K184" s="193">
        <f ca="1">IF(G184="",0,IF(COUNTIF(G$121:$G183,G184)&gt;0,0,MAX(K$121:$K183)+1))</f>
        <v>0</v>
      </c>
      <c r="L184" s="200" t="str">
        <f t="shared" ca="1" si="60"/>
        <v/>
      </c>
      <c r="M184" s="69" t="str">
        <f t="shared" ca="1" si="77"/>
        <v>VÁLIDO</v>
      </c>
      <c r="O184" s="41">
        <f>O177</f>
        <v>1</v>
      </c>
      <c r="P184" s="41">
        <f t="shared" si="69"/>
        <v>10</v>
      </c>
      <c r="R184" s="204">
        <f>VLOOKUP(CONCATENATE(O184,".4"),'Resultados - 10'!$A$10:$BL$156,5,FALSE)</f>
        <v>1</v>
      </c>
      <c r="S184" s="267">
        <f>IF(R184="",0,IF(COUNTIF($R$121:R183,R184)&gt;0,0,MAX($S$121:S183)+1))</f>
        <v>0</v>
      </c>
      <c r="T184" s="53" t="str">
        <f t="shared" si="63"/>
        <v/>
      </c>
      <c r="X184" s="204" t="str">
        <f>VLOOKUP(CONCATENATE(O184,".20"),'Resultados - 10'!$A$10:$BL$156,43,FALSE)</f>
        <v/>
      </c>
      <c r="AA184" s="204">
        <f>VLOOKUP(CONCATENATE(O184,".5"),'Resultados - 10'!$A$10:$BL$156,42,FALSE)</f>
        <v>0</v>
      </c>
      <c r="AD184" s="204" t="str">
        <f>VLOOKUP(CONCATENATE(O184,".20"),'Resultados - 10'!$A$10:$BL$156,44,FALSE)</f>
        <v/>
      </c>
    </row>
    <row r="185" spans="1:30" x14ac:dyDescent="0.3">
      <c r="A185" s="204">
        <f ca="1">VLOOKUP(CONCATENATE(O185,".9"),'Resultados - 10'!$A$10:$BL$156,40,FALSE)</f>
        <v>9</v>
      </c>
      <c r="B185" s="69" t="str">
        <f t="shared" ca="1" si="81"/>
        <v>E.MS.LQ-006</v>
      </c>
      <c r="C185" s="69" t="str">
        <f t="shared" ca="1" si="81"/>
        <v>Balança Analítica</v>
      </c>
      <c r="D185" s="69" t="str">
        <f t="shared" ca="1" si="81"/>
        <v>E.MS.LQ-006</v>
      </c>
      <c r="E185" s="69" t="str">
        <f t="shared" ca="1" si="81"/>
        <v xml:space="preserve">Elus </v>
      </c>
      <c r="F185" s="69" t="str">
        <f t="shared" ca="1" si="81"/>
        <v>RBC - CAL 0439</v>
      </c>
      <c r="G185" s="69" t="str">
        <f t="shared" ca="1" si="81"/>
        <v>E0014/26</v>
      </c>
      <c r="H185" s="202">
        <f t="shared" ca="1" si="81"/>
        <v>46031</v>
      </c>
      <c r="I185" s="203">
        <f t="shared" ca="1" si="81"/>
        <v>46417</v>
      </c>
      <c r="J185" s="199"/>
      <c r="K185" s="193">
        <f ca="1">IF(G185="",0,IF(COUNTIF(G$121:$G184,G185)&gt;0,0,MAX(K$121:$K184)+1))</f>
        <v>0</v>
      </c>
      <c r="L185" s="200" t="str">
        <f t="shared" ca="1" si="60"/>
        <v/>
      </c>
      <c r="M185" s="69" t="str">
        <f t="shared" ca="1" si="77"/>
        <v>VÁLIDO</v>
      </c>
      <c r="O185" s="41">
        <f t="shared" ref="O185:O190" si="83">O184+1</f>
        <v>2</v>
      </c>
      <c r="P185" s="41">
        <f t="shared" si="69"/>
        <v>10</v>
      </c>
      <c r="R185" s="204">
        <f>VLOOKUP(CONCATENATE(O185,".4"),'Resultados - 10'!$A$10:$BL$156,5,FALSE)</f>
        <v>1</v>
      </c>
      <c r="S185" s="267">
        <f>IF(R185="",0,IF(COUNTIF($R$121:R184,R185)&gt;0,0,MAX($S$121:S184)+1))</f>
        <v>0</v>
      </c>
      <c r="T185" s="53" t="str">
        <f t="shared" si="63"/>
        <v/>
      </c>
      <c r="X185" s="204" t="str">
        <f>VLOOKUP(CONCATENATE(O185,".20"),'Resultados - 10'!$A$10:$BL$156,43,FALSE)</f>
        <v/>
      </c>
      <c r="AA185" s="204">
        <f>VLOOKUP(CONCATENATE(O185,".5"),'Resultados - 10'!$A$10:$BL$156,42,FALSE)</f>
        <v>0</v>
      </c>
      <c r="AD185" s="204" t="str">
        <f>VLOOKUP(CONCATENATE(O185,".20"),'Resultados - 10'!$A$10:$BL$156,44,FALSE)</f>
        <v/>
      </c>
    </row>
    <row r="186" spans="1:30" x14ac:dyDescent="0.3">
      <c r="A186" s="204">
        <f ca="1">VLOOKUP(CONCATENATE(O186,".9"),'Resultados - 10'!$A$10:$BL$156,40,FALSE)</f>
        <v>9</v>
      </c>
      <c r="B186" s="69" t="str">
        <f t="shared" ca="1" si="81"/>
        <v>E.MS.LQ-006</v>
      </c>
      <c r="C186" s="69" t="str">
        <f t="shared" ca="1" si="81"/>
        <v>Balança Analítica</v>
      </c>
      <c r="D186" s="69" t="str">
        <f t="shared" ca="1" si="81"/>
        <v>E.MS.LQ-006</v>
      </c>
      <c r="E186" s="69" t="str">
        <f t="shared" ca="1" si="81"/>
        <v xml:space="preserve">Elus </v>
      </c>
      <c r="F186" s="69" t="str">
        <f t="shared" ca="1" si="81"/>
        <v>RBC - CAL 0439</v>
      </c>
      <c r="G186" s="69" t="str">
        <f t="shared" ca="1" si="81"/>
        <v>E0014/26</v>
      </c>
      <c r="H186" s="202">
        <f t="shared" ca="1" si="81"/>
        <v>46031</v>
      </c>
      <c r="I186" s="203">
        <f t="shared" ca="1" si="81"/>
        <v>46417</v>
      </c>
      <c r="J186" s="199"/>
      <c r="K186" s="193">
        <f ca="1">IF(G186="",0,IF(COUNTIF(G$121:$G185,G186)&gt;0,0,MAX(K$121:$K185)+1))</f>
        <v>0</v>
      </c>
      <c r="L186" s="200" t="str">
        <f t="shared" ref="L186:L204" ca="1" si="84">IF(K186=0,"",IF(M186="VENCIDO","-",CONCATENATE(C186,", id. ",B186,", calibrado por ",F186," em ",TEXT(H186,"dd/mm/aaaa"),", certificado n° ",G186,", válido até ",TEXT(I186,"mmmm/aaaa"),".")))</f>
        <v/>
      </c>
      <c r="M186" s="69" t="str">
        <f t="shared" ca="1" si="77"/>
        <v>VÁLIDO</v>
      </c>
      <c r="O186" s="41">
        <f t="shared" si="83"/>
        <v>3</v>
      </c>
      <c r="P186" s="41">
        <f t="shared" si="69"/>
        <v>10</v>
      </c>
      <c r="R186" s="204">
        <f>VLOOKUP(CONCATENATE(O186,".4"),'Resultados - 10'!$A$10:$BL$156,5,FALSE)</f>
        <v>1</v>
      </c>
      <c r="S186" s="267">
        <f>IF(R186="",0,IF(COUNTIF($R$121:R185,R186)&gt;0,0,MAX($S$121:S185)+1))</f>
        <v>0</v>
      </c>
      <c r="T186" s="53" t="str">
        <f t="shared" ref="T186:T204" si="85">IF(S186=0,"",R186)</f>
        <v/>
      </c>
      <c r="X186" s="204" t="str">
        <f>VLOOKUP(CONCATENATE(O186,".20"),'Resultados - 10'!$A$10:$BL$156,43,FALSE)</f>
        <v/>
      </c>
      <c r="AA186" s="204">
        <f>VLOOKUP(CONCATENATE(O186,".5"),'Resultados - 10'!$A$10:$BL$156,42,FALSE)</f>
        <v>0</v>
      </c>
      <c r="AD186" s="204" t="str">
        <f>VLOOKUP(CONCATENATE(O186,".20"),'Resultados - 10'!$A$10:$BL$156,44,FALSE)</f>
        <v/>
      </c>
    </row>
    <row r="187" spans="1:30" x14ac:dyDescent="0.3">
      <c r="A187" s="204">
        <f ca="1">VLOOKUP(CONCATENATE(O187,".9"),'Resultados - 10'!$A$10:$BL$156,40,FALSE)</f>
        <v>9</v>
      </c>
      <c r="B187" s="69" t="str">
        <f t="shared" ca="1" si="81"/>
        <v>E.MS.LQ-006</v>
      </c>
      <c r="C187" s="69" t="str">
        <f t="shared" ca="1" si="81"/>
        <v>Balança Analítica</v>
      </c>
      <c r="D187" s="69" t="str">
        <f t="shared" ca="1" si="81"/>
        <v>E.MS.LQ-006</v>
      </c>
      <c r="E187" s="69" t="str">
        <f t="shared" ca="1" si="81"/>
        <v xml:space="preserve">Elus </v>
      </c>
      <c r="F187" s="69" t="str">
        <f t="shared" ca="1" si="81"/>
        <v>RBC - CAL 0439</v>
      </c>
      <c r="G187" s="69" t="str">
        <f t="shared" ca="1" si="81"/>
        <v>E0014/26</v>
      </c>
      <c r="H187" s="202">
        <f t="shared" ca="1" si="81"/>
        <v>46031</v>
      </c>
      <c r="I187" s="203">
        <f t="shared" ca="1" si="81"/>
        <v>46417</v>
      </c>
      <c r="J187" s="199"/>
      <c r="K187" s="193">
        <f ca="1">IF(G187="",0,IF(COUNTIF(G$121:$G186,G187)&gt;0,0,MAX(K$121:$K186)+1))</f>
        <v>0</v>
      </c>
      <c r="L187" s="200" t="str">
        <f t="shared" ca="1" si="84"/>
        <v/>
      </c>
      <c r="M187" s="69" t="str">
        <f t="shared" ca="1" si="77"/>
        <v>VÁLIDO</v>
      </c>
      <c r="O187" s="41">
        <f t="shared" si="83"/>
        <v>4</v>
      </c>
      <c r="P187" s="41">
        <f t="shared" si="69"/>
        <v>10</v>
      </c>
      <c r="R187" s="204">
        <f>VLOOKUP(CONCATENATE(O187,".4"),'Resultados - 10'!$A$10:$BL$156,5,FALSE)</f>
        <v>1</v>
      </c>
      <c r="S187" s="267">
        <f>IF(R187="",0,IF(COUNTIF($R$121:R186,R187)&gt;0,0,MAX($S$121:S186)+1))</f>
        <v>0</v>
      </c>
      <c r="T187" s="53" t="str">
        <f t="shared" si="85"/>
        <v/>
      </c>
      <c r="X187" s="204" t="str">
        <f>VLOOKUP(CONCATENATE(O187,".20"),'Resultados - 10'!$A$10:$BL$156,43,FALSE)</f>
        <v/>
      </c>
      <c r="AA187" s="204">
        <f>VLOOKUP(CONCATENATE(O187,".5"),'Resultados - 10'!$A$10:$BL$156,42,FALSE)</f>
        <v>0</v>
      </c>
      <c r="AD187" s="204" t="str">
        <f>VLOOKUP(CONCATENATE(O187,".20"),'Resultados - 10'!$A$10:$BL$156,44,FALSE)</f>
        <v/>
      </c>
    </row>
    <row r="188" spans="1:30" x14ac:dyDescent="0.3">
      <c r="A188" s="204">
        <f ca="1">VLOOKUP(CONCATENATE(O188,".9"),'Resultados - 10'!$A$10:$BL$156,40,FALSE)</f>
        <v>9</v>
      </c>
      <c r="B188" s="69" t="str">
        <f t="shared" ref="B188:I197" ca="1" si="86">IF($A188="","",VLOOKUP($A188,$A$97:$CY$116,B$120,FALSE))</f>
        <v>E.MS.LQ-006</v>
      </c>
      <c r="C188" s="69" t="str">
        <f t="shared" ca="1" si="86"/>
        <v>Balança Analítica</v>
      </c>
      <c r="D188" s="69" t="str">
        <f t="shared" ca="1" si="86"/>
        <v>E.MS.LQ-006</v>
      </c>
      <c r="E188" s="69" t="str">
        <f t="shared" ca="1" si="86"/>
        <v xml:space="preserve">Elus </v>
      </c>
      <c r="F188" s="69" t="str">
        <f t="shared" ca="1" si="86"/>
        <v>RBC - CAL 0439</v>
      </c>
      <c r="G188" s="69" t="str">
        <f t="shared" ca="1" si="86"/>
        <v>E0014/26</v>
      </c>
      <c r="H188" s="202">
        <f t="shared" ca="1" si="86"/>
        <v>46031</v>
      </c>
      <c r="I188" s="203">
        <f t="shared" ca="1" si="86"/>
        <v>46417</v>
      </c>
      <c r="J188" s="199"/>
      <c r="K188" s="193">
        <f ca="1">IF(G188="",0,IF(COUNTIF(G$121:$G187,G188)&gt;0,0,MAX(K$121:$K187)+1))</f>
        <v>0</v>
      </c>
      <c r="L188" s="200" t="str">
        <f t="shared" ca="1" si="84"/>
        <v/>
      </c>
      <c r="M188" s="69" t="str">
        <f t="shared" ca="1" si="77"/>
        <v>VÁLIDO</v>
      </c>
      <c r="O188" s="41">
        <f t="shared" si="83"/>
        <v>5</v>
      </c>
      <c r="P188" s="41">
        <f t="shared" si="69"/>
        <v>10</v>
      </c>
      <c r="R188" s="204">
        <f>VLOOKUP(CONCATENATE(O188,".4"),'Resultados - 10'!$A$10:$BL$156,5,FALSE)</f>
        <v>1</v>
      </c>
      <c r="S188" s="267">
        <f>IF(R188="",0,IF(COUNTIF($R$121:R187,R188)&gt;0,0,MAX($S$121:S187)+1))</f>
        <v>0</v>
      </c>
      <c r="T188" s="53" t="str">
        <f t="shared" si="85"/>
        <v/>
      </c>
      <c r="X188" s="204" t="str">
        <f>VLOOKUP(CONCATENATE(O188,".20"),'Resultados - 10'!$A$10:$BL$156,43,FALSE)</f>
        <v/>
      </c>
      <c r="AA188" s="204">
        <f>VLOOKUP(CONCATENATE(O188,".5"),'Resultados - 10'!$A$10:$BL$156,42,FALSE)</f>
        <v>0</v>
      </c>
      <c r="AD188" s="204" t="str">
        <f>VLOOKUP(CONCATENATE(O188,".20"),'Resultados - 10'!$A$10:$BL$156,44,FALSE)</f>
        <v/>
      </c>
    </row>
    <row r="189" spans="1:30" x14ac:dyDescent="0.3">
      <c r="A189" s="204">
        <f ca="1">VLOOKUP(CONCATENATE(O189,".9"),'Resultados - 10'!$A$10:$BL$156,40,FALSE)</f>
        <v>9</v>
      </c>
      <c r="B189" s="69" t="str">
        <f t="shared" ca="1" si="86"/>
        <v>E.MS.LQ-006</v>
      </c>
      <c r="C189" s="69" t="str">
        <f t="shared" ca="1" si="86"/>
        <v>Balança Analítica</v>
      </c>
      <c r="D189" s="69" t="str">
        <f t="shared" ca="1" si="86"/>
        <v>E.MS.LQ-006</v>
      </c>
      <c r="E189" s="69" t="str">
        <f t="shared" ca="1" si="86"/>
        <v xml:space="preserve">Elus </v>
      </c>
      <c r="F189" s="69" t="str">
        <f t="shared" ca="1" si="86"/>
        <v>RBC - CAL 0439</v>
      </c>
      <c r="G189" s="69" t="str">
        <f t="shared" ca="1" si="86"/>
        <v>E0014/26</v>
      </c>
      <c r="H189" s="202">
        <f t="shared" ca="1" si="86"/>
        <v>46031</v>
      </c>
      <c r="I189" s="203">
        <f t="shared" ca="1" si="86"/>
        <v>46417</v>
      </c>
      <c r="J189" s="199"/>
      <c r="K189" s="193">
        <f ca="1">IF(G189="",0,IF(COUNTIF(G$121:$G188,G189)&gt;0,0,MAX(K$121:$K188)+1))</f>
        <v>0</v>
      </c>
      <c r="L189" s="200" t="str">
        <f t="shared" ca="1" si="84"/>
        <v/>
      </c>
      <c r="M189" s="69" t="str">
        <f t="shared" ca="1" si="77"/>
        <v>VÁLIDO</v>
      </c>
      <c r="O189" s="41">
        <f t="shared" si="83"/>
        <v>6</v>
      </c>
      <c r="P189" s="41">
        <f t="shared" si="69"/>
        <v>10</v>
      </c>
      <c r="R189" s="204">
        <f>VLOOKUP(CONCATENATE(O189,".4"),'Resultados - 10'!$A$10:$BL$156,5,FALSE)</f>
        <v>1</v>
      </c>
      <c r="S189" s="267">
        <f>IF(R189="",0,IF(COUNTIF($R$121:R188,R189)&gt;0,0,MAX($S$121:S188)+1))</f>
        <v>0</v>
      </c>
      <c r="T189" s="53" t="str">
        <f t="shared" si="85"/>
        <v/>
      </c>
      <c r="X189" s="204" t="str">
        <f>VLOOKUP(CONCATENATE(O189,".20"),'Resultados - 10'!$A$10:$BL$156,43,FALSE)</f>
        <v/>
      </c>
      <c r="AA189" s="204">
        <f>VLOOKUP(CONCATENATE(O189,".5"),'Resultados - 10'!$A$10:$BL$156,42,FALSE)</f>
        <v>0</v>
      </c>
      <c r="AD189" s="204" t="str">
        <f>VLOOKUP(CONCATENATE(O189,".20"),'Resultados - 10'!$A$10:$BL$156,44,FALSE)</f>
        <v/>
      </c>
    </row>
    <row r="190" spans="1:30" x14ac:dyDescent="0.3">
      <c r="A190" s="204">
        <f ca="1">VLOOKUP(CONCATENATE(O190,".9"),'Resultados - 10'!$A$10:$BL$156,40,FALSE)</f>
        <v>9</v>
      </c>
      <c r="B190" s="69" t="str">
        <f t="shared" ca="1" si="86"/>
        <v>E.MS.LQ-006</v>
      </c>
      <c r="C190" s="69" t="str">
        <f t="shared" ca="1" si="86"/>
        <v>Balança Analítica</v>
      </c>
      <c r="D190" s="69" t="str">
        <f t="shared" ca="1" si="86"/>
        <v>E.MS.LQ-006</v>
      </c>
      <c r="E190" s="69" t="str">
        <f t="shared" ca="1" si="86"/>
        <v xml:space="preserve">Elus </v>
      </c>
      <c r="F190" s="69" t="str">
        <f t="shared" ca="1" si="86"/>
        <v>RBC - CAL 0439</v>
      </c>
      <c r="G190" s="69" t="str">
        <f t="shared" ca="1" si="86"/>
        <v>E0014/26</v>
      </c>
      <c r="H190" s="202">
        <f t="shared" ca="1" si="86"/>
        <v>46031</v>
      </c>
      <c r="I190" s="203">
        <f t="shared" ca="1" si="86"/>
        <v>46417</v>
      </c>
      <c r="J190" s="199"/>
      <c r="K190" s="193">
        <f ca="1">IF(G190="",0,IF(COUNTIF(G$121:$G189,G190)&gt;0,0,MAX(K$121:$K189)+1))</f>
        <v>0</v>
      </c>
      <c r="L190" s="200" t="str">
        <f t="shared" ca="1" si="84"/>
        <v/>
      </c>
      <c r="M190" s="69" t="str">
        <f t="shared" ca="1" si="77"/>
        <v>VÁLIDO</v>
      </c>
      <c r="O190" s="41">
        <f t="shared" si="83"/>
        <v>7</v>
      </c>
      <c r="P190" s="41">
        <f t="shared" si="69"/>
        <v>10</v>
      </c>
      <c r="R190" s="204">
        <f>VLOOKUP(CONCATENATE(O190,".4"),'Resultados - 10'!$A$10:$BL$156,5,FALSE)</f>
        <v>1</v>
      </c>
      <c r="S190" s="267">
        <f>IF(R190="",0,IF(COUNTIF($R$121:R189,R190)&gt;0,0,MAX($S$121:S189)+1))</f>
        <v>0</v>
      </c>
      <c r="T190" s="53" t="str">
        <f t="shared" si="85"/>
        <v/>
      </c>
      <c r="X190" s="204" t="str">
        <f>VLOOKUP(CONCATENATE(O190,".20"),'Resultados - 10'!$A$10:$BL$156,43,FALSE)</f>
        <v/>
      </c>
      <c r="AA190" s="204">
        <f>VLOOKUP(CONCATENATE(O190,".5"),'Resultados - 10'!$A$10:$BL$156,42,FALSE)</f>
        <v>0</v>
      </c>
      <c r="AD190" s="204" t="str">
        <f>VLOOKUP(CONCATENATE(O190,".20"),'Resultados - 10'!$A$10:$BL$156,44,FALSE)</f>
        <v/>
      </c>
    </row>
    <row r="191" spans="1:30" x14ac:dyDescent="0.3">
      <c r="A191" s="201">
        <f ca="1">VLOOKUP(CONCATENATE(O191,".9"),'Resultados - 11'!$A$10:$BL$156,40,FALSE)</f>
        <v>9</v>
      </c>
      <c r="B191" s="69" t="str">
        <f t="shared" ca="1" si="86"/>
        <v>E.MS.LQ-006</v>
      </c>
      <c r="C191" s="69" t="str">
        <f t="shared" ca="1" si="86"/>
        <v>Balança Analítica</v>
      </c>
      <c r="D191" s="69" t="str">
        <f t="shared" ca="1" si="86"/>
        <v>E.MS.LQ-006</v>
      </c>
      <c r="E191" s="69" t="str">
        <f t="shared" ca="1" si="86"/>
        <v xml:space="preserve">Elus </v>
      </c>
      <c r="F191" s="69" t="str">
        <f t="shared" ca="1" si="86"/>
        <v>RBC - CAL 0439</v>
      </c>
      <c r="G191" s="69" t="str">
        <f t="shared" ca="1" si="86"/>
        <v>E0014/26</v>
      </c>
      <c r="H191" s="202">
        <f t="shared" ca="1" si="86"/>
        <v>46031</v>
      </c>
      <c r="I191" s="203">
        <f t="shared" ca="1" si="86"/>
        <v>46417</v>
      </c>
      <c r="J191" s="199"/>
      <c r="K191" s="193">
        <f ca="1">IF(G191="",0,IF(COUNTIF(G$121:$G190,G191)&gt;0,0,MAX(K$121:$K190)+1))</f>
        <v>0</v>
      </c>
      <c r="L191" s="200" t="str">
        <f t="shared" ca="1" si="84"/>
        <v/>
      </c>
      <c r="M191" s="69" t="str">
        <f t="shared" ca="1" si="77"/>
        <v>VÁLIDO</v>
      </c>
      <c r="O191" s="41">
        <f>O184</f>
        <v>1</v>
      </c>
      <c r="P191" s="41">
        <f t="shared" si="69"/>
        <v>11</v>
      </c>
      <c r="R191" s="201">
        <f>VLOOKUP(CONCATENATE(O191,".4"),'Resultados - 11'!$A$10:$BL$156,5,FALSE)</f>
        <v>1</v>
      </c>
      <c r="S191" s="267">
        <f>IF(R191="",0,IF(COUNTIF($R$121:R190,R191)&gt;0,0,MAX($S$121:S190)+1))</f>
        <v>0</v>
      </c>
      <c r="T191" s="53" t="str">
        <f t="shared" si="85"/>
        <v/>
      </c>
      <c r="X191" s="201" t="str">
        <f>VLOOKUP(CONCATENATE(O191,".20"),'Resultados - 11'!$A$10:$BL$156,43,FALSE)</f>
        <v/>
      </c>
      <c r="AA191" s="201">
        <f>VLOOKUP(CONCATENATE(O191,".5"),'Resultados - 11'!$A$10:$BL$156,42,FALSE)</f>
        <v>0</v>
      </c>
      <c r="AD191" s="201" t="str">
        <f>VLOOKUP(CONCATENATE(O191,".20"),'Resultados - 11'!$A$10:$BL$156,44,FALSE)</f>
        <v/>
      </c>
    </row>
    <row r="192" spans="1:30" x14ac:dyDescent="0.3">
      <c r="A192" s="201">
        <f ca="1">VLOOKUP(CONCATENATE(O192,".9"),'Resultados - 11'!$A$10:$BL$156,40,FALSE)</f>
        <v>9</v>
      </c>
      <c r="B192" s="69" t="str">
        <f t="shared" ca="1" si="86"/>
        <v>E.MS.LQ-006</v>
      </c>
      <c r="C192" s="69" t="str">
        <f t="shared" ca="1" si="86"/>
        <v>Balança Analítica</v>
      </c>
      <c r="D192" s="69" t="str">
        <f t="shared" ca="1" si="86"/>
        <v>E.MS.LQ-006</v>
      </c>
      <c r="E192" s="69" t="str">
        <f t="shared" ca="1" si="86"/>
        <v xml:space="preserve">Elus </v>
      </c>
      <c r="F192" s="69" t="str">
        <f t="shared" ca="1" si="86"/>
        <v>RBC - CAL 0439</v>
      </c>
      <c r="G192" s="69" t="str">
        <f t="shared" ca="1" si="86"/>
        <v>E0014/26</v>
      </c>
      <c r="H192" s="202">
        <f t="shared" ca="1" si="86"/>
        <v>46031</v>
      </c>
      <c r="I192" s="203">
        <f t="shared" ca="1" si="86"/>
        <v>46417</v>
      </c>
      <c r="J192" s="199"/>
      <c r="K192" s="193">
        <f ca="1">IF(G192="",0,IF(COUNTIF(G$121:$G191,G192)&gt;0,0,MAX(K$121:$K191)+1))</f>
        <v>0</v>
      </c>
      <c r="L192" s="200" t="str">
        <f t="shared" ca="1" si="84"/>
        <v/>
      </c>
      <c r="M192" s="69" t="str">
        <f t="shared" ref="M192:M204" ca="1" si="87">IF($A192="","",VLOOKUP($A192,$A$97:$CY$116,M$120,FALSE))</f>
        <v>VÁLIDO</v>
      </c>
      <c r="O192" s="41">
        <f t="shared" ref="O192:O197" si="88">O191+1</f>
        <v>2</v>
      </c>
      <c r="P192" s="41">
        <f t="shared" si="69"/>
        <v>11</v>
      </c>
      <c r="R192" s="201">
        <f>VLOOKUP(CONCATENATE(O192,".4"),'Resultados - 11'!$A$10:$BL$156,5,FALSE)</f>
        <v>1</v>
      </c>
      <c r="S192" s="267">
        <f>IF(R192="",0,IF(COUNTIF($R$121:R191,R192)&gt;0,0,MAX($S$121:S191)+1))</f>
        <v>0</v>
      </c>
      <c r="T192" s="53" t="str">
        <f t="shared" si="85"/>
        <v/>
      </c>
      <c r="X192" s="201" t="str">
        <f>VLOOKUP(CONCATENATE(O192,".20"),'Resultados - 11'!$A$10:$BL$156,43,FALSE)</f>
        <v/>
      </c>
      <c r="AA192" s="201">
        <f>VLOOKUP(CONCATENATE(O192,".5"),'Resultados - 11'!$A$10:$BL$156,42,FALSE)</f>
        <v>0</v>
      </c>
      <c r="AD192" s="201" t="str">
        <f>VLOOKUP(CONCATENATE(O192,".20"),'Resultados - 11'!$A$10:$BL$156,44,FALSE)</f>
        <v/>
      </c>
    </row>
    <row r="193" spans="1:30" x14ac:dyDescent="0.3">
      <c r="A193" s="201">
        <f ca="1">VLOOKUP(CONCATENATE(O193,".9"),'Resultados - 11'!$A$10:$BL$156,40,FALSE)</f>
        <v>9</v>
      </c>
      <c r="B193" s="69" t="str">
        <f t="shared" ca="1" si="86"/>
        <v>E.MS.LQ-006</v>
      </c>
      <c r="C193" s="69" t="str">
        <f t="shared" ca="1" si="86"/>
        <v>Balança Analítica</v>
      </c>
      <c r="D193" s="69" t="str">
        <f t="shared" ca="1" si="86"/>
        <v>E.MS.LQ-006</v>
      </c>
      <c r="E193" s="69" t="str">
        <f t="shared" ca="1" si="86"/>
        <v xml:space="preserve">Elus </v>
      </c>
      <c r="F193" s="69" t="str">
        <f t="shared" ca="1" si="86"/>
        <v>RBC - CAL 0439</v>
      </c>
      <c r="G193" s="69" t="str">
        <f t="shared" ca="1" si="86"/>
        <v>E0014/26</v>
      </c>
      <c r="H193" s="202">
        <f t="shared" ca="1" si="86"/>
        <v>46031</v>
      </c>
      <c r="I193" s="203">
        <f t="shared" ca="1" si="86"/>
        <v>46417</v>
      </c>
      <c r="J193" s="199"/>
      <c r="K193" s="193">
        <f ca="1">IF(G193="",0,IF(COUNTIF(G$121:$G192,G193)&gt;0,0,MAX(K$121:$K192)+1))</f>
        <v>0</v>
      </c>
      <c r="L193" s="200" t="str">
        <f t="shared" ca="1" si="84"/>
        <v/>
      </c>
      <c r="M193" s="69" t="str">
        <f t="shared" ca="1" si="87"/>
        <v>VÁLIDO</v>
      </c>
      <c r="O193" s="41">
        <f t="shared" si="88"/>
        <v>3</v>
      </c>
      <c r="P193" s="41">
        <f t="shared" ref="P193:P204" si="89">P186+1</f>
        <v>11</v>
      </c>
      <c r="R193" s="201">
        <f>VLOOKUP(CONCATENATE(O193,".4"),'Resultados - 11'!$A$10:$BL$156,5,FALSE)</f>
        <v>1</v>
      </c>
      <c r="S193" s="267">
        <f>IF(R193="",0,IF(COUNTIF($R$121:R192,R193)&gt;0,0,MAX($S$121:S192)+1))</f>
        <v>0</v>
      </c>
      <c r="T193" s="53" t="str">
        <f t="shared" si="85"/>
        <v/>
      </c>
      <c r="X193" s="201" t="str">
        <f>VLOOKUP(CONCATENATE(O193,".20"),'Resultados - 11'!$A$10:$BL$156,43,FALSE)</f>
        <v/>
      </c>
      <c r="AA193" s="201">
        <f>VLOOKUP(CONCATENATE(O193,".5"),'Resultados - 11'!$A$10:$BL$156,42,FALSE)</f>
        <v>0</v>
      </c>
      <c r="AD193" s="201" t="str">
        <f>VLOOKUP(CONCATENATE(O193,".20"),'Resultados - 11'!$A$10:$BL$156,44,FALSE)</f>
        <v/>
      </c>
    </row>
    <row r="194" spans="1:30" x14ac:dyDescent="0.3">
      <c r="A194" s="201">
        <f ca="1">VLOOKUP(CONCATENATE(O194,".9"),'Resultados - 11'!$A$10:$BL$156,40,FALSE)</f>
        <v>9</v>
      </c>
      <c r="B194" s="69" t="str">
        <f t="shared" ca="1" si="86"/>
        <v>E.MS.LQ-006</v>
      </c>
      <c r="C194" s="69" t="str">
        <f t="shared" ca="1" si="86"/>
        <v>Balança Analítica</v>
      </c>
      <c r="D194" s="69" t="str">
        <f t="shared" ca="1" si="86"/>
        <v>E.MS.LQ-006</v>
      </c>
      <c r="E194" s="69" t="str">
        <f t="shared" ca="1" si="86"/>
        <v xml:space="preserve">Elus </v>
      </c>
      <c r="F194" s="69" t="str">
        <f t="shared" ca="1" si="86"/>
        <v>RBC - CAL 0439</v>
      </c>
      <c r="G194" s="69" t="str">
        <f t="shared" ca="1" si="86"/>
        <v>E0014/26</v>
      </c>
      <c r="H194" s="202">
        <f t="shared" ca="1" si="86"/>
        <v>46031</v>
      </c>
      <c r="I194" s="203">
        <f t="shared" ca="1" si="86"/>
        <v>46417</v>
      </c>
      <c r="J194" s="199"/>
      <c r="K194" s="193">
        <f ca="1">IF(G194="",0,IF(COUNTIF(G$121:$G193,G194)&gt;0,0,MAX(K$121:$K193)+1))</f>
        <v>0</v>
      </c>
      <c r="L194" s="200" t="str">
        <f t="shared" ca="1" si="84"/>
        <v/>
      </c>
      <c r="M194" s="69" t="str">
        <f t="shared" ca="1" si="87"/>
        <v>VÁLIDO</v>
      </c>
      <c r="O194" s="41">
        <f t="shared" si="88"/>
        <v>4</v>
      </c>
      <c r="P194" s="41">
        <f t="shared" si="89"/>
        <v>11</v>
      </c>
      <c r="R194" s="201">
        <f>VLOOKUP(CONCATENATE(O194,".4"),'Resultados - 11'!$A$10:$BL$156,5,FALSE)</f>
        <v>1</v>
      </c>
      <c r="S194" s="267">
        <f>IF(R194="",0,IF(COUNTIF($R$121:R193,R194)&gt;0,0,MAX($S$121:S193)+1))</f>
        <v>0</v>
      </c>
      <c r="T194" s="53" t="str">
        <f t="shared" si="85"/>
        <v/>
      </c>
      <c r="X194" s="201" t="str">
        <f>VLOOKUP(CONCATENATE(O194,".20"),'Resultados - 11'!$A$10:$BL$156,43,FALSE)</f>
        <v/>
      </c>
      <c r="AA194" s="201">
        <f>VLOOKUP(CONCATENATE(O194,".5"),'Resultados - 11'!$A$10:$BL$156,42,FALSE)</f>
        <v>0</v>
      </c>
      <c r="AD194" s="201" t="str">
        <f>VLOOKUP(CONCATENATE(O194,".20"),'Resultados - 11'!$A$10:$BL$156,44,FALSE)</f>
        <v/>
      </c>
    </row>
    <row r="195" spans="1:30" x14ac:dyDescent="0.3">
      <c r="A195" s="201">
        <f ca="1">VLOOKUP(CONCATENATE(O195,".9"),'Resultados - 11'!$A$10:$BL$156,40,FALSE)</f>
        <v>9</v>
      </c>
      <c r="B195" s="69" t="str">
        <f t="shared" ca="1" si="86"/>
        <v>E.MS.LQ-006</v>
      </c>
      <c r="C195" s="69" t="str">
        <f t="shared" ca="1" si="86"/>
        <v>Balança Analítica</v>
      </c>
      <c r="D195" s="69" t="str">
        <f t="shared" ca="1" si="86"/>
        <v>E.MS.LQ-006</v>
      </c>
      <c r="E195" s="69" t="str">
        <f t="shared" ca="1" si="86"/>
        <v xml:space="preserve">Elus </v>
      </c>
      <c r="F195" s="69" t="str">
        <f t="shared" ca="1" si="86"/>
        <v>RBC - CAL 0439</v>
      </c>
      <c r="G195" s="69" t="str">
        <f t="shared" ca="1" si="86"/>
        <v>E0014/26</v>
      </c>
      <c r="H195" s="202">
        <f t="shared" ca="1" si="86"/>
        <v>46031</v>
      </c>
      <c r="I195" s="203">
        <f t="shared" ca="1" si="86"/>
        <v>46417</v>
      </c>
      <c r="J195" s="199"/>
      <c r="K195" s="193">
        <f ca="1">IF(G195="",0,IF(COUNTIF(G$121:$G194,G195)&gt;0,0,MAX(K$121:$K194)+1))</f>
        <v>0</v>
      </c>
      <c r="L195" s="200" t="str">
        <f t="shared" ca="1" si="84"/>
        <v/>
      </c>
      <c r="M195" s="69" t="str">
        <f t="shared" ca="1" si="87"/>
        <v>VÁLIDO</v>
      </c>
      <c r="O195" s="41">
        <f t="shared" si="88"/>
        <v>5</v>
      </c>
      <c r="P195" s="41">
        <f t="shared" si="89"/>
        <v>11</v>
      </c>
      <c r="R195" s="201">
        <f>VLOOKUP(CONCATENATE(O195,".4"),'Resultados - 11'!$A$10:$BL$156,5,FALSE)</f>
        <v>1</v>
      </c>
      <c r="S195" s="267">
        <f>IF(R195="",0,IF(COUNTIF($R$121:R194,R195)&gt;0,0,MAX($S$121:S194)+1))</f>
        <v>0</v>
      </c>
      <c r="T195" s="53" t="str">
        <f t="shared" si="85"/>
        <v/>
      </c>
      <c r="X195" s="201" t="str">
        <f>VLOOKUP(CONCATENATE(O195,".20"),'Resultados - 11'!$A$10:$BL$156,43,FALSE)</f>
        <v/>
      </c>
      <c r="AA195" s="201">
        <f>VLOOKUP(CONCATENATE(O195,".5"),'Resultados - 11'!$A$10:$BL$156,42,FALSE)</f>
        <v>0</v>
      </c>
      <c r="AD195" s="201" t="str">
        <f>VLOOKUP(CONCATENATE(O195,".20"),'Resultados - 11'!$A$10:$BL$156,44,FALSE)</f>
        <v/>
      </c>
    </row>
    <row r="196" spans="1:30" x14ac:dyDescent="0.3">
      <c r="A196" s="201">
        <f ca="1">VLOOKUP(CONCATENATE(O196,".9"),'Resultados - 11'!$A$10:$BL$156,40,FALSE)</f>
        <v>9</v>
      </c>
      <c r="B196" s="69" t="str">
        <f t="shared" ca="1" si="86"/>
        <v>E.MS.LQ-006</v>
      </c>
      <c r="C196" s="69" t="str">
        <f t="shared" ca="1" si="86"/>
        <v>Balança Analítica</v>
      </c>
      <c r="D196" s="69" t="str">
        <f t="shared" ca="1" si="86"/>
        <v>E.MS.LQ-006</v>
      </c>
      <c r="E196" s="69" t="str">
        <f t="shared" ca="1" si="86"/>
        <v xml:space="preserve">Elus </v>
      </c>
      <c r="F196" s="69" t="str">
        <f t="shared" ca="1" si="86"/>
        <v>RBC - CAL 0439</v>
      </c>
      <c r="G196" s="69" t="str">
        <f t="shared" ca="1" si="86"/>
        <v>E0014/26</v>
      </c>
      <c r="H196" s="202">
        <f t="shared" ca="1" si="86"/>
        <v>46031</v>
      </c>
      <c r="I196" s="203">
        <f t="shared" ca="1" si="86"/>
        <v>46417</v>
      </c>
      <c r="J196" s="199"/>
      <c r="K196" s="193">
        <f ca="1">IF(G196="",0,IF(COUNTIF(G$121:$G195,G196)&gt;0,0,MAX(K$121:$K195)+1))</f>
        <v>0</v>
      </c>
      <c r="L196" s="200" t="str">
        <f t="shared" ca="1" si="84"/>
        <v/>
      </c>
      <c r="M196" s="69" t="str">
        <f t="shared" ca="1" si="87"/>
        <v>VÁLIDO</v>
      </c>
      <c r="O196" s="41">
        <f t="shared" si="88"/>
        <v>6</v>
      </c>
      <c r="P196" s="41">
        <f t="shared" si="89"/>
        <v>11</v>
      </c>
      <c r="R196" s="201">
        <f>VLOOKUP(CONCATENATE(O196,".4"),'Resultados - 11'!$A$10:$BL$156,5,FALSE)</f>
        <v>1</v>
      </c>
      <c r="S196" s="267">
        <f>IF(R196="",0,IF(COUNTIF($R$121:R195,R196)&gt;0,0,MAX($S$121:S195)+1))</f>
        <v>0</v>
      </c>
      <c r="T196" s="53" t="str">
        <f t="shared" si="85"/>
        <v/>
      </c>
      <c r="X196" s="201" t="str">
        <f>VLOOKUP(CONCATENATE(O196,".20"),'Resultados - 11'!$A$10:$BL$156,43,FALSE)</f>
        <v/>
      </c>
      <c r="AA196" s="201">
        <f>VLOOKUP(CONCATENATE(O196,".5"),'Resultados - 11'!$A$10:$BL$156,42,FALSE)</f>
        <v>0</v>
      </c>
      <c r="AD196" s="201" t="str">
        <f>VLOOKUP(CONCATENATE(O196,".20"),'Resultados - 11'!$A$10:$BL$156,44,FALSE)</f>
        <v/>
      </c>
    </row>
    <row r="197" spans="1:30" x14ac:dyDescent="0.3">
      <c r="A197" s="201">
        <f ca="1">VLOOKUP(CONCATENATE(O197,".9"),'Resultados - 11'!$A$10:$BL$156,40,FALSE)</f>
        <v>9</v>
      </c>
      <c r="B197" s="69" t="str">
        <f t="shared" ca="1" si="86"/>
        <v>E.MS.LQ-006</v>
      </c>
      <c r="C197" s="69" t="str">
        <f t="shared" ca="1" si="86"/>
        <v>Balança Analítica</v>
      </c>
      <c r="D197" s="69" t="str">
        <f t="shared" ca="1" si="86"/>
        <v>E.MS.LQ-006</v>
      </c>
      <c r="E197" s="69" t="str">
        <f t="shared" ca="1" si="86"/>
        <v xml:space="preserve">Elus </v>
      </c>
      <c r="F197" s="69" t="str">
        <f t="shared" ca="1" si="86"/>
        <v>RBC - CAL 0439</v>
      </c>
      <c r="G197" s="69" t="str">
        <f t="shared" ca="1" si="86"/>
        <v>E0014/26</v>
      </c>
      <c r="H197" s="202">
        <f t="shared" ca="1" si="86"/>
        <v>46031</v>
      </c>
      <c r="I197" s="203">
        <f t="shared" ca="1" si="86"/>
        <v>46417</v>
      </c>
      <c r="J197" s="199"/>
      <c r="K197" s="193">
        <f ca="1">IF(G197="",0,IF(COUNTIF(G$121:$G196,G197)&gt;0,0,MAX(K$121:$K196)+1))</f>
        <v>0</v>
      </c>
      <c r="L197" s="200" t="str">
        <f t="shared" ca="1" si="84"/>
        <v/>
      </c>
      <c r="M197" s="69" t="str">
        <f t="shared" ca="1" si="87"/>
        <v>VÁLIDO</v>
      </c>
      <c r="O197" s="41">
        <f t="shared" si="88"/>
        <v>7</v>
      </c>
      <c r="P197" s="41">
        <f t="shared" si="89"/>
        <v>11</v>
      </c>
      <c r="R197" s="201">
        <f>VLOOKUP(CONCATENATE(O197,".4"),'Resultados - 11'!$A$10:$BL$156,5,FALSE)</f>
        <v>1</v>
      </c>
      <c r="S197" s="267">
        <f>IF(R197="",0,IF(COUNTIF($R$121:R196,R197)&gt;0,0,MAX($S$121:S196)+1))</f>
        <v>0</v>
      </c>
      <c r="T197" s="53" t="str">
        <f t="shared" si="85"/>
        <v/>
      </c>
      <c r="X197" s="201" t="str">
        <f>VLOOKUP(CONCATENATE(O197,".20"),'Resultados - 11'!$A$10:$BL$156,43,FALSE)</f>
        <v/>
      </c>
      <c r="AA197" s="201">
        <f>VLOOKUP(CONCATENATE(O197,".5"),'Resultados - 11'!$A$10:$BL$156,42,FALSE)</f>
        <v>0</v>
      </c>
      <c r="AD197" s="201" t="str">
        <f>VLOOKUP(CONCATENATE(O197,".20"),'Resultados - 11'!$A$10:$BL$156,44,FALSE)</f>
        <v/>
      </c>
    </row>
    <row r="198" spans="1:30" x14ac:dyDescent="0.3">
      <c r="A198" s="204">
        <f ca="1">VLOOKUP(CONCATENATE(O198,".9"),'Resultados - 12'!$A$10:$BL$156,40,FALSE)</f>
        <v>9</v>
      </c>
      <c r="B198" s="69" t="str">
        <f t="shared" ref="B198:I204" ca="1" si="90">IF($A198="","",VLOOKUP($A198,$A$97:$CY$116,B$120,FALSE))</f>
        <v>E.MS.LQ-006</v>
      </c>
      <c r="C198" s="69" t="str">
        <f t="shared" ca="1" si="90"/>
        <v>Balança Analítica</v>
      </c>
      <c r="D198" s="69" t="str">
        <f t="shared" ca="1" si="90"/>
        <v>E.MS.LQ-006</v>
      </c>
      <c r="E198" s="69" t="str">
        <f t="shared" ca="1" si="90"/>
        <v xml:space="preserve">Elus </v>
      </c>
      <c r="F198" s="69" t="str">
        <f t="shared" ca="1" si="90"/>
        <v>RBC - CAL 0439</v>
      </c>
      <c r="G198" s="69" t="str">
        <f t="shared" ca="1" si="90"/>
        <v>E0014/26</v>
      </c>
      <c r="H198" s="202">
        <f t="shared" ca="1" si="90"/>
        <v>46031</v>
      </c>
      <c r="I198" s="203">
        <f t="shared" ca="1" si="90"/>
        <v>46417</v>
      </c>
      <c r="J198" s="199"/>
      <c r="K198" s="193">
        <f ca="1">IF(G198="",0,IF(COUNTIF(G$121:$G197,G198)&gt;0,0,MAX(K$121:$K197)+1))</f>
        <v>0</v>
      </c>
      <c r="L198" s="200" t="str">
        <f t="shared" ca="1" si="84"/>
        <v/>
      </c>
      <c r="M198" s="69" t="str">
        <f t="shared" ca="1" si="87"/>
        <v>VÁLIDO</v>
      </c>
      <c r="O198" s="41">
        <f>O191</f>
        <v>1</v>
      </c>
      <c r="P198" s="41">
        <f t="shared" si="89"/>
        <v>12</v>
      </c>
      <c r="R198" s="204">
        <f>VLOOKUP(CONCATENATE(O198,".4"),'Resultados - 12'!$A$10:$BL$156,5,FALSE)</f>
        <v>1</v>
      </c>
      <c r="S198" s="267">
        <f>IF(R198="",0,IF(COUNTIF($R$121:R197,R198)&gt;0,0,MAX($S$121:S197)+1))</f>
        <v>0</v>
      </c>
      <c r="T198" s="53" t="str">
        <f t="shared" si="85"/>
        <v/>
      </c>
      <c r="X198" s="204" t="str">
        <f>VLOOKUP(CONCATENATE(O198,".20"),'Resultados - 12'!$A$10:$BL$156,43,FALSE)</f>
        <v/>
      </c>
      <c r="AA198" s="204">
        <f>VLOOKUP(CONCATENATE(O198,".5"),'Resultados - 12'!$A$10:$BL$156,42,FALSE)</f>
        <v>0</v>
      </c>
      <c r="AD198" s="204" t="str">
        <f>VLOOKUP(CONCATENATE(O198,".20"),'Resultados - 12'!$A$10:$BL$156,44,FALSE)</f>
        <v/>
      </c>
    </row>
    <row r="199" spans="1:30" x14ac:dyDescent="0.3">
      <c r="A199" s="204">
        <f ca="1">VLOOKUP(CONCATENATE(O199,".9"),'Resultados - 12'!$A$10:$BL$156,40,FALSE)</f>
        <v>9</v>
      </c>
      <c r="B199" s="69" t="str">
        <f t="shared" ca="1" si="90"/>
        <v>E.MS.LQ-006</v>
      </c>
      <c r="C199" s="69" t="str">
        <f t="shared" ca="1" si="90"/>
        <v>Balança Analítica</v>
      </c>
      <c r="D199" s="69" t="str">
        <f t="shared" ca="1" si="90"/>
        <v>E.MS.LQ-006</v>
      </c>
      <c r="E199" s="69" t="str">
        <f t="shared" ca="1" si="90"/>
        <v xml:space="preserve">Elus </v>
      </c>
      <c r="F199" s="69" t="str">
        <f t="shared" ca="1" si="90"/>
        <v>RBC - CAL 0439</v>
      </c>
      <c r="G199" s="69" t="str">
        <f t="shared" ca="1" si="90"/>
        <v>E0014/26</v>
      </c>
      <c r="H199" s="202">
        <f t="shared" ca="1" si="90"/>
        <v>46031</v>
      </c>
      <c r="I199" s="203">
        <f t="shared" ca="1" si="90"/>
        <v>46417</v>
      </c>
      <c r="J199" s="199"/>
      <c r="K199" s="193">
        <f ca="1">IF(G199="",0,IF(COUNTIF(G$121:$G198,G199)&gt;0,0,MAX(K$121:$K198)+1))</f>
        <v>0</v>
      </c>
      <c r="L199" s="200" t="str">
        <f t="shared" ca="1" si="84"/>
        <v/>
      </c>
      <c r="M199" s="69" t="str">
        <f t="shared" ca="1" si="87"/>
        <v>VÁLIDO</v>
      </c>
      <c r="O199" s="41">
        <f t="shared" ref="O199:O204" si="91">O198+1</f>
        <v>2</v>
      </c>
      <c r="P199" s="41">
        <f t="shared" si="89"/>
        <v>12</v>
      </c>
      <c r="R199" s="204">
        <f>VLOOKUP(CONCATENATE(O199,".4"),'Resultados - 12'!$A$10:$BL$156,5,FALSE)</f>
        <v>1</v>
      </c>
      <c r="S199" s="267">
        <f>IF(R199="",0,IF(COUNTIF($R$121:R198,R199)&gt;0,0,MAX($S$121:S198)+1))</f>
        <v>0</v>
      </c>
      <c r="T199" s="53" t="str">
        <f t="shared" si="85"/>
        <v/>
      </c>
      <c r="X199" s="204" t="str">
        <f>VLOOKUP(CONCATENATE(O199,".20"),'Resultados - 12'!$A$10:$BL$156,43,FALSE)</f>
        <v/>
      </c>
      <c r="AA199" s="204">
        <f>VLOOKUP(CONCATENATE(O199,".5"),'Resultados - 12'!$A$10:$BL$156,42,FALSE)</f>
        <v>0</v>
      </c>
      <c r="AD199" s="204" t="str">
        <f>VLOOKUP(CONCATENATE(O199,".20"),'Resultados - 12'!$A$10:$BL$156,44,FALSE)</f>
        <v/>
      </c>
    </row>
    <row r="200" spans="1:30" x14ac:dyDescent="0.3">
      <c r="A200" s="204">
        <f ca="1">VLOOKUP(CONCATENATE(O200,".9"),'Resultados - 12'!$A$10:$BL$156,40,FALSE)</f>
        <v>9</v>
      </c>
      <c r="B200" s="69" t="str">
        <f t="shared" ca="1" si="90"/>
        <v>E.MS.LQ-006</v>
      </c>
      <c r="C200" s="69" t="str">
        <f t="shared" ca="1" si="90"/>
        <v>Balança Analítica</v>
      </c>
      <c r="D200" s="69" t="str">
        <f t="shared" ca="1" si="90"/>
        <v>E.MS.LQ-006</v>
      </c>
      <c r="E200" s="69" t="str">
        <f t="shared" ca="1" si="90"/>
        <v xml:space="preserve">Elus </v>
      </c>
      <c r="F200" s="69" t="str">
        <f t="shared" ca="1" si="90"/>
        <v>RBC - CAL 0439</v>
      </c>
      <c r="G200" s="69" t="str">
        <f t="shared" ca="1" si="90"/>
        <v>E0014/26</v>
      </c>
      <c r="H200" s="202">
        <f t="shared" ca="1" si="90"/>
        <v>46031</v>
      </c>
      <c r="I200" s="203">
        <f t="shared" ca="1" si="90"/>
        <v>46417</v>
      </c>
      <c r="J200" s="199"/>
      <c r="K200" s="193">
        <f ca="1">IF(G200="",0,IF(COUNTIF(G$121:$G199,G200)&gt;0,0,MAX(K$121:$K199)+1))</f>
        <v>0</v>
      </c>
      <c r="L200" s="200" t="str">
        <f t="shared" ca="1" si="84"/>
        <v/>
      </c>
      <c r="M200" s="69" t="str">
        <f t="shared" ca="1" si="87"/>
        <v>VÁLIDO</v>
      </c>
      <c r="O200" s="41">
        <f t="shared" si="91"/>
        <v>3</v>
      </c>
      <c r="P200" s="41">
        <f t="shared" si="89"/>
        <v>12</v>
      </c>
      <c r="R200" s="204">
        <f>VLOOKUP(CONCATENATE(O200,".4"),'Resultados - 12'!$A$10:$BL$156,5,FALSE)</f>
        <v>1</v>
      </c>
      <c r="S200" s="267">
        <f>IF(R200="",0,IF(COUNTIF($R$121:R199,R200)&gt;0,0,MAX($S$121:S199)+1))</f>
        <v>0</v>
      </c>
      <c r="T200" s="53" t="str">
        <f t="shared" si="85"/>
        <v/>
      </c>
      <c r="X200" s="204" t="str">
        <f>VLOOKUP(CONCATENATE(O200,".20"),'Resultados - 12'!$A$10:$BL$156,43,FALSE)</f>
        <v/>
      </c>
      <c r="AA200" s="204">
        <f>VLOOKUP(CONCATENATE(O200,".5"),'Resultados - 12'!$A$10:$BL$156,42,FALSE)</f>
        <v>0</v>
      </c>
      <c r="AD200" s="204" t="str">
        <f>VLOOKUP(CONCATENATE(O200,".20"),'Resultados - 12'!$A$10:$BL$156,44,FALSE)</f>
        <v/>
      </c>
    </row>
    <row r="201" spans="1:30" x14ac:dyDescent="0.3">
      <c r="A201" s="204">
        <f ca="1">VLOOKUP(CONCATENATE(O201,".9"),'Resultados - 12'!$A$10:$BL$156,40,FALSE)</f>
        <v>9</v>
      </c>
      <c r="B201" s="69" t="str">
        <f t="shared" ca="1" si="90"/>
        <v>E.MS.LQ-006</v>
      </c>
      <c r="C201" s="69" t="str">
        <f t="shared" ca="1" si="90"/>
        <v>Balança Analítica</v>
      </c>
      <c r="D201" s="69" t="str">
        <f t="shared" ca="1" si="90"/>
        <v>E.MS.LQ-006</v>
      </c>
      <c r="E201" s="69" t="str">
        <f t="shared" ca="1" si="90"/>
        <v xml:space="preserve">Elus </v>
      </c>
      <c r="F201" s="69" t="str">
        <f t="shared" ca="1" si="90"/>
        <v>RBC - CAL 0439</v>
      </c>
      <c r="G201" s="69" t="str">
        <f t="shared" ca="1" si="90"/>
        <v>E0014/26</v>
      </c>
      <c r="H201" s="202">
        <f t="shared" ca="1" si="90"/>
        <v>46031</v>
      </c>
      <c r="I201" s="203">
        <f t="shared" ca="1" si="90"/>
        <v>46417</v>
      </c>
      <c r="J201" s="199"/>
      <c r="K201" s="193">
        <f ca="1">IF(G201="",0,IF(COUNTIF(G$121:$G200,G201)&gt;0,0,MAX(K$121:$K200)+1))</f>
        <v>0</v>
      </c>
      <c r="L201" s="200" t="str">
        <f t="shared" ca="1" si="84"/>
        <v/>
      </c>
      <c r="M201" s="69" t="str">
        <f t="shared" ca="1" si="87"/>
        <v>VÁLIDO</v>
      </c>
      <c r="O201" s="41">
        <f t="shared" si="91"/>
        <v>4</v>
      </c>
      <c r="P201" s="41">
        <f t="shared" si="89"/>
        <v>12</v>
      </c>
      <c r="R201" s="204">
        <f>VLOOKUP(CONCATENATE(O201,".4"),'Resultados - 12'!$A$10:$BL$156,5,FALSE)</f>
        <v>1</v>
      </c>
      <c r="S201" s="267">
        <f>IF(R201="",0,IF(COUNTIF($R$121:R200,R201)&gt;0,0,MAX($S$121:S200)+1))</f>
        <v>0</v>
      </c>
      <c r="T201" s="53" t="str">
        <f t="shared" si="85"/>
        <v/>
      </c>
      <c r="X201" s="204" t="str">
        <f>VLOOKUP(CONCATENATE(O201,".20"),'Resultados - 12'!$A$10:$BL$156,43,FALSE)</f>
        <v/>
      </c>
      <c r="AA201" s="204">
        <f>VLOOKUP(CONCATENATE(O201,".5"),'Resultados - 12'!$A$10:$BL$156,42,FALSE)</f>
        <v>0</v>
      </c>
      <c r="AD201" s="204" t="str">
        <f>VLOOKUP(CONCATENATE(O201,".20"),'Resultados - 12'!$A$10:$BL$156,44,FALSE)</f>
        <v/>
      </c>
    </row>
    <row r="202" spans="1:30" x14ac:dyDescent="0.3">
      <c r="A202" s="204">
        <f ca="1">VLOOKUP(CONCATENATE(O202,".9"),'Resultados - 12'!$A$10:$BL$156,40,FALSE)</f>
        <v>9</v>
      </c>
      <c r="B202" s="69" t="str">
        <f t="shared" ca="1" si="90"/>
        <v>E.MS.LQ-006</v>
      </c>
      <c r="C202" s="69" t="str">
        <f t="shared" ca="1" si="90"/>
        <v>Balança Analítica</v>
      </c>
      <c r="D202" s="69" t="str">
        <f t="shared" ca="1" si="90"/>
        <v>E.MS.LQ-006</v>
      </c>
      <c r="E202" s="69" t="str">
        <f t="shared" ca="1" si="90"/>
        <v xml:space="preserve">Elus </v>
      </c>
      <c r="F202" s="69" t="str">
        <f t="shared" ca="1" si="90"/>
        <v>RBC - CAL 0439</v>
      </c>
      <c r="G202" s="69" t="str">
        <f t="shared" ca="1" si="90"/>
        <v>E0014/26</v>
      </c>
      <c r="H202" s="202">
        <f t="shared" ca="1" si="90"/>
        <v>46031</v>
      </c>
      <c r="I202" s="203">
        <f t="shared" ca="1" si="90"/>
        <v>46417</v>
      </c>
      <c r="J202" s="199"/>
      <c r="K202" s="193">
        <f ca="1">IF(G202="",0,IF(COUNTIF(G$121:$G201,G202)&gt;0,0,MAX(K$121:$K201)+1))</f>
        <v>0</v>
      </c>
      <c r="L202" s="200" t="str">
        <f t="shared" ca="1" si="84"/>
        <v/>
      </c>
      <c r="M202" s="69" t="str">
        <f t="shared" ca="1" si="87"/>
        <v>VÁLIDO</v>
      </c>
      <c r="O202" s="41">
        <f t="shared" si="91"/>
        <v>5</v>
      </c>
      <c r="P202" s="41">
        <f t="shared" si="89"/>
        <v>12</v>
      </c>
      <c r="R202" s="204">
        <f>VLOOKUP(CONCATENATE(O202,".4"),'Resultados - 12'!$A$10:$BL$156,5,FALSE)</f>
        <v>1</v>
      </c>
      <c r="S202" s="267">
        <f>IF(R202="",0,IF(COUNTIF($R$121:R201,R202)&gt;0,0,MAX($S$121:S201)+1))</f>
        <v>0</v>
      </c>
      <c r="T202" s="53" t="str">
        <f t="shared" si="85"/>
        <v/>
      </c>
      <c r="X202" s="204" t="str">
        <f>VLOOKUP(CONCATENATE(O202,".20"),'Resultados - 12'!$A$10:$BL$156,43,FALSE)</f>
        <v/>
      </c>
      <c r="AA202" s="204">
        <f>VLOOKUP(CONCATENATE(O202,".5"),'Resultados - 12'!$A$10:$BL$156,42,FALSE)</f>
        <v>0</v>
      </c>
      <c r="AD202" s="204" t="str">
        <f>VLOOKUP(CONCATENATE(O202,".20"),'Resultados - 12'!$A$10:$BL$156,44,FALSE)</f>
        <v/>
      </c>
    </row>
    <row r="203" spans="1:30" x14ac:dyDescent="0.3">
      <c r="A203" s="204">
        <f ca="1">VLOOKUP(CONCATENATE(O203,".9"),'Resultados - 12'!$A$10:$BL$156,40,FALSE)</f>
        <v>9</v>
      </c>
      <c r="B203" s="69" t="str">
        <f t="shared" ca="1" si="90"/>
        <v>E.MS.LQ-006</v>
      </c>
      <c r="C203" s="69" t="str">
        <f t="shared" ca="1" si="90"/>
        <v>Balança Analítica</v>
      </c>
      <c r="D203" s="69" t="str">
        <f t="shared" ca="1" si="90"/>
        <v>E.MS.LQ-006</v>
      </c>
      <c r="E203" s="69" t="str">
        <f t="shared" ca="1" si="90"/>
        <v xml:space="preserve">Elus </v>
      </c>
      <c r="F203" s="69" t="str">
        <f t="shared" ca="1" si="90"/>
        <v>RBC - CAL 0439</v>
      </c>
      <c r="G203" s="69" t="str">
        <f t="shared" ca="1" si="90"/>
        <v>E0014/26</v>
      </c>
      <c r="H203" s="202">
        <f t="shared" ca="1" si="90"/>
        <v>46031</v>
      </c>
      <c r="I203" s="203">
        <f t="shared" ca="1" si="90"/>
        <v>46417</v>
      </c>
      <c r="J203" s="199"/>
      <c r="K203" s="193">
        <f ca="1">IF(G203="",0,IF(COUNTIF(G$121:$G202,G203)&gt;0,0,MAX(K$121:$K202)+1))</f>
        <v>0</v>
      </c>
      <c r="L203" s="200" t="str">
        <f t="shared" ca="1" si="84"/>
        <v/>
      </c>
      <c r="M203" s="69" t="str">
        <f t="shared" ca="1" si="87"/>
        <v>VÁLIDO</v>
      </c>
      <c r="O203" s="41">
        <f t="shared" si="91"/>
        <v>6</v>
      </c>
      <c r="P203" s="41">
        <f t="shared" si="89"/>
        <v>12</v>
      </c>
      <c r="R203" s="204">
        <f>VLOOKUP(CONCATENATE(O203,".4"),'Resultados - 12'!$A$10:$BL$156,5,FALSE)</f>
        <v>1</v>
      </c>
      <c r="S203" s="267">
        <f>IF(R203="",0,IF(COUNTIF($R$121:R202,R203)&gt;0,0,MAX($S$121:S202)+1))</f>
        <v>0</v>
      </c>
      <c r="T203" s="53" t="str">
        <f t="shared" si="85"/>
        <v/>
      </c>
      <c r="X203" s="204" t="str">
        <f>VLOOKUP(CONCATENATE(O203,".20"),'Resultados - 12'!$A$10:$BL$156,43,FALSE)</f>
        <v/>
      </c>
      <c r="AA203" s="204">
        <f>VLOOKUP(CONCATENATE(O203,".5"),'Resultados - 12'!$A$10:$BL$156,42,FALSE)</f>
        <v>0</v>
      </c>
      <c r="AD203" s="204" t="str">
        <f>VLOOKUP(CONCATENATE(O203,".20"),'Resultados - 12'!$A$10:$BL$156,44,FALSE)</f>
        <v/>
      </c>
    </row>
    <row r="204" spans="1:30" x14ac:dyDescent="0.3">
      <c r="A204" s="204">
        <f ca="1">VLOOKUP(CONCATENATE(O204,".9"),'Resultados - 12'!$A$10:$BL$156,40,FALSE)</f>
        <v>9</v>
      </c>
      <c r="B204" s="69" t="str">
        <f t="shared" ca="1" si="90"/>
        <v>E.MS.LQ-006</v>
      </c>
      <c r="C204" s="69" t="str">
        <f t="shared" ca="1" si="90"/>
        <v>Balança Analítica</v>
      </c>
      <c r="D204" s="69" t="str">
        <f t="shared" ca="1" si="90"/>
        <v>E.MS.LQ-006</v>
      </c>
      <c r="E204" s="69" t="str">
        <f t="shared" ca="1" si="90"/>
        <v xml:space="preserve">Elus </v>
      </c>
      <c r="F204" s="69" t="str">
        <f t="shared" ca="1" si="90"/>
        <v>RBC - CAL 0439</v>
      </c>
      <c r="G204" s="69" t="str">
        <f t="shared" ca="1" si="90"/>
        <v>E0014/26</v>
      </c>
      <c r="H204" s="202">
        <f t="shared" ca="1" si="90"/>
        <v>46031</v>
      </c>
      <c r="I204" s="203">
        <f t="shared" ca="1" si="90"/>
        <v>46417</v>
      </c>
      <c r="J204" s="199"/>
      <c r="K204" s="193">
        <f ca="1">IF(G204="",0,IF(COUNTIF(G$121:$G203,G204)&gt;0,0,MAX(K$121:$K203)+1))</f>
        <v>0</v>
      </c>
      <c r="L204" s="200" t="str">
        <f t="shared" ca="1" si="84"/>
        <v/>
      </c>
      <c r="M204" s="69" t="str">
        <f t="shared" ca="1" si="87"/>
        <v>VÁLIDO</v>
      </c>
      <c r="O204" s="41">
        <f t="shared" si="91"/>
        <v>7</v>
      </c>
      <c r="P204" s="41">
        <f t="shared" si="89"/>
        <v>12</v>
      </c>
      <c r="R204" s="204">
        <f>VLOOKUP(CONCATENATE(O204,".4"),'Resultados - 12'!$A$10:$BL$156,5,FALSE)</f>
        <v>1</v>
      </c>
      <c r="S204" s="267">
        <f>IF(R204="",0,IF(COUNTIF($R$121:R203,R204)&gt;0,0,MAX($S$121:S203)+1))</f>
        <v>0</v>
      </c>
      <c r="T204" s="53" t="str">
        <f t="shared" si="85"/>
        <v/>
      </c>
      <c r="X204" s="204" t="str">
        <f>VLOOKUP(CONCATENATE(O204,".20"),'Resultados - 12'!$A$10:$BL$156,43,FALSE)</f>
        <v/>
      </c>
      <c r="AA204" s="204">
        <f>VLOOKUP(CONCATENATE(O204,".5"),'Resultados - 12'!$A$10:$BL$156,42,FALSE)</f>
        <v>0</v>
      </c>
      <c r="AD204" s="204" t="str">
        <f>VLOOKUP(CONCATENATE(O204,".20"),'Resultados - 12'!$A$10:$BL$156,44,FALSE)</f>
        <v/>
      </c>
    </row>
    <row r="205" spans="1:30" x14ac:dyDescent="0.3">
      <c r="A205" s="43"/>
      <c r="B205" s="44"/>
      <c r="C205" s="44"/>
      <c r="D205" s="44"/>
      <c r="E205" s="44"/>
      <c r="F205" s="44"/>
      <c r="G205" s="44"/>
      <c r="H205" s="44"/>
      <c r="I205" s="44"/>
      <c r="J205" s="44"/>
      <c r="K205" s="44">
        <f ca="1">MAX(K206:K289)</f>
        <v>1</v>
      </c>
      <c r="L205" s="44"/>
      <c r="M205" s="44"/>
      <c r="N205" s="44"/>
      <c r="O205" s="44"/>
    </row>
    <row r="206" spans="1:30" x14ac:dyDescent="0.3">
      <c r="A206" s="201">
        <f ca="1">VLOOKUP(CONCATENATE(O206,".9"),'Resultados - 1'!$A$10:$BL$156,64,FALSE)</f>
        <v>97</v>
      </c>
      <c r="B206" s="69" t="str">
        <f ca="1">IF($A206="","",VLOOKUP($A206,$A$74:$CY$93,B$120,FALSE))</f>
        <v>E.TH.LQ-010</v>
      </c>
      <c r="C206" s="69" t="str">
        <f t="shared" ref="C206:I221" ca="1" si="92">IF($A206="","",VLOOKUP($A206,$A$74:$CY$93,C$120,FALSE))</f>
        <v>Termômetro Digital</v>
      </c>
      <c r="D206" s="69" t="str">
        <f t="shared" ca="1" si="92"/>
        <v>E.TH.LQ-010</v>
      </c>
      <c r="E206" s="69" t="str">
        <f t="shared" ca="1" si="92"/>
        <v>Elus</v>
      </c>
      <c r="F206" s="69" t="str">
        <f t="shared" ca="1" si="92"/>
        <v>RBC - CAL 0439</v>
      </c>
      <c r="G206" s="69" t="str">
        <f t="shared" ca="1" si="92"/>
        <v>E0530/25</v>
      </c>
      <c r="H206" s="202">
        <f t="shared" ca="1" si="92"/>
        <v>45884</v>
      </c>
      <c r="I206" s="203">
        <f t="shared" ca="1" si="92"/>
        <v>46265</v>
      </c>
      <c r="J206" s="69">
        <f ca="1">IF($A206="","",VLOOKUP($A206,$A$74:$CY$93,16,FALSE))</f>
        <v>0.1</v>
      </c>
      <c r="K206" s="193">
        <f ca="1">IF(G206="",0,1)</f>
        <v>1</v>
      </c>
      <c r="L206" s="200" t="str">
        <f ca="1">IF(K206=0,"",IF(M206="VENCIDO","-",CONCATENATE(C206,", id. ",B206,", calibrado por ",F206," em ",TEXT(H206,"dd/mm/aaaa"),", certificado n° ",G206,", válido até ",TEXT(I206,"mmmm/aaaa"),".")))</f>
        <v>Termômetro Digital, id. E.TH.LQ-010, calibrado por RBC - CAL 0439 em 15/08/2025, certificado n° E0530/25, válido até agosto/2026.</v>
      </c>
      <c r="M206" s="69" t="str">
        <f ca="1">IF($A206="","",VLOOKUP($A206,$A$74:$CY$93,M$120,FALSE))</f>
        <v>VÁLIDO</v>
      </c>
      <c r="O206" s="41">
        <v>1</v>
      </c>
      <c r="P206" s="41">
        <v>1</v>
      </c>
    </row>
    <row r="207" spans="1:30" x14ac:dyDescent="0.3">
      <c r="A207" s="201">
        <f ca="1">VLOOKUP(CONCATENATE(O207,".9"),'Resultados - 1'!$A$10:$BL$156,64,FALSE)</f>
        <v>97</v>
      </c>
      <c r="B207" s="69" t="str">
        <f t="shared" ref="B207:I238" ca="1" si="93">IF($A207="","",VLOOKUP($A207,$A$74:$CY$93,B$120,FALSE))</f>
        <v>E.TH.LQ-010</v>
      </c>
      <c r="C207" s="69" t="str">
        <f t="shared" ca="1" si="92"/>
        <v>Termômetro Digital</v>
      </c>
      <c r="D207" s="69" t="str">
        <f t="shared" ca="1" si="92"/>
        <v>E.TH.LQ-010</v>
      </c>
      <c r="E207" s="69" t="str">
        <f t="shared" ca="1" si="92"/>
        <v>Elus</v>
      </c>
      <c r="F207" s="69" t="str">
        <f t="shared" ca="1" si="92"/>
        <v>RBC - CAL 0439</v>
      </c>
      <c r="G207" s="69" t="str">
        <f t="shared" ca="1" si="92"/>
        <v>E0530/25</v>
      </c>
      <c r="H207" s="202">
        <f t="shared" ca="1" si="92"/>
        <v>45884</v>
      </c>
      <c r="I207" s="203">
        <f t="shared" ca="1" si="92"/>
        <v>46265</v>
      </c>
      <c r="J207" s="69">
        <f t="shared" ref="J207:J270" ca="1" si="94">IF($A207="","",VLOOKUP($A207,$A$74:$CY$93,16,FALSE))</f>
        <v>0.1</v>
      </c>
      <c r="K207" s="193">
        <f ca="1">IF(G207="",0,IF(COUNTIF(G$206:$G206,G207)&gt;0,0,MAX(K$206:$K206)+1))</f>
        <v>0</v>
      </c>
      <c r="L207" s="200" t="str">
        <f t="shared" ref="L207:L270" ca="1" si="95">IF(K207=0,"",IF(M207="VENCIDO","-",CONCATENATE(C207,", id. ",B207,", calibrado por ",F207," em ",TEXT(H207,"dd/mm/aaaa"),", certificado n° ",G207,", válido até ",TEXT(I207,"mmmm/aaaa"),".")))</f>
        <v/>
      </c>
      <c r="M207" s="69" t="str">
        <f t="shared" ref="M207:M270" ca="1" si="96">IF($A207="","",VLOOKUP($A207,$A$74:$CY$93,M$120,FALSE))</f>
        <v>VÁLIDO</v>
      </c>
      <c r="O207" s="41">
        <f>O206+1</f>
        <v>2</v>
      </c>
      <c r="P207" s="41">
        <f t="shared" ref="P207:P212" si="97">P206</f>
        <v>1</v>
      </c>
    </row>
    <row r="208" spans="1:30" x14ac:dyDescent="0.3">
      <c r="A208" s="201">
        <f ca="1">VLOOKUP(CONCATENATE(O208,".9"),'Resultados - 1'!$A$10:$BL$156,64,FALSE)</f>
        <v>97</v>
      </c>
      <c r="B208" s="69" t="str">
        <f t="shared" ca="1" si="93"/>
        <v>E.TH.LQ-010</v>
      </c>
      <c r="C208" s="69" t="str">
        <f t="shared" ca="1" si="92"/>
        <v>Termômetro Digital</v>
      </c>
      <c r="D208" s="69" t="str">
        <f t="shared" ca="1" si="92"/>
        <v>E.TH.LQ-010</v>
      </c>
      <c r="E208" s="69" t="str">
        <f t="shared" ca="1" si="92"/>
        <v>Elus</v>
      </c>
      <c r="F208" s="69" t="str">
        <f t="shared" ca="1" si="92"/>
        <v>RBC - CAL 0439</v>
      </c>
      <c r="G208" s="69" t="str">
        <f t="shared" ca="1" si="92"/>
        <v>E0530/25</v>
      </c>
      <c r="H208" s="202">
        <f t="shared" ca="1" si="92"/>
        <v>45884</v>
      </c>
      <c r="I208" s="203">
        <f t="shared" ca="1" si="92"/>
        <v>46265</v>
      </c>
      <c r="J208" s="69">
        <f t="shared" ca="1" si="94"/>
        <v>0.1</v>
      </c>
      <c r="K208" s="193">
        <f ca="1">IF(G208="",0,IF(COUNTIF(G$206:$G207,G208)&gt;0,0,MAX(K$206:$K207)+1))</f>
        <v>0</v>
      </c>
      <c r="L208" s="200" t="str">
        <f t="shared" ca="1" si="95"/>
        <v/>
      </c>
      <c r="M208" s="69" t="str">
        <f t="shared" ca="1" si="96"/>
        <v>VÁLIDO</v>
      </c>
      <c r="O208" s="41">
        <f t="shared" ref="O208:O212" si="98">O207+1</f>
        <v>3</v>
      </c>
      <c r="P208" s="41">
        <f t="shared" si="97"/>
        <v>1</v>
      </c>
    </row>
    <row r="209" spans="1:16" x14ac:dyDescent="0.3">
      <c r="A209" s="201" t="str">
        <f>VLOOKUP(CONCATENATE(O209,".9"),'Resultados - 1'!$A$10:$BL$156,64,FALSE)</f>
        <v/>
      </c>
      <c r="B209" s="69" t="str">
        <f t="shared" si="93"/>
        <v/>
      </c>
      <c r="C209" s="69" t="str">
        <f t="shared" si="92"/>
        <v/>
      </c>
      <c r="D209" s="69" t="str">
        <f t="shared" si="92"/>
        <v/>
      </c>
      <c r="E209" s="69" t="str">
        <f t="shared" si="92"/>
        <v/>
      </c>
      <c r="F209" s="69" t="str">
        <f t="shared" si="92"/>
        <v/>
      </c>
      <c r="G209" s="69" t="str">
        <f t="shared" si="92"/>
        <v/>
      </c>
      <c r="H209" s="202" t="str">
        <f t="shared" si="92"/>
        <v/>
      </c>
      <c r="I209" s="203" t="str">
        <f t="shared" si="92"/>
        <v/>
      </c>
      <c r="J209" s="69" t="str">
        <f t="shared" si="94"/>
        <v/>
      </c>
      <c r="K209" s="193">
        <f>IF(G209="",0,IF(COUNTIF(G$206:$G208,G209)&gt;0,0,MAX(K$206:$K208)+1))</f>
        <v>0</v>
      </c>
      <c r="L209" s="200" t="str">
        <f t="shared" si="95"/>
        <v/>
      </c>
      <c r="M209" s="69" t="str">
        <f t="shared" si="96"/>
        <v/>
      </c>
      <c r="O209" s="41">
        <f t="shared" si="98"/>
        <v>4</v>
      </c>
      <c r="P209" s="41">
        <f t="shared" si="97"/>
        <v>1</v>
      </c>
    </row>
    <row r="210" spans="1:16" x14ac:dyDescent="0.3">
      <c r="A210" s="201" t="str">
        <f>VLOOKUP(CONCATENATE(O210,".9"),'Resultados - 1'!$A$10:$BL$156,64,FALSE)</f>
        <v/>
      </c>
      <c r="B210" s="69" t="str">
        <f t="shared" si="93"/>
        <v/>
      </c>
      <c r="C210" s="69" t="str">
        <f t="shared" si="92"/>
        <v/>
      </c>
      <c r="D210" s="69" t="str">
        <f t="shared" si="92"/>
        <v/>
      </c>
      <c r="E210" s="69" t="str">
        <f t="shared" si="92"/>
        <v/>
      </c>
      <c r="F210" s="69" t="str">
        <f t="shared" si="92"/>
        <v/>
      </c>
      <c r="G210" s="69" t="str">
        <f t="shared" si="92"/>
        <v/>
      </c>
      <c r="H210" s="202" t="str">
        <f t="shared" si="92"/>
        <v/>
      </c>
      <c r="I210" s="203" t="str">
        <f t="shared" si="92"/>
        <v/>
      </c>
      <c r="J210" s="69" t="str">
        <f t="shared" si="94"/>
        <v/>
      </c>
      <c r="K210" s="193">
        <f>IF(G210="",0,IF(COUNTIF(G$206:$G209,G210)&gt;0,0,MAX(K$206:$K209)+1))</f>
        <v>0</v>
      </c>
      <c r="L210" s="200" t="str">
        <f t="shared" si="95"/>
        <v/>
      </c>
      <c r="M210" s="69" t="str">
        <f t="shared" si="96"/>
        <v/>
      </c>
      <c r="O210" s="41">
        <f t="shared" si="98"/>
        <v>5</v>
      </c>
      <c r="P210" s="41">
        <f t="shared" si="97"/>
        <v>1</v>
      </c>
    </row>
    <row r="211" spans="1:16" x14ac:dyDescent="0.3">
      <c r="A211" s="201" t="str">
        <f>VLOOKUP(CONCATENATE(O211,".9"),'Resultados - 1'!$A$10:$BL$156,64,FALSE)</f>
        <v/>
      </c>
      <c r="B211" s="69" t="str">
        <f t="shared" si="93"/>
        <v/>
      </c>
      <c r="C211" s="69" t="str">
        <f t="shared" si="92"/>
        <v/>
      </c>
      <c r="D211" s="69" t="str">
        <f t="shared" si="92"/>
        <v/>
      </c>
      <c r="E211" s="69" t="str">
        <f t="shared" si="92"/>
        <v/>
      </c>
      <c r="F211" s="69" t="str">
        <f t="shared" si="92"/>
        <v/>
      </c>
      <c r="G211" s="69" t="str">
        <f t="shared" si="92"/>
        <v/>
      </c>
      <c r="H211" s="202" t="str">
        <f t="shared" si="92"/>
        <v/>
      </c>
      <c r="I211" s="203" t="str">
        <f t="shared" si="92"/>
        <v/>
      </c>
      <c r="J211" s="69" t="str">
        <f t="shared" si="94"/>
        <v/>
      </c>
      <c r="K211" s="193">
        <f>IF(G211="",0,IF(COUNTIF(G$206:$G210,G211)&gt;0,0,MAX(K$206:$K210)+1))</f>
        <v>0</v>
      </c>
      <c r="L211" s="200" t="str">
        <f t="shared" si="95"/>
        <v/>
      </c>
      <c r="M211" s="69" t="str">
        <f t="shared" si="96"/>
        <v/>
      </c>
      <c r="O211" s="41">
        <f t="shared" si="98"/>
        <v>6</v>
      </c>
      <c r="P211" s="41">
        <f t="shared" si="97"/>
        <v>1</v>
      </c>
    </row>
    <row r="212" spans="1:16" x14ac:dyDescent="0.3">
      <c r="A212" s="201" t="str">
        <f>VLOOKUP(CONCATENATE(O212,".9"),'Resultados - 1'!$A$10:$BL$156,64,FALSE)</f>
        <v/>
      </c>
      <c r="B212" s="69" t="str">
        <f t="shared" si="93"/>
        <v/>
      </c>
      <c r="C212" s="69" t="str">
        <f t="shared" si="92"/>
        <v/>
      </c>
      <c r="D212" s="69" t="str">
        <f t="shared" si="92"/>
        <v/>
      </c>
      <c r="E212" s="69" t="str">
        <f t="shared" si="92"/>
        <v/>
      </c>
      <c r="F212" s="69" t="str">
        <f t="shared" si="92"/>
        <v/>
      </c>
      <c r="G212" s="69" t="str">
        <f t="shared" si="92"/>
        <v/>
      </c>
      <c r="H212" s="202" t="str">
        <f t="shared" si="92"/>
        <v/>
      </c>
      <c r="I212" s="203" t="str">
        <f t="shared" si="92"/>
        <v/>
      </c>
      <c r="J212" s="69" t="str">
        <f t="shared" si="94"/>
        <v/>
      </c>
      <c r="K212" s="193">
        <f>IF(G212="",0,IF(COUNTIF(G$206:$G211,G212)&gt;0,0,MAX(K$206:$K211)+1))</f>
        <v>0</v>
      </c>
      <c r="L212" s="200" t="str">
        <f t="shared" si="95"/>
        <v/>
      </c>
      <c r="M212" s="69" t="str">
        <f t="shared" si="96"/>
        <v/>
      </c>
      <c r="O212" s="41">
        <f t="shared" si="98"/>
        <v>7</v>
      </c>
      <c r="P212" s="41">
        <f t="shared" si="97"/>
        <v>1</v>
      </c>
    </row>
    <row r="213" spans="1:16" x14ac:dyDescent="0.3">
      <c r="A213" s="204" t="str">
        <f>VLOOKUP(CONCATENATE(O213,".9"),'Resultados - 2'!$A$10:$BL$156,64,FALSE)</f>
        <v/>
      </c>
      <c r="B213" s="69" t="str">
        <f t="shared" si="93"/>
        <v/>
      </c>
      <c r="C213" s="69" t="str">
        <f t="shared" si="92"/>
        <v/>
      </c>
      <c r="D213" s="69" t="str">
        <f t="shared" si="92"/>
        <v/>
      </c>
      <c r="E213" s="69" t="str">
        <f t="shared" si="92"/>
        <v/>
      </c>
      <c r="F213" s="69" t="str">
        <f t="shared" si="92"/>
        <v/>
      </c>
      <c r="G213" s="69" t="str">
        <f t="shared" si="92"/>
        <v/>
      </c>
      <c r="H213" s="202" t="str">
        <f t="shared" si="92"/>
        <v/>
      </c>
      <c r="I213" s="203" t="str">
        <f t="shared" si="92"/>
        <v/>
      </c>
      <c r="J213" s="69" t="str">
        <f t="shared" si="94"/>
        <v/>
      </c>
      <c r="K213" s="193">
        <f>IF(G213="",0,IF(COUNTIF(G$206:$G212,G213)&gt;0,0,MAX(K$206:$K212)+1))</f>
        <v>0</v>
      </c>
      <c r="L213" s="200" t="str">
        <f t="shared" si="95"/>
        <v/>
      </c>
      <c r="M213" s="69" t="str">
        <f t="shared" si="96"/>
        <v/>
      </c>
      <c r="O213" s="41">
        <f>O206</f>
        <v>1</v>
      </c>
      <c r="P213" s="41">
        <f>P206+1</f>
        <v>2</v>
      </c>
    </row>
    <row r="214" spans="1:16" x14ac:dyDescent="0.3">
      <c r="A214" s="204" t="str">
        <f>VLOOKUP(CONCATENATE(O214,".9"),'Resultados - 2'!$A$10:$BL$156,64,FALSE)</f>
        <v/>
      </c>
      <c r="B214" s="69" t="str">
        <f t="shared" si="93"/>
        <v/>
      </c>
      <c r="C214" s="69" t="str">
        <f t="shared" si="92"/>
        <v/>
      </c>
      <c r="D214" s="69" t="str">
        <f t="shared" si="92"/>
        <v/>
      </c>
      <c r="E214" s="69" t="str">
        <f t="shared" si="92"/>
        <v/>
      </c>
      <c r="F214" s="69" t="str">
        <f t="shared" si="92"/>
        <v/>
      </c>
      <c r="G214" s="69" t="str">
        <f t="shared" si="92"/>
        <v/>
      </c>
      <c r="H214" s="202" t="str">
        <f t="shared" si="92"/>
        <v/>
      </c>
      <c r="I214" s="203" t="str">
        <f t="shared" si="92"/>
        <v/>
      </c>
      <c r="J214" s="69" t="str">
        <f t="shared" si="94"/>
        <v/>
      </c>
      <c r="K214" s="193">
        <f>IF(G214="",0,IF(COUNTIF(G$206:$G213,G214)&gt;0,0,MAX(K$206:$K213)+1))</f>
        <v>0</v>
      </c>
      <c r="L214" s="200" t="str">
        <f t="shared" si="95"/>
        <v/>
      </c>
      <c r="M214" s="69" t="str">
        <f t="shared" si="96"/>
        <v/>
      </c>
      <c r="O214" s="41">
        <f t="shared" ref="O214:O219" si="99">O213+1</f>
        <v>2</v>
      </c>
      <c r="P214" s="41">
        <f t="shared" ref="P214:P277" si="100">P207+1</f>
        <v>2</v>
      </c>
    </row>
    <row r="215" spans="1:16" x14ac:dyDescent="0.3">
      <c r="A215" s="204" t="str">
        <f>VLOOKUP(CONCATENATE(O215,".9"),'Resultados - 2'!$A$10:$BL$156,64,FALSE)</f>
        <v/>
      </c>
      <c r="B215" s="69" t="str">
        <f t="shared" si="93"/>
        <v/>
      </c>
      <c r="C215" s="69" t="str">
        <f t="shared" si="92"/>
        <v/>
      </c>
      <c r="D215" s="69" t="str">
        <f t="shared" si="92"/>
        <v/>
      </c>
      <c r="E215" s="69" t="str">
        <f t="shared" si="92"/>
        <v/>
      </c>
      <c r="F215" s="69" t="str">
        <f t="shared" si="92"/>
        <v/>
      </c>
      <c r="G215" s="69" t="str">
        <f t="shared" si="92"/>
        <v/>
      </c>
      <c r="H215" s="202" t="str">
        <f t="shared" si="92"/>
        <v/>
      </c>
      <c r="I215" s="203" t="str">
        <f t="shared" si="92"/>
        <v/>
      </c>
      <c r="J215" s="69" t="str">
        <f t="shared" si="94"/>
        <v/>
      </c>
      <c r="K215" s="193">
        <f>IF(G215="",0,IF(COUNTIF(G$206:$G214,G215)&gt;0,0,MAX(K$206:$K214)+1))</f>
        <v>0</v>
      </c>
      <c r="L215" s="200" t="str">
        <f t="shared" si="95"/>
        <v/>
      </c>
      <c r="M215" s="69" t="str">
        <f t="shared" si="96"/>
        <v/>
      </c>
      <c r="O215" s="41">
        <f t="shared" si="99"/>
        <v>3</v>
      </c>
      <c r="P215" s="41">
        <f t="shared" si="100"/>
        <v>2</v>
      </c>
    </row>
    <row r="216" spans="1:16" x14ac:dyDescent="0.3">
      <c r="A216" s="204" t="str">
        <f>VLOOKUP(CONCATENATE(O216,".9"),'Resultados - 2'!$A$10:$BL$156,64,FALSE)</f>
        <v/>
      </c>
      <c r="B216" s="69" t="str">
        <f t="shared" si="93"/>
        <v/>
      </c>
      <c r="C216" s="69" t="str">
        <f t="shared" si="92"/>
        <v/>
      </c>
      <c r="D216" s="69" t="str">
        <f t="shared" si="92"/>
        <v/>
      </c>
      <c r="E216" s="69" t="str">
        <f t="shared" si="92"/>
        <v/>
      </c>
      <c r="F216" s="69" t="str">
        <f t="shared" si="92"/>
        <v/>
      </c>
      <c r="G216" s="69" t="str">
        <f t="shared" si="92"/>
        <v/>
      </c>
      <c r="H216" s="202" t="str">
        <f t="shared" si="92"/>
        <v/>
      </c>
      <c r="I216" s="203" t="str">
        <f t="shared" si="92"/>
        <v/>
      </c>
      <c r="J216" s="69" t="str">
        <f t="shared" si="94"/>
        <v/>
      </c>
      <c r="K216" s="193">
        <f>IF(G216="",0,IF(COUNTIF(G$206:$G215,G216)&gt;0,0,MAX(K$206:$K215)+1))</f>
        <v>0</v>
      </c>
      <c r="L216" s="200" t="str">
        <f t="shared" si="95"/>
        <v/>
      </c>
      <c r="M216" s="69" t="str">
        <f t="shared" si="96"/>
        <v/>
      </c>
      <c r="O216" s="41">
        <f t="shared" si="99"/>
        <v>4</v>
      </c>
      <c r="P216" s="41">
        <f t="shared" si="100"/>
        <v>2</v>
      </c>
    </row>
    <row r="217" spans="1:16" x14ac:dyDescent="0.3">
      <c r="A217" s="204" t="str">
        <f>VLOOKUP(CONCATENATE(O217,".9"),'Resultados - 2'!$A$10:$BL$156,64,FALSE)</f>
        <v/>
      </c>
      <c r="B217" s="69" t="str">
        <f t="shared" si="93"/>
        <v/>
      </c>
      <c r="C217" s="69" t="str">
        <f t="shared" si="92"/>
        <v/>
      </c>
      <c r="D217" s="69" t="str">
        <f t="shared" si="92"/>
        <v/>
      </c>
      <c r="E217" s="69" t="str">
        <f t="shared" si="92"/>
        <v/>
      </c>
      <c r="F217" s="69" t="str">
        <f t="shared" si="92"/>
        <v/>
      </c>
      <c r="G217" s="69" t="str">
        <f t="shared" si="92"/>
        <v/>
      </c>
      <c r="H217" s="202" t="str">
        <f t="shared" si="92"/>
        <v/>
      </c>
      <c r="I217" s="203" t="str">
        <f t="shared" si="92"/>
        <v/>
      </c>
      <c r="J217" s="69" t="str">
        <f t="shared" si="94"/>
        <v/>
      </c>
      <c r="K217" s="193">
        <f>IF(G217="",0,IF(COUNTIF(G$206:$G216,G217)&gt;0,0,MAX(K$206:$K216)+1))</f>
        <v>0</v>
      </c>
      <c r="L217" s="200" t="str">
        <f t="shared" si="95"/>
        <v/>
      </c>
      <c r="M217" s="69" t="str">
        <f t="shared" si="96"/>
        <v/>
      </c>
      <c r="O217" s="41">
        <f t="shared" si="99"/>
        <v>5</v>
      </c>
      <c r="P217" s="41">
        <f t="shared" si="100"/>
        <v>2</v>
      </c>
    </row>
    <row r="218" spans="1:16" x14ac:dyDescent="0.3">
      <c r="A218" s="204" t="str">
        <f>VLOOKUP(CONCATENATE(O218,".9"),'Resultados - 2'!$A$10:$BL$156,64,FALSE)</f>
        <v/>
      </c>
      <c r="B218" s="69" t="str">
        <f t="shared" si="93"/>
        <v/>
      </c>
      <c r="C218" s="69" t="str">
        <f t="shared" si="92"/>
        <v/>
      </c>
      <c r="D218" s="69" t="str">
        <f t="shared" si="92"/>
        <v/>
      </c>
      <c r="E218" s="69" t="str">
        <f t="shared" si="92"/>
        <v/>
      </c>
      <c r="F218" s="69" t="str">
        <f t="shared" si="92"/>
        <v/>
      </c>
      <c r="G218" s="69" t="str">
        <f t="shared" si="92"/>
        <v/>
      </c>
      <c r="H218" s="202" t="str">
        <f t="shared" si="92"/>
        <v/>
      </c>
      <c r="I218" s="203" t="str">
        <f t="shared" si="92"/>
        <v/>
      </c>
      <c r="J218" s="69" t="str">
        <f t="shared" si="94"/>
        <v/>
      </c>
      <c r="K218" s="193">
        <f>IF(G218="",0,IF(COUNTIF(G$206:$G217,G218)&gt;0,0,MAX(K$206:$K217)+1))</f>
        <v>0</v>
      </c>
      <c r="L218" s="200" t="str">
        <f t="shared" si="95"/>
        <v/>
      </c>
      <c r="M218" s="69" t="str">
        <f t="shared" si="96"/>
        <v/>
      </c>
      <c r="O218" s="41">
        <f t="shared" si="99"/>
        <v>6</v>
      </c>
      <c r="P218" s="41">
        <f t="shared" si="100"/>
        <v>2</v>
      </c>
    </row>
    <row r="219" spans="1:16" x14ac:dyDescent="0.3">
      <c r="A219" s="204" t="str">
        <f>VLOOKUP(CONCATENATE(O219,".9"),'Resultados - 2'!$A$10:$BL$156,64,FALSE)</f>
        <v/>
      </c>
      <c r="B219" s="69" t="str">
        <f t="shared" si="93"/>
        <v/>
      </c>
      <c r="C219" s="69" t="str">
        <f t="shared" si="92"/>
        <v/>
      </c>
      <c r="D219" s="69" t="str">
        <f t="shared" si="92"/>
        <v/>
      </c>
      <c r="E219" s="69" t="str">
        <f t="shared" si="92"/>
        <v/>
      </c>
      <c r="F219" s="69" t="str">
        <f t="shared" si="92"/>
        <v/>
      </c>
      <c r="G219" s="69" t="str">
        <f t="shared" si="92"/>
        <v/>
      </c>
      <c r="H219" s="202" t="str">
        <f t="shared" si="92"/>
        <v/>
      </c>
      <c r="I219" s="203" t="str">
        <f t="shared" si="92"/>
        <v/>
      </c>
      <c r="J219" s="69" t="str">
        <f t="shared" si="94"/>
        <v/>
      </c>
      <c r="K219" s="193">
        <f>IF(G219="",0,IF(COUNTIF(G$206:$G218,G219)&gt;0,0,MAX(K$206:$K218)+1))</f>
        <v>0</v>
      </c>
      <c r="L219" s="200" t="str">
        <f t="shared" si="95"/>
        <v/>
      </c>
      <c r="M219" s="69" t="str">
        <f t="shared" si="96"/>
        <v/>
      </c>
      <c r="O219" s="41">
        <f t="shared" si="99"/>
        <v>7</v>
      </c>
      <c r="P219" s="41">
        <f t="shared" si="100"/>
        <v>2</v>
      </c>
    </row>
    <row r="220" spans="1:16" x14ac:dyDescent="0.3">
      <c r="A220" s="201" t="str">
        <f>VLOOKUP(CONCATENATE(O220,".9"),'Resultados - 3'!$A$10:$BL$156,64,FALSE)</f>
        <v/>
      </c>
      <c r="B220" s="69" t="str">
        <f t="shared" si="93"/>
        <v/>
      </c>
      <c r="C220" s="69" t="str">
        <f t="shared" si="92"/>
        <v/>
      </c>
      <c r="D220" s="69" t="str">
        <f t="shared" si="92"/>
        <v/>
      </c>
      <c r="E220" s="69" t="str">
        <f t="shared" si="92"/>
        <v/>
      </c>
      <c r="F220" s="69" t="str">
        <f t="shared" si="92"/>
        <v/>
      </c>
      <c r="G220" s="69" t="str">
        <f t="shared" si="92"/>
        <v/>
      </c>
      <c r="H220" s="202" t="str">
        <f t="shared" si="92"/>
        <v/>
      </c>
      <c r="I220" s="203" t="str">
        <f t="shared" si="92"/>
        <v/>
      </c>
      <c r="J220" s="69" t="str">
        <f t="shared" si="94"/>
        <v/>
      </c>
      <c r="K220" s="193">
        <f>IF(G220="",0,IF(COUNTIF(G$206:$G219,G220)&gt;0,0,MAX(K$206:$K219)+1))</f>
        <v>0</v>
      </c>
      <c r="L220" s="200" t="str">
        <f t="shared" si="95"/>
        <v/>
      </c>
      <c r="M220" s="69" t="str">
        <f t="shared" si="96"/>
        <v/>
      </c>
      <c r="O220" s="41">
        <f>O213</f>
        <v>1</v>
      </c>
      <c r="P220" s="41">
        <f t="shared" si="100"/>
        <v>3</v>
      </c>
    </row>
    <row r="221" spans="1:16" x14ac:dyDescent="0.3">
      <c r="A221" s="201" t="str">
        <f>VLOOKUP(CONCATENATE(O221,".9"),'Resultados - 3'!$A$10:$BL$156,64,FALSE)</f>
        <v/>
      </c>
      <c r="B221" s="69" t="str">
        <f t="shared" si="93"/>
        <v/>
      </c>
      <c r="C221" s="69" t="str">
        <f t="shared" si="92"/>
        <v/>
      </c>
      <c r="D221" s="69" t="str">
        <f t="shared" si="92"/>
        <v/>
      </c>
      <c r="E221" s="69" t="str">
        <f t="shared" si="92"/>
        <v/>
      </c>
      <c r="F221" s="69" t="str">
        <f t="shared" si="92"/>
        <v/>
      </c>
      <c r="G221" s="69" t="str">
        <f t="shared" si="92"/>
        <v/>
      </c>
      <c r="H221" s="202" t="str">
        <f t="shared" si="92"/>
        <v/>
      </c>
      <c r="I221" s="203" t="str">
        <f t="shared" si="92"/>
        <v/>
      </c>
      <c r="J221" s="69" t="str">
        <f t="shared" si="94"/>
        <v/>
      </c>
      <c r="K221" s="193">
        <f>IF(G221="",0,IF(COUNTIF(G$206:$G220,G221)&gt;0,0,MAX(K$206:$K220)+1))</f>
        <v>0</v>
      </c>
      <c r="L221" s="200" t="str">
        <f t="shared" si="95"/>
        <v/>
      </c>
      <c r="M221" s="69" t="str">
        <f t="shared" si="96"/>
        <v/>
      </c>
      <c r="O221" s="41">
        <f t="shared" ref="O221:O226" si="101">O220+1</f>
        <v>2</v>
      </c>
      <c r="P221" s="41">
        <f t="shared" si="100"/>
        <v>3</v>
      </c>
    </row>
    <row r="222" spans="1:16" x14ac:dyDescent="0.3">
      <c r="A222" s="201" t="str">
        <f>VLOOKUP(CONCATENATE(O222,".9"),'Resultados - 3'!$A$10:$BL$156,64,FALSE)</f>
        <v/>
      </c>
      <c r="B222" s="69" t="str">
        <f t="shared" si="93"/>
        <v/>
      </c>
      <c r="C222" s="69" t="str">
        <f t="shared" si="93"/>
        <v/>
      </c>
      <c r="D222" s="69" t="str">
        <f t="shared" si="93"/>
        <v/>
      </c>
      <c r="E222" s="69" t="str">
        <f t="shared" si="93"/>
        <v/>
      </c>
      <c r="F222" s="69" t="str">
        <f t="shared" si="93"/>
        <v/>
      </c>
      <c r="G222" s="69" t="str">
        <f t="shared" si="93"/>
        <v/>
      </c>
      <c r="H222" s="202" t="str">
        <f t="shared" si="93"/>
        <v/>
      </c>
      <c r="I222" s="203" t="str">
        <f t="shared" si="93"/>
        <v/>
      </c>
      <c r="J222" s="69" t="str">
        <f t="shared" si="94"/>
        <v/>
      </c>
      <c r="K222" s="193">
        <f>IF(G222="",0,IF(COUNTIF(G$206:$G221,G222)&gt;0,0,MAX(K$206:$K221)+1))</f>
        <v>0</v>
      </c>
      <c r="L222" s="200" t="str">
        <f t="shared" si="95"/>
        <v/>
      </c>
      <c r="M222" s="69" t="str">
        <f t="shared" si="96"/>
        <v/>
      </c>
      <c r="O222" s="41">
        <f t="shared" si="101"/>
        <v>3</v>
      </c>
      <c r="P222" s="41">
        <f t="shared" si="100"/>
        <v>3</v>
      </c>
    </row>
    <row r="223" spans="1:16" x14ac:dyDescent="0.3">
      <c r="A223" s="201" t="str">
        <f>VLOOKUP(CONCATENATE(O223,".9"),'Resultados - 3'!$A$10:$BL$156,64,FALSE)</f>
        <v/>
      </c>
      <c r="B223" s="69" t="str">
        <f t="shared" si="93"/>
        <v/>
      </c>
      <c r="C223" s="69" t="str">
        <f t="shared" si="93"/>
        <v/>
      </c>
      <c r="D223" s="69" t="str">
        <f t="shared" si="93"/>
        <v/>
      </c>
      <c r="E223" s="69" t="str">
        <f t="shared" si="93"/>
        <v/>
      </c>
      <c r="F223" s="69" t="str">
        <f t="shared" si="93"/>
        <v/>
      </c>
      <c r="G223" s="69" t="str">
        <f t="shared" si="93"/>
        <v/>
      </c>
      <c r="H223" s="202" t="str">
        <f t="shared" si="93"/>
        <v/>
      </c>
      <c r="I223" s="203" t="str">
        <f t="shared" si="93"/>
        <v/>
      </c>
      <c r="J223" s="69" t="str">
        <f t="shared" si="94"/>
        <v/>
      </c>
      <c r="K223" s="193">
        <f>IF(G223="",0,IF(COUNTIF(G$206:$G222,G223)&gt;0,0,MAX(K$206:$K222)+1))</f>
        <v>0</v>
      </c>
      <c r="L223" s="200" t="str">
        <f t="shared" si="95"/>
        <v/>
      </c>
      <c r="M223" s="69" t="str">
        <f t="shared" si="96"/>
        <v/>
      </c>
      <c r="O223" s="41">
        <f t="shared" si="101"/>
        <v>4</v>
      </c>
      <c r="P223" s="41">
        <f t="shared" si="100"/>
        <v>3</v>
      </c>
    </row>
    <row r="224" spans="1:16" x14ac:dyDescent="0.3">
      <c r="A224" s="201" t="str">
        <f>VLOOKUP(CONCATENATE(O224,".9"),'Resultados - 3'!$A$10:$BL$156,64,FALSE)</f>
        <v/>
      </c>
      <c r="B224" s="69" t="str">
        <f t="shared" si="93"/>
        <v/>
      </c>
      <c r="C224" s="69" t="str">
        <f t="shared" si="93"/>
        <v/>
      </c>
      <c r="D224" s="69" t="str">
        <f t="shared" si="93"/>
        <v/>
      </c>
      <c r="E224" s="69" t="str">
        <f t="shared" si="93"/>
        <v/>
      </c>
      <c r="F224" s="69" t="str">
        <f t="shared" si="93"/>
        <v/>
      </c>
      <c r="G224" s="69" t="str">
        <f t="shared" si="93"/>
        <v/>
      </c>
      <c r="H224" s="202" t="str">
        <f t="shared" si="93"/>
        <v/>
      </c>
      <c r="I224" s="203" t="str">
        <f t="shared" si="93"/>
        <v/>
      </c>
      <c r="J224" s="69" t="str">
        <f t="shared" si="94"/>
        <v/>
      </c>
      <c r="K224" s="193">
        <f>IF(G224="",0,IF(COUNTIF(G$206:$G223,G224)&gt;0,0,MAX(K$206:$K223)+1))</f>
        <v>0</v>
      </c>
      <c r="L224" s="200" t="str">
        <f t="shared" si="95"/>
        <v/>
      </c>
      <c r="M224" s="69" t="str">
        <f t="shared" si="96"/>
        <v/>
      </c>
      <c r="O224" s="41">
        <f t="shared" si="101"/>
        <v>5</v>
      </c>
      <c r="P224" s="41">
        <f t="shared" si="100"/>
        <v>3</v>
      </c>
    </row>
    <row r="225" spans="1:16" x14ac:dyDescent="0.3">
      <c r="A225" s="201" t="str">
        <f>VLOOKUP(CONCATENATE(O225,".9"),'Resultados - 3'!$A$10:$BL$156,64,FALSE)</f>
        <v/>
      </c>
      <c r="B225" s="69" t="str">
        <f t="shared" si="93"/>
        <v/>
      </c>
      <c r="C225" s="69" t="str">
        <f t="shared" si="93"/>
        <v/>
      </c>
      <c r="D225" s="69" t="str">
        <f t="shared" si="93"/>
        <v/>
      </c>
      <c r="E225" s="69" t="str">
        <f t="shared" si="93"/>
        <v/>
      </c>
      <c r="F225" s="69" t="str">
        <f t="shared" si="93"/>
        <v/>
      </c>
      <c r="G225" s="69" t="str">
        <f t="shared" si="93"/>
        <v/>
      </c>
      <c r="H225" s="202" t="str">
        <f t="shared" si="93"/>
        <v/>
      </c>
      <c r="I225" s="203" t="str">
        <f t="shared" si="93"/>
        <v/>
      </c>
      <c r="J225" s="69" t="str">
        <f t="shared" si="94"/>
        <v/>
      </c>
      <c r="K225" s="193">
        <f>IF(G225="",0,IF(COUNTIF(G$206:$G224,G225)&gt;0,0,MAX(K$206:$K224)+1))</f>
        <v>0</v>
      </c>
      <c r="L225" s="200" t="str">
        <f t="shared" si="95"/>
        <v/>
      </c>
      <c r="M225" s="69" t="str">
        <f t="shared" si="96"/>
        <v/>
      </c>
      <c r="O225" s="41">
        <f t="shared" si="101"/>
        <v>6</v>
      </c>
      <c r="P225" s="41">
        <f t="shared" si="100"/>
        <v>3</v>
      </c>
    </row>
    <row r="226" spans="1:16" x14ac:dyDescent="0.3">
      <c r="A226" s="201" t="str">
        <f>VLOOKUP(CONCATENATE(O226,".9"),'Resultados - 3'!$A$10:$BL$156,64,FALSE)</f>
        <v/>
      </c>
      <c r="B226" s="69" t="str">
        <f t="shared" si="93"/>
        <v/>
      </c>
      <c r="C226" s="69" t="str">
        <f t="shared" si="93"/>
        <v/>
      </c>
      <c r="D226" s="69" t="str">
        <f t="shared" si="93"/>
        <v/>
      </c>
      <c r="E226" s="69" t="str">
        <f t="shared" si="93"/>
        <v/>
      </c>
      <c r="F226" s="69" t="str">
        <f t="shared" si="93"/>
        <v/>
      </c>
      <c r="G226" s="69" t="str">
        <f t="shared" si="93"/>
        <v/>
      </c>
      <c r="H226" s="202" t="str">
        <f t="shared" si="93"/>
        <v/>
      </c>
      <c r="I226" s="203" t="str">
        <f t="shared" si="93"/>
        <v/>
      </c>
      <c r="J226" s="69" t="str">
        <f t="shared" si="94"/>
        <v/>
      </c>
      <c r="K226" s="193">
        <f>IF(G226="",0,IF(COUNTIF(G$206:$G225,G226)&gt;0,0,MAX(K$206:$K225)+1))</f>
        <v>0</v>
      </c>
      <c r="L226" s="200" t="str">
        <f t="shared" si="95"/>
        <v/>
      </c>
      <c r="M226" s="69" t="str">
        <f t="shared" si="96"/>
        <v/>
      </c>
      <c r="O226" s="41">
        <f t="shared" si="101"/>
        <v>7</v>
      </c>
      <c r="P226" s="41">
        <f t="shared" si="100"/>
        <v>3</v>
      </c>
    </row>
    <row r="227" spans="1:16" x14ac:dyDescent="0.3">
      <c r="A227" s="204" t="str">
        <f>VLOOKUP(CONCATENATE(O227,".9"),'Resultados - 4'!$A$10:$BL$156,64,FALSE)</f>
        <v/>
      </c>
      <c r="B227" s="69" t="str">
        <f t="shared" si="93"/>
        <v/>
      </c>
      <c r="C227" s="69" t="str">
        <f t="shared" si="93"/>
        <v/>
      </c>
      <c r="D227" s="69" t="str">
        <f t="shared" si="93"/>
        <v/>
      </c>
      <c r="E227" s="69" t="str">
        <f t="shared" si="93"/>
        <v/>
      </c>
      <c r="F227" s="69" t="str">
        <f t="shared" si="93"/>
        <v/>
      </c>
      <c r="G227" s="69" t="str">
        <f t="shared" si="93"/>
        <v/>
      </c>
      <c r="H227" s="202" t="str">
        <f t="shared" si="93"/>
        <v/>
      </c>
      <c r="I227" s="203" t="str">
        <f t="shared" si="93"/>
        <v/>
      </c>
      <c r="J227" s="69" t="str">
        <f t="shared" si="94"/>
        <v/>
      </c>
      <c r="K227" s="193">
        <f>IF(G227="",0,IF(COUNTIF(G$206:$G226,G227)&gt;0,0,MAX(K$206:$K226)+1))</f>
        <v>0</v>
      </c>
      <c r="L227" s="200" t="str">
        <f t="shared" si="95"/>
        <v/>
      </c>
      <c r="M227" s="69" t="str">
        <f t="shared" si="96"/>
        <v/>
      </c>
      <c r="O227" s="41">
        <f>O220</f>
        <v>1</v>
      </c>
      <c r="P227" s="41">
        <f t="shared" si="100"/>
        <v>4</v>
      </c>
    </row>
    <row r="228" spans="1:16" x14ac:dyDescent="0.3">
      <c r="A228" s="204" t="str">
        <f>VLOOKUP(CONCATENATE(O228,".9"),'Resultados - 4'!$A$10:$BL$156,64,FALSE)</f>
        <v/>
      </c>
      <c r="B228" s="69" t="str">
        <f t="shared" si="93"/>
        <v/>
      </c>
      <c r="C228" s="69" t="str">
        <f t="shared" si="93"/>
        <v/>
      </c>
      <c r="D228" s="69" t="str">
        <f t="shared" si="93"/>
        <v/>
      </c>
      <c r="E228" s="69" t="str">
        <f t="shared" si="93"/>
        <v/>
      </c>
      <c r="F228" s="69" t="str">
        <f t="shared" si="93"/>
        <v/>
      </c>
      <c r="G228" s="69" t="str">
        <f t="shared" si="93"/>
        <v/>
      </c>
      <c r="H228" s="202" t="str">
        <f t="shared" si="93"/>
        <v/>
      </c>
      <c r="I228" s="203" t="str">
        <f t="shared" si="93"/>
        <v/>
      </c>
      <c r="J228" s="69" t="str">
        <f t="shared" si="94"/>
        <v/>
      </c>
      <c r="K228" s="193">
        <f>IF(G228="",0,IF(COUNTIF(G$206:$G227,G228)&gt;0,0,MAX(K$206:$K227)+1))</f>
        <v>0</v>
      </c>
      <c r="L228" s="200" t="str">
        <f t="shared" si="95"/>
        <v/>
      </c>
      <c r="M228" s="69" t="str">
        <f t="shared" si="96"/>
        <v/>
      </c>
      <c r="O228" s="41">
        <f t="shared" ref="O228:O233" si="102">O227+1</f>
        <v>2</v>
      </c>
      <c r="P228" s="41">
        <f t="shared" si="100"/>
        <v>4</v>
      </c>
    </row>
    <row r="229" spans="1:16" x14ac:dyDescent="0.3">
      <c r="A229" s="204" t="str">
        <f>VLOOKUP(CONCATENATE(O229,".9"),'Resultados - 4'!$A$10:$BL$156,64,FALSE)</f>
        <v/>
      </c>
      <c r="B229" s="69" t="str">
        <f t="shared" si="93"/>
        <v/>
      </c>
      <c r="C229" s="69" t="str">
        <f t="shared" si="93"/>
        <v/>
      </c>
      <c r="D229" s="69" t="str">
        <f t="shared" si="93"/>
        <v/>
      </c>
      <c r="E229" s="69" t="str">
        <f t="shared" si="93"/>
        <v/>
      </c>
      <c r="F229" s="69" t="str">
        <f t="shared" si="93"/>
        <v/>
      </c>
      <c r="G229" s="69" t="str">
        <f t="shared" si="93"/>
        <v/>
      </c>
      <c r="H229" s="202" t="str">
        <f t="shared" si="93"/>
        <v/>
      </c>
      <c r="I229" s="203" t="str">
        <f t="shared" si="93"/>
        <v/>
      </c>
      <c r="J229" s="69" t="str">
        <f t="shared" si="94"/>
        <v/>
      </c>
      <c r="K229" s="193">
        <f>IF(G229="",0,IF(COUNTIF(G$206:$G228,G229)&gt;0,0,MAX(K$206:$K228)+1))</f>
        <v>0</v>
      </c>
      <c r="L229" s="200" t="str">
        <f t="shared" si="95"/>
        <v/>
      </c>
      <c r="M229" s="69" t="str">
        <f t="shared" si="96"/>
        <v/>
      </c>
      <c r="O229" s="41">
        <f t="shared" si="102"/>
        <v>3</v>
      </c>
      <c r="P229" s="41">
        <f t="shared" si="100"/>
        <v>4</v>
      </c>
    </row>
    <row r="230" spans="1:16" x14ac:dyDescent="0.3">
      <c r="A230" s="204" t="str">
        <f>VLOOKUP(CONCATENATE(O230,".9"),'Resultados - 4'!$A$10:$BL$156,64,FALSE)</f>
        <v/>
      </c>
      <c r="B230" s="69" t="str">
        <f t="shared" si="93"/>
        <v/>
      </c>
      <c r="C230" s="69" t="str">
        <f t="shared" si="93"/>
        <v/>
      </c>
      <c r="D230" s="69" t="str">
        <f t="shared" si="93"/>
        <v/>
      </c>
      <c r="E230" s="69" t="str">
        <f t="shared" si="93"/>
        <v/>
      </c>
      <c r="F230" s="69" t="str">
        <f t="shared" si="93"/>
        <v/>
      </c>
      <c r="G230" s="69" t="str">
        <f t="shared" si="93"/>
        <v/>
      </c>
      <c r="H230" s="202" t="str">
        <f t="shared" si="93"/>
        <v/>
      </c>
      <c r="I230" s="203" t="str">
        <f t="shared" si="93"/>
        <v/>
      </c>
      <c r="J230" s="69" t="str">
        <f t="shared" si="94"/>
        <v/>
      </c>
      <c r="K230" s="193">
        <f>IF(G230="",0,IF(COUNTIF(G$206:$G229,G230)&gt;0,0,MAX(K$206:$K229)+1))</f>
        <v>0</v>
      </c>
      <c r="L230" s="200" t="str">
        <f t="shared" si="95"/>
        <v/>
      </c>
      <c r="M230" s="69" t="str">
        <f t="shared" si="96"/>
        <v/>
      </c>
      <c r="O230" s="41">
        <f t="shared" si="102"/>
        <v>4</v>
      </c>
      <c r="P230" s="41">
        <f t="shared" si="100"/>
        <v>4</v>
      </c>
    </row>
    <row r="231" spans="1:16" x14ac:dyDescent="0.3">
      <c r="A231" s="204" t="str">
        <f>VLOOKUP(CONCATENATE(O231,".9"),'Resultados - 4'!$A$10:$BL$156,64,FALSE)</f>
        <v/>
      </c>
      <c r="B231" s="69" t="str">
        <f t="shared" si="93"/>
        <v/>
      </c>
      <c r="C231" s="69" t="str">
        <f t="shared" si="93"/>
        <v/>
      </c>
      <c r="D231" s="69" t="str">
        <f t="shared" si="93"/>
        <v/>
      </c>
      <c r="E231" s="69" t="str">
        <f t="shared" si="93"/>
        <v/>
      </c>
      <c r="F231" s="69" t="str">
        <f t="shared" si="93"/>
        <v/>
      </c>
      <c r="G231" s="69" t="str">
        <f t="shared" si="93"/>
        <v/>
      </c>
      <c r="H231" s="202" t="str">
        <f t="shared" si="93"/>
        <v/>
      </c>
      <c r="I231" s="203" t="str">
        <f t="shared" si="93"/>
        <v/>
      </c>
      <c r="J231" s="69" t="str">
        <f t="shared" si="94"/>
        <v/>
      </c>
      <c r="K231" s="193">
        <f>IF(G231="",0,IF(COUNTIF(G$206:$G230,G231)&gt;0,0,MAX(K$206:$K230)+1))</f>
        <v>0</v>
      </c>
      <c r="L231" s="200" t="str">
        <f t="shared" si="95"/>
        <v/>
      </c>
      <c r="M231" s="69" t="str">
        <f t="shared" si="96"/>
        <v/>
      </c>
      <c r="O231" s="41">
        <f t="shared" si="102"/>
        <v>5</v>
      </c>
      <c r="P231" s="41">
        <f t="shared" si="100"/>
        <v>4</v>
      </c>
    </row>
    <row r="232" spans="1:16" x14ac:dyDescent="0.3">
      <c r="A232" s="204" t="str">
        <f>VLOOKUP(CONCATENATE(O232,".9"),'Resultados - 4'!$A$10:$BL$156,64,FALSE)</f>
        <v/>
      </c>
      <c r="B232" s="69" t="str">
        <f t="shared" si="93"/>
        <v/>
      </c>
      <c r="C232" s="69" t="str">
        <f t="shared" si="93"/>
        <v/>
      </c>
      <c r="D232" s="69" t="str">
        <f t="shared" si="93"/>
        <v/>
      </c>
      <c r="E232" s="69" t="str">
        <f t="shared" si="93"/>
        <v/>
      </c>
      <c r="F232" s="69" t="str">
        <f t="shared" si="93"/>
        <v/>
      </c>
      <c r="G232" s="69" t="str">
        <f t="shared" si="93"/>
        <v/>
      </c>
      <c r="H232" s="202" t="str">
        <f t="shared" si="93"/>
        <v/>
      </c>
      <c r="I232" s="203" t="str">
        <f t="shared" si="93"/>
        <v/>
      </c>
      <c r="J232" s="69" t="str">
        <f t="shared" si="94"/>
        <v/>
      </c>
      <c r="K232" s="193">
        <f>IF(G232="",0,IF(COUNTIF(G$206:$G231,G232)&gt;0,0,MAX(K$206:$K231)+1))</f>
        <v>0</v>
      </c>
      <c r="L232" s="200" t="str">
        <f t="shared" si="95"/>
        <v/>
      </c>
      <c r="M232" s="69" t="str">
        <f t="shared" si="96"/>
        <v/>
      </c>
      <c r="O232" s="41">
        <f t="shared" si="102"/>
        <v>6</v>
      </c>
      <c r="P232" s="41">
        <f t="shared" si="100"/>
        <v>4</v>
      </c>
    </row>
    <row r="233" spans="1:16" x14ac:dyDescent="0.3">
      <c r="A233" s="204" t="str">
        <f>VLOOKUP(CONCATENATE(O233,".9"),'Resultados - 4'!$A$10:$BL$156,64,FALSE)</f>
        <v/>
      </c>
      <c r="B233" s="69" t="str">
        <f t="shared" si="93"/>
        <v/>
      </c>
      <c r="C233" s="69" t="str">
        <f t="shared" si="93"/>
        <v/>
      </c>
      <c r="D233" s="69" t="str">
        <f t="shared" si="93"/>
        <v/>
      </c>
      <c r="E233" s="69" t="str">
        <f t="shared" si="93"/>
        <v/>
      </c>
      <c r="F233" s="69" t="str">
        <f t="shared" si="93"/>
        <v/>
      </c>
      <c r="G233" s="69" t="str">
        <f t="shared" si="93"/>
        <v/>
      </c>
      <c r="H233" s="202" t="str">
        <f t="shared" si="93"/>
        <v/>
      </c>
      <c r="I233" s="203" t="str">
        <f t="shared" si="93"/>
        <v/>
      </c>
      <c r="J233" s="69" t="str">
        <f t="shared" si="94"/>
        <v/>
      </c>
      <c r="K233" s="193">
        <f>IF(G233="",0,IF(COUNTIF(G$206:$G232,G233)&gt;0,0,MAX(K$206:$K232)+1))</f>
        <v>0</v>
      </c>
      <c r="L233" s="200" t="str">
        <f t="shared" si="95"/>
        <v/>
      </c>
      <c r="M233" s="69" t="str">
        <f t="shared" si="96"/>
        <v/>
      </c>
      <c r="O233" s="41">
        <f t="shared" si="102"/>
        <v>7</v>
      </c>
      <c r="P233" s="41">
        <f t="shared" si="100"/>
        <v>4</v>
      </c>
    </row>
    <row r="234" spans="1:16" x14ac:dyDescent="0.3">
      <c r="A234" s="201" t="str">
        <f>VLOOKUP(CONCATENATE(O234,".9"),'Resultados - 5'!$A$10:$BL$156,64,FALSE)</f>
        <v/>
      </c>
      <c r="B234" s="69" t="str">
        <f t="shared" si="93"/>
        <v/>
      </c>
      <c r="C234" s="69" t="str">
        <f t="shared" si="93"/>
        <v/>
      </c>
      <c r="D234" s="69" t="str">
        <f t="shared" si="93"/>
        <v/>
      </c>
      <c r="E234" s="69" t="str">
        <f t="shared" si="93"/>
        <v/>
      </c>
      <c r="F234" s="69" t="str">
        <f t="shared" si="93"/>
        <v/>
      </c>
      <c r="G234" s="69" t="str">
        <f t="shared" si="93"/>
        <v/>
      </c>
      <c r="H234" s="202" t="str">
        <f t="shared" si="93"/>
        <v/>
      </c>
      <c r="I234" s="203" t="str">
        <f t="shared" si="93"/>
        <v/>
      </c>
      <c r="J234" s="69" t="str">
        <f t="shared" si="94"/>
        <v/>
      </c>
      <c r="K234" s="193">
        <f>IF(G234="",0,IF(COUNTIF(G$206:$G233,G234)&gt;0,0,MAX(K$206:$K233)+1))</f>
        <v>0</v>
      </c>
      <c r="L234" s="200" t="str">
        <f t="shared" si="95"/>
        <v/>
      </c>
      <c r="M234" s="69" t="str">
        <f t="shared" si="96"/>
        <v/>
      </c>
      <c r="O234" s="41">
        <f>O227</f>
        <v>1</v>
      </c>
      <c r="P234" s="41">
        <f t="shared" si="100"/>
        <v>5</v>
      </c>
    </row>
    <row r="235" spans="1:16" x14ac:dyDescent="0.3">
      <c r="A235" s="201" t="str">
        <f>VLOOKUP(CONCATENATE(O235,".9"),'Resultados - 5'!$A$10:$BL$156,64,FALSE)</f>
        <v/>
      </c>
      <c r="B235" s="69" t="str">
        <f t="shared" si="93"/>
        <v/>
      </c>
      <c r="C235" s="69" t="str">
        <f t="shared" si="93"/>
        <v/>
      </c>
      <c r="D235" s="69" t="str">
        <f t="shared" si="93"/>
        <v/>
      </c>
      <c r="E235" s="69" t="str">
        <f t="shared" si="93"/>
        <v/>
      </c>
      <c r="F235" s="69" t="str">
        <f t="shared" si="93"/>
        <v/>
      </c>
      <c r="G235" s="69" t="str">
        <f t="shared" si="93"/>
        <v/>
      </c>
      <c r="H235" s="202" t="str">
        <f t="shared" si="93"/>
        <v/>
      </c>
      <c r="I235" s="203" t="str">
        <f t="shared" si="93"/>
        <v/>
      </c>
      <c r="J235" s="69" t="str">
        <f t="shared" si="94"/>
        <v/>
      </c>
      <c r="K235" s="193">
        <f>IF(G235="",0,IF(COUNTIF(G$206:$G234,G235)&gt;0,0,MAX(K$206:$K234)+1))</f>
        <v>0</v>
      </c>
      <c r="L235" s="200" t="str">
        <f t="shared" si="95"/>
        <v/>
      </c>
      <c r="M235" s="69" t="str">
        <f t="shared" si="96"/>
        <v/>
      </c>
      <c r="O235" s="41">
        <f t="shared" ref="O235:O240" si="103">O234+1</f>
        <v>2</v>
      </c>
      <c r="P235" s="41">
        <f t="shared" si="100"/>
        <v>5</v>
      </c>
    </row>
    <row r="236" spans="1:16" x14ac:dyDescent="0.3">
      <c r="A236" s="201" t="str">
        <f>VLOOKUP(CONCATENATE(O236,".9"),'Resultados - 5'!$A$10:$BL$156,64,FALSE)</f>
        <v/>
      </c>
      <c r="B236" s="69" t="str">
        <f t="shared" si="93"/>
        <v/>
      </c>
      <c r="C236" s="69" t="str">
        <f t="shared" si="93"/>
        <v/>
      </c>
      <c r="D236" s="69" t="str">
        <f t="shared" si="93"/>
        <v/>
      </c>
      <c r="E236" s="69" t="str">
        <f t="shared" si="93"/>
        <v/>
      </c>
      <c r="F236" s="69" t="str">
        <f t="shared" si="93"/>
        <v/>
      </c>
      <c r="G236" s="69" t="str">
        <f t="shared" si="93"/>
        <v/>
      </c>
      <c r="H236" s="202" t="str">
        <f t="shared" si="93"/>
        <v/>
      </c>
      <c r="I236" s="203" t="str">
        <f t="shared" si="93"/>
        <v/>
      </c>
      <c r="J236" s="69" t="str">
        <f t="shared" si="94"/>
        <v/>
      </c>
      <c r="K236" s="193">
        <f>IF(G236="",0,IF(COUNTIF(G$206:$G235,G236)&gt;0,0,MAX(K$206:$K235)+1))</f>
        <v>0</v>
      </c>
      <c r="L236" s="200" t="str">
        <f t="shared" si="95"/>
        <v/>
      </c>
      <c r="M236" s="69" t="str">
        <f t="shared" si="96"/>
        <v/>
      </c>
      <c r="O236" s="41">
        <f t="shared" si="103"/>
        <v>3</v>
      </c>
      <c r="P236" s="41">
        <f t="shared" si="100"/>
        <v>5</v>
      </c>
    </row>
    <row r="237" spans="1:16" x14ac:dyDescent="0.3">
      <c r="A237" s="201" t="str">
        <f>VLOOKUP(CONCATENATE(O237,".9"),'Resultados - 5'!$A$10:$BL$156,64,FALSE)</f>
        <v/>
      </c>
      <c r="B237" s="69" t="str">
        <f t="shared" si="93"/>
        <v/>
      </c>
      <c r="C237" s="69" t="str">
        <f t="shared" si="93"/>
        <v/>
      </c>
      <c r="D237" s="69" t="str">
        <f t="shared" si="93"/>
        <v/>
      </c>
      <c r="E237" s="69" t="str">
        <f t="shared" si="93"/>
        <v/>
      </c>
      <c r="F237" s="69" t="str">
        <f t="shared" si="93"/>
        <v/>
      </c>
      <c r="G237" s="69" t="str">
        <f t="shared" si="93"/>
        <v/>
      </c>
      <c r="H237" s="202" t="str">
        <f t="shared" si="93"/>
        <v/>
      </c>
      <c r="I237" s="203" t="str">
        <f t="shared" si="93"/>
        <v/>
      </c>
      <c r="J237" s="69" t="str">
        <f t="shared" si="94"/>
        <v/>
      </c>
      <c r="K237" s="193">
        <f>IF(G237="",0,IF(COUNTIF(G$206:$G236,G237)&gt;0,0,MAX(K$206:$K236)+1))</f>
        <v>0</v>
      </c>
      <c r="L237" s="200" t="str">
        <f t="shared" si="95"/>
        <v/>
      </c>
      <c r="M237" s="69" t="str">
        <f t="shared" si="96"/>
        <v/>
      </c>
      <c r="O237" s="41">
        <f t="shared" si="103"/>
        <v>4</v>
      </c>
      <c r="P237" s="41">
        <f t="shared" si="100"/>
        <v>5</v>
      </c>
    </row>
    <row r="238" spans="1:16" x14ac:dyDescent="0.3">
      <c r="A238" s="201" t="str">
        <f>VLOOKUP(CONCATENATE(O238,".9"),'Resultados - 5'!$A$10:$BL$156,64,FALSE)</f>
        <v/>
      </c>
      <c r="B238" s="69" t="str">
        <f t="shared" si="93"/>
        <v/>
      </c>
      <c r="C238" s="69" t="str">
        <f t="shared" si="93"/>
        <v/>
      </c>
      <c r="D238" s="69" t="str">
        <f t="shared" si="93"/>
        <v/>
      </c>
      <c r="E238" s="69" t="str">
        <f t="shared" si="93"/>
        <v/>
      </c>
      <c r="F238" s="69" t="str">
        <f t="shared" si="93"/>
        <v/>
      </c>
      <c r="G238" s="69" t="str">
        <f t="shared" si="93"/>
        <v/>
      </c>
      <c r="H238" s="202" t="str">
        <f t="shared" si="93"/>
        <v/>
      </c>
      <c r="I238" s="203" t="str">
        <f t="shared" si="93"/>
        <v/>
      </c>
      <c r="J238" s="69" t="str">
        <f t="shared" si="94"/>
        <v/>
      </c>
      <c r="K238" s="193">
        <f>IF(G238="",0,IF(COUNTIF(G$206:$G237,G238)&gt;0,0,MAX(K$206:$K237)+1))</f>
        <v>0</v>
      </c>
      <c r="L238" s="200" t="str">
        <f t="shared" si="95"/>
        <v/>
      </c>
      <c r="M238" s="69" t="str">
        <f t="shared" si="96"/>
        <v/>
      </c>
      <c r="O238" s="41">
        <f t="shared" si="103"/>
        <v>5</v>
      </c>
      <c r="P238" s="41">
        <f t="shared" si="100"/>
        <v>5</v>
      </c>
    </row>
    <row r="239" spans="1:16" x14ac:dyDescent="0.3">
      <c r="A239" s="201" t="str">
        <f>VLOOKUP(CONCATENATE(O239,".9"),'Resultados - 5'!$A$10:$BL$156,64,FALSE)</f>
        <v/>
      </c>
      <c r="B239" s="69" t="str">
        <f t="shared" ref="B239:I270" si="104">IF($A239="","",VLOOKUP($A239,$A$74:$CY$93,B$120,FALSE))</f>
        <v/>
      </c>
      <c r="C239" s="69" t="str">
        <f t="shared" si="104"/>
        <v/>
      </c>
      <c r="D239" s="69" t="str">
        <f t="shared" si="104"/>
        <v/>
      </c>
      <c r="E239" s="69" t="str">
        <f t="shared" si="104"/>
        <v/>
      </c>
      <c r="F239" s="69" t="str">
        <f t="shared" si="104"/>
        <v/>
      </c>
      <c r="G239" s="69" t="str">
        <f t="shared" si="104"/>
        <v/>
      </c>
      <c r="H239" s="202" t="str">
        <f t="shared" si="104"/>
        <v/>
      </c>
      <c r="I239" s="203" t="str">
        <f t="shared" si="104"/>
        <v/>
      </c>
      <c r="J239" s="69" t="str">
        <f t="shared" si="94"/>
        <v/>
      </c>
      <c r="K239" s="193">
        <f>IF(G239="",0,IF(COUNTIF(G$206:$G238,G239)&gt;0,0,MAX(K$206:$K238)+1))</f>
        <v>0</v>
      </c>
      <c r="L239" s="200" t="str">
        <f t="shared" si="95"/>
        <v/>
      </c>
      <c r="M239" s="69" t="str">
        <f t="shared" si="96"/>
        <v/>
      </c>
      <c r="O239" s="41">
        <f t="shared" si="103"/>
        <v>6</v>
      </c>
      <c r="P239" s="41">
        <f t="shared" si="100"/>
        <v>5</v>
      </c>
    </row>
    <row r="240" spans="1:16" x14ac:dyDescent="0.3">
      <c r="A240" s="201" t="str">
        <f>VLOOKUP(CONCATENATE(O240,".9"),'Resultados - 5'!$A$10:$BL$156,64,FALSE)</f>
        <v/>
      </c>
      <c r="B240" s="69" t="str">
        <f t="shared" si="104"/>
        <v/>
      </c>
      <c r="C240" s="69" t="str">
        <f t="shared" si="104"/>
        <v/>
      </c>
      <c r="D240" s="69" t="str">
        <f t="shared" si="104"/>
        <v/>
      </c>
      <c r="E240" s="69" t="str">
        <f t="shared" si="104"/>
        <v/>
      </c>
      <c r="F240" s="69" t="str">
        <f t="shared" si="104"/>
        <v/>
      </c>
      <c r="G240" s="69" t="str">
        <f t="shared" si="104"/>
        <v/>
      </c>
      <c r="H240" s="202" t="str">
        <f t="shared" si="104"/>
        <v/>
      </c>
      <c r="I240" s="203" t="str">
        <f t="shared" si="104"/>
        <v/>
      </c>
      <c r="J240" s="69" t="str">
        <f t="shared" si="94"/>
        <v/>
      </c>
      <c r="K240" s="193">
        <f>IF(G240="",0,IF(COUNTIF(G$206:$G239,G240)&gt;0,0,MAX(K$206:$K239)+1))</f>
        <v>0</v>
      </c>
      <c r="L240" s="200" t="str">
        <f t="shared" si="95"/>
        <v/>
      </c>
      <c r="M240" s="69" t="str">
        <f t="shared" si="96"/>
        <v/>
      </c>
      <c r="O240" s="41">
        <f t="shared" si="103"/>
        <v>7</v>
      </c>
      <c r="P240" s="41">
        <f t="shared" si="100"/>
        <v>5</v>
      </c>
    </row>
    <row r="241" spans="1:16" x14ac:dyDescent="0.3">
      <c r="A241" s="204" t="str">
        <f>VLOOKUP(CONCATENATE(O241,".9"),'Resultados - 6'!$A$10:$BL$156,64,FALSE)</f>
        <v/>
      </c>
      <c r="B241" s="69" t="str">
        <f t="shared" si="104"/>
        <v/>
      </c>
      <c r="C241" s="69" t="str">
        <f t="shared" si="104"/>
        <v/>
      </c>
      <c r="D241" s="69" t="str">
        <f t="shared" si="104"/>
        <v/>
      </c>
      <c r="E241" s="69" t="str">
        <f t="shared" si="104"/>
        <v/>
      </c>
      <c r="F241" s="69" t="str">
        <f t="shared" si="104"/>
        <v/>
      </c>
      <c r="G241" s="69" t="str">
        <f t="shared" si="104"/>
        <v/>
      </c>
      <c r="H241" s="202" t="str">
        <f t="shared" si="104"/>
        <v/>
      </c>
      <c r="I241" s="203" t="str">
        <f t="shared" si="104"/>
        <v/>
      </c>
      <c r="J241" s="69" t="str">
        <f t="shared" si="94"/>
        <v/>
      </c>
      <c r="K241" s="193">
        <f>IF(G241="",0,IF(COUNTIF(G$206:$G240,G241)&gt;0,0,MAX(K$206:$K240)+1))</f>
        <v>0</v>
      </c>
      <c r="L241" s="200" t="str">
        <f t="shared" si="95"/>
        <v/>
      </c>
      <c r="M241" s="69" t="str">
        <f t="shared" si="96"/>
        <v/>
      </c>
      <c r="O241" s="41">
        <f>O234</f>
        <v>1</v>
      </c>
      <c r="P241" s="41">
        <f t="shared" si="100"/>
        <v>6</v>
      </c>
    </row>
    <row r="242" spans="1:16" x14ac:dyDescent="0.3">
      <c r="A242" s="204" t="str">
        <f>VLOOKUP(CONCATENATE(O242,".9"),'Resultados - 6'!$A$10:$BL$156,64,FALSE)</f>
        <v/>
      </c>
      <c r="B242" s="69" t="str">
        <f t="shared" si="104"/>
        <v/>
      </c>
      <c r="C242" s="69" t="str">
        <f t="shared" si="104"/>
        <v/>
      </c>
      <c r="D242" s="69" t="str">
        <f t="shared" si="104"/>
        <v/>
      </c>
      <c r="E242" s="69" t="str">
        <f t="shared" si="104"/>
        <v/>
      </c>
      <c r="F242" s="69" t="str">
        <f t="shared" si="104"/>
        <v/>
      </c>
      <c r="G242" s="69" t="str">
        <f t="shared" si="104"/>
        <v/>
      </c>
      <c r="H242" s="202" t="str">
        <f t="shared" si="104"/>
        <v/>
      </c>
      <c r="I242" s="203" t="str">
        <f t="shared" si="104"/>
        <v/>
      </c>
      <c r="J242" s="69" t="str">
        <f t="shared" si="94"/>
        <v/>
      </c>
      <c r="K242" s="193">
        <f>IF(G242="",0,IF(COUNTIF(G$206:$G241,G242)&gt;0,0,MAX(K$206:$K241)+1))</f>
        <v>0</v>
      </c>
      <c r="L242" s="200" t="str">
        <f t="shared" si="95"/>
        <v/>
      </c>
      <c r="M242" s="69" t="str">
        <f t="shared" si="96"/>
        <v/>
      </c>
      <c r="O242" s="41">
        <f t="shared" ref="O242:O247" si="105">O241+1</f>
        <v>2</v>
      </c>
      <c r="P242" s="41">
        <f t="shared" si="100"/>
        <v>6</v>
      </c>
    </row>
    <row r="243" spans="1:16" x14ac:dyDescent="0.3">
      <c r="A243" s="204" t="str">
        <f>VLOOKUP(CONCATENATE(O243,".9"),'Resultados - 6'!$A$10:$BL$156,64,FALSE)</f>
        <v/>
      </c>
      <c r="B243" s="69" t="str">
        <f t="shared" si="104"/>
        <v/>
      </c>
      <c r="C243" s="69" t="str">
        <f t="shared" si="104"/>
        <v/>
      </c>
      <c r="D243" s="69" t="str">
        <f t="shared" si="104"/>
        <v/>
      </c>
      <c r="E243" s="69" t="str">
        <f t="shared" si="104"/>
        <v/>
      </c>
      <c r="F243" s="69" t="str">
        <f t="shared" si="104"/>
        <v/>
      </c>
      <c r="G243" s="69" t="str">
        <f t="shared" si="104"/>
        <v/>
      </c>
      <c r="H243" s="202" t="str">
        <f t="shared" si="104"/>
        <v/>
      </c>
      <c r="I243" s="203" t="str">
        <f t="shared" si="104"/>
        <v/>
      </c>
      <c r="J243" s="69" t="str">
        <f t="shared" si="94"/>
        <v/>
      </c>
      <c r="K243" s="193">
        <f>IF(G243="",0,IF(COUNTIF(G$206:$G242,G243)&gt;0,0,MAX(K$206:$K242)+1))</f>
        <v>0</v>
      </c>
      <c r="L243" s="200" t="str">
        <f t="shared" si="95"/>
        <v/>
      </c>
      <c r="M243" s="69" t="str">
        <f t="shared" si="96"/>
        <v/>
      </c>
      <c r="O243" s="41">
        <f t="shared" si="105"/>
        <v>3</v>
      </c>
      <c r="P243" s="41">
        <f t="shared" si="100"/>
        <v>6</v>
      </c>
    </row>
    <row r="244" spans="1:16" x14ac:dyDescent="0.3">
      <c r="A244" s="204" t="str">
        <f>VLOOKUP(CONCATENATE(O244,".9"),'Resultados - 6'!$A$10:$BL$156,64,FALSE)</f>
        <v/>
      </c>
      <c r="B244" s="69" t="str">
        <f t="shared" si="104"/>
        <v/>
      </c>
      <c r="C244" s="69" t="str">
        <f t="shared" si="104"/>
        <v/>
      </c>
      <c r="D244" s="69" t="str">
        <f t="shared" si="104"/>
        <v/>
      </c>
      <c r="E244" s="69" t="str">
        <f t="shared" si="104"/>
        <v/>
      </c>
      <c r="F244" s="69" t="str">
        <f t="shared" si="104"/>
        <v/>
      </c>
      <c r="G244" s="69" t="str">
        <f t="shared" si="104"/>
        <v/>
      </c>
      <c r="H244" s="202" t="str">
        <f t="shared" si="104"/>
        <v/>
      </c>
      <c r="I244" s="203" t="str">
        <f t="shared" si="104"/>
        <v/>
      </c>
      <c r="J244" s="69" t="str">
        <f t="shared" si="94"/>
        <v/>
      </c>
      <c r="K244" s="193">
        <f>IF(G244="",0,IF(COUNTIF(G$206:$G243,G244)&gt;0,0,MAX(K$206:$K243)+1))</f>
        <v>0</v>
      </c>
      <c r="L244" s="200" t="str">
        <f t="shared" si="95"/>
        <v/>
      </c>
      <c r="M244" s="69" t="str">
        <f t="shared" si="96"/>
        <v/>
      </c>
      <c r="O244" s="41">
        <f t="shared" si="105"/>
        <v>4</v>
      </c>
      <c r="P244" s="41">
        <f t="shared" si="100"/>
        <v>6</v>
      </c>
    </row>
    <row r="245" spans="1:16" x14ac:dyDescent="0.3">
      <c r="A245" s="204" t="str">
        <f>VLOOKUP(CONCATENATE(O245,".9"),'Resultados - 6'!$A$10:$BL$156,64,FALSE)</f>
        <v/>
      </c>
      <c r="B245" s="69" t="str">
        <f t="shared" si="104"/>
        <v/>
      </c>
      <c r="C245" s="69" t="str">
        <f t="shared" si="104"/>
        <v/>
      </c>
      <c r="D245" s="69" t="str">
        <f t="shared" si="104"/>
        <v/>
      </c>
      <c r="E245" s="69" t="str">
        <f t="shared" si="104"/>
        <v/>
      </c>
      <c r="F245" s="69" t="str">
        <f t="shared" si="104"/>
        <v/>
      </c>
      <c r="G245" s="69" t="str">
        <f t="shared" si="104"/>
        <v/>
      </c>
      <c r="H245" s="202" t="str">
        <f t="shared" si="104"/>
        <v/>
      </c>
      <c r="I245" s="203" t="str">
        <f t="shared" si="104"/>
        <v/>
      </c>
      <c r="J245" s="69" t="str">
        <f t="shared" si="94"/>
        <v/>
      </c>
      <c r="K245" s="193">
        <f>IF(G245="",0,IF(COUNTIF(G$206:$G244,G245)&gt;0,0,MAX(K$206:$K244)+1))</f>
        <v>0</v>
      </c>
      <c r="L245" s="200" t="str">
        <f t="shared" si="95"/>
        <v/>
      </c>
      <c r="M245" s="69" t="str">
        <f t="shared" si="96"/>
        <v/>
      </c>
      <c r="O245" s="41">
        <f t="shared" si="105"/>
        <v>5</v>
      </c>
      <c r="P245" s="41">
        <f t="shared" si="100"/>
        <v>6</v>
      </c>
    </row>
    <row r="246" spans="1:16" x14ac:dyDescent="0.3">
      <c r="A246" s="204" t="str">
        <f>VLOOKUP(CONCATENATE(O246,".9"),'Resultados - 6'!$A$10:$BL$156,64,FALSE)</f>
        <v/>
      </c>
      <c r="B246" s="69" t="str">
        <f t="shared" si="104"/>
        <v/>
      </c>
      <c r="C246" s="69" t="str">
        <f t="shared" si="104"/>
        <v/>
      </c>
      <c r="D246" s="69" t="str">
        <f t="shared" si="104"/>
        <v/>
      </c>
      <c r="E246" s="69" t="str">
        <f t="shared" si="104"/>
        <v/>
      </c>
      <c r="F246" s="69" t="str">
        <f t="shared" si="104"/>
        <v/>
      </c>
      <c r="G246" s="69" t="str">
        <f t="shared" si="104"/>
        <v/>
      </c>
      <c r="H246" s="202" t="str">
        <f t="shared" si="104"/>
        <v/>
      </c>
      <c r="I246" s="203" t="str">
        <f t="shared" si="104"/>
        <v/>
      </c>
      <c r="J246" s="69" t="str">
        <f t="shared" si="94"/>
        <v/>
      </c>
      <c r="K246" s="193">
        <f>IF(G246="",0,IF(COUNTIF(G$206:$G245,G246)&gt;0,0,MAX(K$206:$K245)+1))</f>
        <v>0</v>
      </c>
      <c r="L246" s="200" t="str">
        <f t="shared" si="95"/>
        <v/>
      </c>
      <c r="M246" s="69" t="str">
        <f t="shared" si="96"/>
        <v/>
      </c>
      <c r="O246" s="41">
        <f t="shared" si="105"/>
        <v>6</v>
      </c>
      <c r="P246" s="41">
        <f t="shared" si="100"/>
        <v>6</v>
      </c>
    </row>
    <row r="247" spans="1:16" x14ac:dyDescent="0.3">
      <c r="A247" s="204" t="str">
        <f>VLOOKUP(CONCATENATE(O247,".9"),'Resultados - 6'!$A$10:$BL$156,64,FALSE)</f>
        <v/>
      </c>
      <c r="B247" s="69" t="str">
        <f t="shared" si="104"/>
        <v/>
      </c>
      <c r="C247" s="69" t="str">
        <f t="shared" si="104"/>
        <v/>
      </c>
      <c r="D247" s="69" t="str">
        <f t="shared" si="104"/>
        <v/>
      </c>
      <c r="E247" s="69" t="str">
        <f t="shared" si="104"/>
        <v/>
      </c>
      <c r="F247" s="69" t="str">
        <f t="shared" si="104"/>
        <v/>
      </c>
      <c r="G247" s="69" t="str">
        <f t="shared" si="104"/>
        <v/>
      </c>
      <c r="H247" s="202" t="str">
        <f t="shared" si="104"/>
        <v/>
      </c>
      <c r="I247" s="203" t="str">
        <f t="shared" si="104"/>
        <v/>
      </c>
      <c r="J247" s="69" t="str">
        <f t="shared" si="94"/>
        <v/>
      </c>
      <c r="K247" s="193">
        <f>IF(G247="",0,IF(COUNTIF(G$206:$G246,G247)&gt;0,0,MAX(K$206:$K246)+1))</f>
        <v>0</v>
      </c>
      <c r="L247" s="200" t="str">
        <f t="shared" si="95"/>
        <v/>
      </c>
      <c r="M247" s="69" t="str">
        <f t="shared" si="96"/>
        <v/>
      </c>
      <c r="O247" s="41">
        <f t="shared" si="105"/>
        <v>7</v>
      </c>
      <c r="P247" s="41">
        <f t="shared" si="100"/>
        <v>6</v>
      </c>
    </row>
    <row r="248" spans="1:16" x14ac:dyDescent="0.3">
      <c r="A248" s="201" t="str">
        <f>VLOOKUP(CONCATENATE(O248,".9"),'Resultados - 7'!$A$10:$BL$156,64,FALSE)</f>
        <v/>
      </c>
      <c r="B248" s="69" t="str">
        <f t="shared" si="104"/>
        <v/>
      </c>
      <c r="C248" s="69" t="str">
        <f t="shared" si="104"/>
        <v/>
      </c>
      <c r="D248" s="69" t="str">
        <f t="shared" si="104"/>
        <v/>
      </c>
      <c r="E248" s="69" t="str">
        <f t="shared" si="104"/>
        <v/>
      </c>
      <c r="F248" s="69" t="str">
        <f t="shared" si="104"/>
        <v/>
      </c>
      <c r="G248" s="69" t="str">
        <f t="shared" si="104"/>
        <v/>
      </c>
      <c r="H248" s="202" t="str">
        <f t="shared" si="104"/>
        <v/>
      </c>
      <c r="I248" s="203" t="str">
        <f t="shared" si="104"/>
        <v/>
      </c>
      <c r="J248" s="69" t="str">
        <f t="shared" si="94"/>
        <v/>
      </c>
      <c r="K248" s="193">
        <f>IF(G248="",0,IF(COUNTIF(G$206:$G247,G248)&gt;0,0,MAX(K$206:$K247)+1))</f>
        <v>0</v>
      </c>
      <c r="L248" s="200" t="str">
        <f t="shared" si="95"/>
        <v/>
      </c>
      <c r="M248" s="69" t="str">
        <f t="shared" si="96"/>
        <v/>
      </c>
      <c r="O248" s="41">
        <f>O241</f>
        <v>1</v>
      </c>
      <c r="P248" s="41">
        <f t="shared" si="100"/>
        <v>7</v>
      </c>
    </row>
    <row r="249" spans="1:16" x14ac:dyDescent="0.3">
      <c r="A249" s="201" t="str">
        <f>VLOOKUP(CONCATENATE(O249,".9"),'Resultados - 7'!$A$10:$BL$156,64,FALSE)</f>
        <v/>
      </c>
      <c r="B249" s="69" t="str">
        <f t="shared" si="104"/>
        <v/>
      </c>
      <c r="C249" s="69" t="str">
        <f t="shared" si="104"/>
        <v/>
      </c>
      <c r="D249" s="69" t="str">
        <f t="shared" si="104"/>
        <v/>
      </c>
      <c r="E249" s="69" t="str">
        <f t="shared" si="104"/>
        <v/>
      </c>
      <c r="F249" s="69" t="str">
        <f t="shared" si="104"/>
        <v/>
      </c>
      <c r="G249" s="69" t="str">
        <f t="shared" si="104"/>
        <v/>
      </c>
      <c r="H249" s="202" t="str">
        <f t="shared" si="104"/>
        <v/>
      </c>
      <c r="I249" s="203" t="str">
        <f t="shared" si="104"/>
        <v/>
      </c>
      <c r="J249" s="69" t="str">
        <f t="shared" si="94"/>
        <v/>
      </c>
      <c r="K249" s="193">
        <f>IF(G249="",0,IF(COUNTIF(G$206:$G248,G249)&gt;0,0,MAX(K$206:$K248)+1))</f>
        <v>0</v>
      </c>
      <c r="L249" s="200" t="str">
        <f t="shared" si="95"/>
        <v/>
      </c>
      <c r="M249" s="69" t="str">
        <f t="shared" si="96"/>
        <v/>
      </c>
      <c r="O249" s="41">
        <f t="shared" ref="O249:O254" si="106">O248+1</f>
        <v>2</v>
      </c>
      <c r="P249" s="41">
        <f t="shared" si="100"/>
        <v>7</v>
      </c>
    </row>
    <row r="250" spans="1:16" x14ac:dyDescent="0.3">
      <c r="A250" s="201" t="str">
        <f>VLOOKUP(CONCATENATE(O250,".9"),'Resultados - 7'!$A$10:$BL$156,64,FALSE)</f>
        <v/>
      </c>
      <c r="B250" s="69" t="str">
        <f t="shared" si="104"/>
        <v/>
      </c>
      <c r="C250" s="69" t="str">
        <f t="shared" si="104"/>
        <v/>
      </c>
      <c r="D250" s="69" t="str">
        <f t="shared" si="104"/>
        <v/>
      </c>
      <c r="E250" s="69" t="str">
        <f t="shared" si="104"/>
        <v/>
      </c>
      <c r="F250" s="69" t="str">
        <f t="shared" si="104"/>
        <v/>
      </c>
      <c r="G250" s="69" t="str">
        <f t="shared" si="104"/>
        <v/>
      </c>
      <c r="H250" s="202" t="str">
        <f t="shared" si="104"/>
        <v/>
      </c>
      <c r="I250" s="203" t="str">
        <f t="shared" si="104"/>
        <v/>
      </c>
      <c r="J250" s="69" t="str">
        <f t="shared" si="94"/>
        <v/>
      </c>
      <c r="K250" s="193">
        <f>IF(G250="",0,IF(COUNTIF(G$206:$G249,G250)&gt;0,0,MAX(K$206:$K249)+1))</f>
        <v>0</v>
      </c>
      <c r="L250" s="200" t="str">
        <f t="shared" si="95"/>
        <v/>
      </c>
      <c r="M250" s="69" t="str">
        <f t="shared" si="96"/>
        <v/>
      </c>
      <c r="O250" s="41">
        <f t="shared" si="106"/>
        <v>3</v>
      </c>
      <c r="P250" s="41">
        <f t="shared" si="100"/>
        <v>7</v>
      </c>
    </row>
    <row r="251" spans="1:16" x14ac:dyDescent="0.3">
      <c r="A251" s="201" t="str">
        <f>VLOOKUP(CONCATENATE(O251,".9"),'Resultados - 7'!$A$10:$BL$156,64,FALSE)</f>
        <v/>
      </c>
      <c r="B251" s="69" t="str">
        <f t="shared" si="104"/>
        <v/>
      </c>
      <c r="C251" s="69" t="str">
        <f t="shared" si="104"/>
        <v/>
      </c>
      <c r="D251" s="69" t="str">
        <f t="shared" si="104"/>
        <v/>
      </c>
      <c r="E251" s="69" t="str">
        <f t="shared" si="104"/>
        <v/>
      </c>
      <c r="F251" s="69" t="str">
        <f t="shared" si="104"/>
        <v/>
      </c>
      <c r="G251" s="69" t="str">
        <f t="shared" si="104"/>
        <v/>
      </c>
      <c r="H251" s="202" t="str">
        <f t="shared" si="104"/>
        <v/>
      </c>
      <c r="I251" s="203" t="str">
        <f t="shared" si="104"/>
        <v/>
      </c>
      <c r="J251" s="69" t="str">
        <f t="shared" si="94"/>
        <v/>
      </c>
      <c r="K251" s="193">
        <f>IF(G251="",0,IF(COUNTIF(G$206:$G250,G251)&gt;0,0,MAX(K$206:$K250)+1))</f>
        <v>0</v>
      </c>
      <c r="L251" s="200" t="str">
        <f t="shared" si="95"/>
        <v/>
      </c>
      <c r="M251" s="69" t="str">
        <f t="shared" si="96"/>
        <v/>
      </c>
      <c r="O251" s="41">
        <f t="shared" si="106"/>
        <v>4</v>
      </c>
      <c r="P251" s="41">
        <f t="shared" si="100"/>
        <v>7</v>
      </c>
    </row>
    <row r="252" spans="1:16" x14ac:dyDescent="0.3">
      <c r="A252" s="201" t="str">
        <f>VLOOKUP(CONCATENATE(O252,".9"),'Resultados - 7'!$A$10:$BL$156,64,FALSE)</f>
        <v/>
      </c>
      <c r="B252" s="69" t="str">
        <f t="shared" si="104"/>
        <v/>
      </c>
      <c r="C252" s="69" t="str">
        <f t="shared" si="104"/>
        <v/>
      </c>
      <c r="D252" s="69" t="str">
        <f t="shared" si="104"/>
        <v/>
      </c>
      <c r="E252" s="69" t="str">
        <f t="shared" si="104"/>
        <v/>
      </c>
      <c r="F252" s="69" t="str">
        <f t="shared" si="104"/>
        <v/>
      </c>
      <c r="G252" s="69" t="str">
        <f t="shared" si="104"/>
        <v/>
      </c>
      <c r="H252" s="202" t="str">
        <f t="shared" si="104"/>
        <v/>
      </c>
      <c r="I252" s="203" t="str">
        <f t="shared" si="104"/>
        <v/>
      </c>
      <c r="J252" s="69" t="str">
        <f t="shared" si="94"/>
        <v/>
      </c>
      <c r="K252" s="193">
        <f>IF(G252="",0,IF(COUNTIF(G$206:$G251,G252)&gt;0,0,MAX(K$206:$K251)+1))</f>
        <v>0</v>
      </c>
      <c r="L252" s="200" t="str">
        <f t="shared" si="95"/>
        <v/>
      </c>
      <c r="M252" s="69" t="str">
        <f t="shared" si="96"/>
        <v/>
      </c>
      <c r="O252" s="41">
        <f t="shared" si="106"/>
        <v>5</v>
      </c>
      <c r="P252" s="41">
        <f t="shared" si="100"/>
        <v>7</v>
      </c>
    </row>
    <row r="253" spans="1:16" x14ac:dyDescent="0.3">
      <c r="A253" s="201" t="str">
        <f>VLOOKUP(CONCATENATE(O253,".9"),'Resultados - 7'!$A$10:$BL$156,64,FALSE)</f>
        <v/>
      </c>
      <c r="B253" s="69" t="str">
        <f t="shared" si="104"/>
        <v/>
      </c>
      <c r="C253" s="69" t="str">
        <f t="shared" si="104"/>
        <v/>
      </c>
      <c r="D253" s="69" t="str">
        <f t="shared" si="104"/>
        <v/>
      </c>
      <c r="E253" s="69" t="str">
        <f t="shared" si="104"/>
        <v/>
      </c>
      <c r="F253" s="69" t="str">
        <f t="shared" si="104"/>
        <v/>
      </c>
      <c r="G253" s="69" t="str">
        <f t="shared" si="104"/>
        <v/>
      </c>
      <c r="H253" s="202" t="str">
        <f t="shared" si="104"/>
        <v/>
      </c>
      <c r="I253" s="203" t="str">
        <f t="shared" si="104"/>
        <v/>
      </c>
      <c r="J253" s="69" t="str">
        <f t="shared" si="94"/>
        <v/>
      </c>
      <c r="K253" s="193">
        <f>IF(G253="",0,IF(COUNTIF(G$206:$G252,G253)&gt;0,0,MAX(K$206:$K252)+1))</f>
        <v>0</v>
      </c>
      <c r="L253" s="200" t="str">
        <f t="shared" si="95"/>
        <v/>
      </c>
      <c r="M253" s="69" t="str">
        <f t="shared" si="96"/>
        <v/>
      </c>
      <c r="O253" s="41">
        <f t="shared" si="106"/>
        <v>6</v>
      </c>
      <c r="P253" s="41">
        <f t="shared" si="100"/>
        <v>7</v>
      </c>
    </row>
    <row r="254" spans="1:16" x14ac:dyDescent="0.3">
      <c r="A254" s="201" t="str">
        <f>VLOOKUP(CONCATENATE(O254,".9"),'Resultados - 7'!$A$10:$BL$156,64,FALSE)</f>
        <v/>
      </c>
      <c r="B254" s="69" t="str">
        <f t="shared" si="104"/>
        <v/>
      </c>
      <c r="C254" s="69" t="str">
        <f t="shared" si="104"/>
        <v/>
      </c>
      <c r="D254" s="69" t="str">
        <f t="shared" si="104"/>
        <v/>
      </c>
      <c r="E254" s="69" t="str">
        <f t="shared" si="104"/>
        <v/>
      </c>
      <c r="F254" s="69" t="str">
        <f t="shared" si="104"/>
        <v/>
      </c>
      <c r="G254" s="69" t="str">
        <f t="shared" si="104"/>
        <v/>
      </c>
      <c r="H254" s="202" t="str">
        <f t="shared" si="104"/>
        <v/>
      </c>
      <c r="I254" s="203" t="str">
        <f t="shared" si="104"/>
        <v/>
      </c>
      <c r="J254" s="69" t="str">
        <f t="shared" si="94"/>
        <v/>
      </c>
      <c r="K254" s="193">
        <f>IF(G254="",0,IF(COUNTIF(G$206:$G253,G254)&gt;0,0,MAX(K$206:$K253)+1))</f>
        <v>0</v>
      </c>
      <c r="L254" s="200" t="str">
        <f t="shared" si="95"/>
        <v/>
      </c>
      <c r="M254" s="69" t="str">
        <f t="shared" si="96"/>
        <v/>
      </c>
      <c r="O254" s="41">
        <f t="shared" si="106"/>
        <v>7</v>
      </c>
      <c r="P254" s="41">
        <f t="shared" si="100"/>
        <v>7</v>
      </c>
    </row>
    <row r="255" spans="1:16" x14ac:dyDescent="0.3">
      <c r="A255" s="204" t="str">
        <f>VLOOKUP(CONCATENATE(O255,".9"),'Resultados - 8'!$A$10:$BL$156,64,FALSE)</f>
        <v/>
      </c>
      <c r="B255" s="69" t="str">
        <f t="shared" si="104"/>
        <v/>
      </c>
      <c r="C255" s="69" t="str">
        <f t="shared" si="104"/>
        <v/>
      </c>
      <c r="D255" s="69" t="str">
        <f t="shared" si="104"/>
        <v/>
      </c>
      <c r="E255" s="69" t="str">
        <f t="shared" si="104"/>
        <v/>
      </c>
      <c r="F255" s="69" t="str">
        <f t="shared" si="104"/>
        <v/>
      </c>
      <c r="G255" s="69" t="str">
        <f t="shared" si="104"/>
        <v/>
      </c>
      <c r="H255" s="202" t="str">
        <f t="shared" si="104"/>
        <v/>
      </c>
      <c r="I255" s="203" t="str">
        <f t="shared" si="104"/>
        <v/>
      </c>
      <c r="J255" s="69" t="str">
        <f t="shared" si="94"/>
        <v/>
      </c>
      <c r="K255" s="193">
        <f>IF(G255="",0,IF(COUNTIF(G$206:$G254,G255)&gt;0,0,MAX(K$206:$K254)+1))</f>
        <v>0</v>
      </c>
      <c r="L255" s="200" t="str">
        <f t="shared" si="95"/>
        <v/>
      </c>
      <c r="M255" s="69" t="str">
        <f t="shared" si="96"/>
        <v/>
      </c>
      <c r="O255" s="41">
        <f>O248</f>
        <v>1</v>
      </c>
      <c r="P255" s="41">
        <f t="shared" si="100"/>
        <v>8</v>
      </c>
    </row>
    <row r="256" spans="1:16" x14ac:dyDescent="0.3">
      <c r="A256" s="204" t="str">
        <f>VLOOKUP(CONCATENATE(O256,".9"),'Resultados - 8'!$A$10:$BL$156,64,FALSE)</f>
        <v/>
      </c>
      <c r="B256" s="69" t="str">
        <f t="shared" si="104"/>
        <v/>
      </c>
      <c r="C256" s="69" t="str">
        <f t="shared" si="104"/>
        <v/>
      </c>
      <c r="D256" s="69" t="str">
        <f t="shared" si="104"/>
        <v/>
      </c>
      <c r="E256" s="69" t="str">
        <f t="shared" si="104"/>
        <v/>
      </c>
      <c r="F256" s="69" t="str">
        <f t="shared" si="104"/>
        <v/>
      </c>
      <c r="G256" s="69" t="str">
        <f t="shared" si="104"/>
        <v/>
      </c>
      <c r="H256" s="202" t="str">
        <f t="shared" si="104"/>
        <v/>
      </c>
      <c r="I256" s="203" t="str">
        <f t="shared" si="104"/>
        <v/>
      </c>
      <c r="J256" s="69" t="str">
        <f t="shared" si="94"/>
        <v/>
      </c>
      <c r="K256" s="193">
        <f>IF(G256="",0,IF(COUNTIF(G$206:$G255,G256)&gt;0,0,MAX(K$206:$K255)+1))</f>
        <v>0</v>
      </c>
      <c r="L256" s="200" t="str">
        <f t="shared" si="95"/>
        <v/>
      </c>
      <c r="M256" s="69" t="str">
        <f t="shared" si="96"/>
        <v/>
      </c>
      <c r="O256" s="41">
        <f t="shared" ref="O256:O261" si="107">O255+1</f>
        <v>2</v>
      </c>
      <c r="P256" s="41">
        <f t="shared" si="100"/>
        <v>8</v>
      </c>
    </row>
    <row r="257" spans="1:16" x14ac:dyDescent="0.3">
      <c r="A257" s="204" t="str">
        <f>VLOOKUP(CONCATENATE(O257,".9"),'Resultados - 8'!$A$10:$BL$156,64,FALSE)</f>
        <v/>
      </c>
      <c r="B257" s="69" t="str">
        <f t="shared" si="104"/>
        <v/>
      </c>
      <c r="C257" s="69" t="str">
        <f t="shared" si="104"/>
        <v/>
      </c>
      <c r="D257" s="69" t="str">
        <f t="shared" si="104"/>
        <v/>
      </c>
      <c r="E257" s="69" t="str">
        <f t="shared" si="104"/>
        <v/>
      </c>
      <c r="F257" s="69" t="str">
        <f t="shared" si="104"/>
        <v/>
      </c>
      <c r="G257" s="69" t="str">
        <f t="shared" si="104"/>
        <v/>
      </c>
      <c r="H257" s="202" t="str">
        <f t="shared" si="104"/>
        <v/>
      </c>
      <c r="I257" s="203" t="str">
        <f t="shared" si="104"/>
        <v/>
      </c>
      <c r="J257" s="69" t="str">
        <f t="shared" si="94"/>
        <v/>
      </c>
      <c r="K257" s="193">
        <f>IF(G257="",0,IF(COUNTIF(G$206:$G256,G257)&gt;0,0,MAX(K$206:$K256)+1))</f>
        <v>0</v>
      </c>
      <c r="L257" s="200" t="str">
        <f t="shared" si="95"/>
        <v/>
      </c>
      <c r="M257" s="69" t="str">
        <f t="shared" si="96"/>
        <v/>
      </c>
      <c r="O257" s="41">
        <f t="shared" si="107"/>
        <v>3</v>
      </c>
      <c r="P257" s="41">
        <f t="shared" si="100"/>
        <v>8</v>
      </c>
    </row>
    <row r="258" spans="1:16" x14ac:dyDescent="0.3">
      <c r="A258" s="204" t="str">
        <f>VLOOKUP(CONCATENATE(O258,".9"),'Resultados - 8'!$A$10:$BL$156,64,FALSE)</f>
        <v/>
      </c>
      <c r="B258" s="69" t="str">
        <f t="shared" si="104"/>
        <v/>
      </c>
      <c r="C258" s="69" t="str">
        <f t="shared" si="104"/>
        <v/>
      </c>
      <c r="D258" s="69" t="str">
        <f t="shared" si="104"/>
        <v/>
      </c>
      <c r="E258" s="69" t="str">
        <f t="shared" si="104"/>
        <v/>
      </c>
      <c r="F258" s="69" t="str">
        <f t="shared" si="104"/>
        <v/>
      </c>
      <c r="G258" s="69" t="str">
        <f t="shared" si="104"/>
        <v/>
      </c>
      <c r="H258" s="202" t="str">
        <f t="shared" si="104"/>
        <v/>
      </c>
      <c r="I258" s="203" t="str">
        <f t="shared" si="104"/>
        <v/>
      </c>
      <c r="J258" s="69" t="str">
        <f t="shared" si="94"/>
        <v/>
      </c>
      <c r="K258" s="193">
        <f>IF(G258="",0,IF(COUNTIF(G$206:$G257,G258)&gt;0,0,MAX(K$206:$K257)+1))</f>
        <v>0</v>
      </c>
      <c r="L258" s="200" t="str">
        <f t="shared" si="95"/>
        <v/>
      </c>
      <c r="M258" s="69" t="str">
        <f t="shared" si="96"/>
        <v/>
      </c>
      <c r="O258" s="41">
        <f t="shared" si="107"/>
        <v>4</v>
      </c>
      <c r="P258" s="41">
        <f t="shared" si="100"/>
        <v>8</v>
      </c>
    </row>
    <row r="259" spans="1:16" x14ac:dyDescent="0.3">
      <c r="A259" s="204" t="str">
        <f>VLOOKUP(CONCATENATE(O259,".9"),'Resultados - 8'!$A$10:$BL$156,64,FALSE)</f>
        <v/>
      </c>
      <c r="B259" s="69" t="str">
        <f t="shared" si="104"/>
        <v/>
      </c>
      <c r="C259" s="69" t="str">
        <f t="shared" si="104"/>
        <v/>
      </c>
      <c r="D259" s="69" t="str">
        <f t="shared" si="104"/>
        <v/>
      </c>
      <c r="E259" s="69" t="str">
        <f t="shared" si="104"/>
        <v/>
      </c>
      <c r="F259" s="69" t="str">
        <f t="shared" si="104"/>
        <v/>
      </c>
      <c r="G259" s="69" t="str">
        <f t="shared" si="104"/>
        <v/>
      </c>
      <c r="H259" s="202" t="str">
        <f t="shared" si="104"/>
        <v/>
      </c>
      <c r="I259" s="203" t="str">
        <f t="shared" si="104"/>
        <v/>
      </c>
      <c r="J259" s="69" t="str">
        <f t="shared" si="94"/>
        <v/>
      </c>
      <c r="K259" s="193">
        <f>IF(G259="",0,IF(COUNTIF(G$206:$G258,G259)&gt;0,0,MAX(K$206:$K258)+1))</f>
        <v>0</v>
      </c>
      <c r="L259" s="200" t="str">
        <f t="shared" si="95"/>
        <v/>
      </c>
      <c r="M259" s="69" t="str">
        <f t="shared" si="96"/>
        <v/>
      </c>
      <c r="O259" s="41">
        <f t="shared" si="107"/>
        <v>5</v>
      </c>
      <c r="P259" s="41">
        <f t="shared" si="100"/>
        <v>8</v>
      </c>
    </row>
    <row r="260" spans="1:16" x14ac:dyDescent="0.3">
      <c r="A260" s="204" t="str">
        <f>VLOOKUP(CONCATENATE(O260,".9"),'Resultados - 8'!$A$10:$BL$156,64,FALSE)</f>
        <v/>
      </c>
      <c r="B260" s="69" t="str">
        <f t="shared" si="104"/>
        <v/>
      </c>
      <c r="C260" s="69" t="str">
        <f t="shared" si="104"/>
        <v/>
      </c>
      <c r="D260" s="69" t="str">
        <f t="shared" si="104"/>
        <v/>
      </c>
      <c r="E260" s="69" t="str">
        <f t="shared" si="104"/>
        <v/>
      </c>
      <c r="F260" s="69" t="str">
        <f t="shared" si="104"/>
        <v/>
      </c>
      <c r="G260" s="69" t="str">
        <f t="shared" si="104"/>
        <v/>
      </c>
      <c r="H260" s="202" t="str">
        <f t="shared" si="104"/>
        <v/>
      </c>
      <c r="I260" s="203" t="str">
        <f t="shared" si="104"/>
        <v/>
      </c>
      <c r="J260" s="69" t="str">
        <f t="shared" si="94"/>
        <v/>
      </c>
      <c r="K260" s="193">
        <f>IF(G260="",0,IF(COUNTIF(G$206:$G259,G260)&gt;0,0,MAX(K$206:$K259)+1))</f>
        <v>0</v>
      </c>
      <c r="L260" s="200" t="str">
        <f t="shared" si="95"/>
        <v/>
      </c>
      <c r="M260" s="69" t="str">
        <f t="shared" si="96"/>
        <v/>
      </c>
      <c r="O260" s="41">
        <f t="shared" si="107"/>
        <v>6</v>
      </c>
      <c r="P260" s="41">
        <f t="shared" si="100"/>
        <v>8</v>
      </c>
    </row>
    <row r="261" spans="1:16" x14ac:dyDescent="0.3">
      <c r="A261" s="204" t="str">
        <f>VLOOKUP(CONCATENATE(O261,".9"),'Resultados - 8'!$A$10:$BL$156,64,FALSE)</f>
        <v/>
      </c>
      <c r="B261" s="69" t="str">
        <f t="shared" si="104"/>
        <v/>
      </c>
      <c r="C261" s="69" t="str">
        <f t="shared" si="104"/>
        <v/>
      </c>
      <c r="D261" s="69" t="str">
        <f t="shared" si="104"/>
        <v/>
      </c>
      <c r="E261" s="69" t="str">
        <f t="shared" si="104"/>
        <v/>
      </c>
      <c r="F261" s="69" t="str">
        <f t="shared" si="104"/>
        <v/>
      </c>
      <c r="G261" s="69" t="str">
        <f t="shared" si="104"/>
        <v/>
      </c>
      <c r="H261" s="202" t="str">
        <f t="shared" si="104"/>
        <v/>
      </c>
      <c r="I261" s="203" t="str">
        <f t="shared" si="104"/>
        <v/>
      </c>
      <c r="J261" s="69" t="str">
        <f t="shared" si="94"/>
        <v/>
      </c>
      <c r="K261" s="193">
        <f>IF(G261="",0,IF(COUNTIF(G$206:$G260,G261)&gt;0,0,MAX(K$206:$K260)+1))</f>
        <v>0</v>
      </c>
      <c r="L261" s="200" t="str">
        <f t="shared" si="95"/>
        <v/>
      </c>
      <c r="M261" s="69" t="str">
        <f t="shared" si="96"/>
        <v/>
      </c>
      <c r="O261" s="41">
        <f t="shared" si="107"/>
        <v>7</v>
      </c>
      <c r="P261" s="41">
        <f t="shared" si="100"/>
        <v>8</v>
      </c>
    </row>
    <row r="262" spans="1:16" x14ac:dyDescent="0.3">
      <c r="A262" s="201" t="str">
        <f>VLOOKUP(CONCATENATE(O262,".9"),'Resultados - 9'!$A$10:$BL$156,64,FALSE)</f>
        <v/>
      </c>
      <c r="B262" s="69" t="str">
        <f t="shared" si="104"/>
        <v/>
      </c>
      <c r="C262" s="69" t="str">
        <f t="shared" si="104"/>
        <v/>
      </c>
      <c r="D262" s="69" t="str">
        <f t="shared" si="104"/>
        <v/>
      </c>
      <c r="E262" s="69" t="str">
        <f t="shared" si="104"/>
        <v/>
      </c>
      <c r="F262" s="69" t="str">
        <f t="shared" si="104"/>
        <v/>
      </c>
      <c r="G262" s="69" t="str">
        <f t="shared" si="104"/>
        <v/>
      </c>
      <c r="H262" s="202" t="str">
        <f t="shared" si="104"/>
        <v/>
      </c>
      <c r="I262" s="203" t="str">
        <f t="shared" si="104"/>
        <v/>
      </c>
      <c r="J262" s="69" t="str">
        <f t="shared" si="94"/>
        <v/>
      </c>
      <c r="K262" s="193">
        <f>IF(G262="",0,IF(COUNTIF(G$206:$G261,G262)&gt;0,0,MAX(K$206:$K261)+1))</f>
        <v>0</v>
      </c>
      <c r="L262" s="200" t="str">
        <f t="shared" si="95"/>
        <v/>
      </c>
      <c r="M262" s="69" t="str">
        <f t="shared" si="96"/>
        <v/>
      </c>
      <c r="O262" s="41">
        <f>O255</f>
        <v>1</v>
      </c>
      <c r="P262" s="41">
        <f t="shared" si="100"/>
        <v>9</v>
      </c>
    </row>
    <row r="263" spans="1:16" x14ac:dyDescent="0.3">
      <c r="A263" s="201" t="str">
        <f>VLOOKUP(CONCATENATE(O263,".9"),'Resultados - 9'!$A$10:$BL$156,64,FALSE)</f>
        <v/>
      </c>
      <c r="B263" s="69" t="str">
        <f t="shared" si="104"/>
        <v/>
      </c>
      <c r="C263" s="69" t="str">
        <f t="shared" si="104"/>
        <v/>
      </c>
      <c r="D263" s="69" t="str">
        <f t="shared" si="104"/>
        <v/>
      </c>
      <c r="E263" s="69" t="str">
        <f t="shared" si="104"/>
        <v/>
      </c>
      <c r="F263" s="69" t="str">
        <f t="shared" si="104"/>
        <v/>
      </c>
      <c r="G263" s="69" t="str">
        <f t="shared" si="104"/>
        <v/>
      </c>
      <c r="H263" s="202" t="str">
        <f t="shared" si="104"/>
        <v/>
      </c>
      <c r="I263" s="203" t="str">
        <f t="shared" si="104"/>
        <v/>
      </c>
      <c r="J263" s="69" t="str">
        <f t="shared" si="94"/>
        <v/>
      </c>
      <c r="K263" s="193">
        <f>IF(G263="",0,IF(COUNTIF(G$206:$G262,G263)&gt;0,0,MAX(K$206:$K262)+1))</f>
        <v>0</v>
      </c>
      <c r="L263" s="200" t="str">
        <f t="shared" si="95"/>
        <v/>
      </c>
      <c r="M263" s="69" t="str">
        <f t="shared" si="96"/>
        <v/>
      </c>
      <c r="O263" s="41">
        <f t="shared" ref="O263:O268" si="108">O262+1</f>
        <v>2</v>
      </c>
      <c r="P263" s="41">
        <f t="shared" si="100"/>
        <v>9</v>
      </c>
    </row>
    <row r="264" spans="1:16" x14ac:dyDescent="0.3">
      <c r="A264" s="201" t="str">
        <f>VLOOKUP(CONCATENATE(O264,".9"),'Resultados - 9'!$A$10:$BL$156,64,FALSE)</f>
        <v/>
      </c>
      <c r="B264" s="69" t="str">
        <f t="shared" si="104"/>
        <v/>
      </c>
      <c r="C264" s="69" t="str">
        <f t="shared" si="104"/>
        <v/>
      </c>
      <c r="D264" s="69" t="str">
        <f t="shared" si="104"/>
        <v/>
      </c>
      <c r="E264" s="69" t="str">
        <f t="shared" si="104"/>
        <v/>
      </c>
      <c r="F264" s="69" t="str">
        <f t="shared" si="104"/>
        <v/>
      </c>
      <c r="G264" s="69" t="str">
        <f t="shared" si="104"/>
        <v/>
      </c>
      <c r="H264" s="202" t="str">
        <f t="shared" si="104"/>
        <v/>
      </c>
      <c r="I264" s="203" t="str">
        <f t="shared" si="104"/>
        <v/>
      </c>
      <c r="J264" s="69" t="str">
        <f t="shared" si="94"/>
        <v/>
      </c>
      <c r="K264" s="193">
        <f>IF(G264="",0,IF(COUNTIF(G$206:$G263,G264)&gt;0,0,MAX(K$206:$K263)+1))</f>
        <v>0</v>
      </c>
      <c r="L264" s="200" t="str">
        <f t="shared" si="95"/>
        <v/>
      </c>
      <c r="M264" s="69" t="str">
        <f t="shared" si="96"/>
        <v/>
      </c>
      <c r="O264" s="41">
        <f t="shared" si="108"/>
        <v>3</v>
      </c>
      <c r="P264" s="41">
        <f t="shared" si="100"/>
        <v>9</v>
      </c>
    </row>
    <row r="265" spans="1:16" x14ac:dyDescent="0.3">
      <c r="A265" s="201" t="str">
        <f>VLOOKUP(CONCATENATE(O265,".9"),'Resultados - 9'!$A$10:$BL$156,64,FALSE)</f>
        <v/>
      </c>
      <c r="B265" s="69" t="str">
        <f t="shared" si="104"/>
        <v/>
      </c>
      <c r="C265" s="69" t="str">
        <f t="shared" si="104"/>
        <v/>
      </c>
      <c r="D265" s="69" t="str">
        <f t="shared" si="104"/>
        <v/>
      </c>
      <c r="E265" s="69" t="str">
        <f t="shared" si="104"/>
        <v/>
      </c>
      <c r="F265" s="69" t="str">
        <f t="shared" si="104"/>
        <v/>
      </c>
      <c r="G265" s="69" t="str">
        <f t="shared" si="104"/>
        <v/>
      </c>
      <c r="H265" s="202" t="str">
        <f t="shared" si="104"/>
        <v/>
      </c>
      <c r="I265" s="203" t="str">
        <f t="shared" si="104"/>
        <v/>
      </c>
      <c r="J265" s="69" t="str">
        <f t="shared" si="94"/>
        <v/>
      </c>
      <c r="K265" s="193">
        <f>IF(G265="",0,IF(COUNTIF(G$206:$G264,G265)&gt;0,0,MAX(K$206:$K264)+1))</f>
        <v>0</v>
      </c>
      <c r="L265" s="200" t="str">
        <f t="shared" si="95"/>
        <v/>
      </c>
      <c r="M265" s="69" t="str">
        <f t="shared" si="96"/>
        <v/>
      </c>
      <c r="O265" s="41">
        <f t="shared" si="108"/>
        <v>4</v>
      </c>
      <c r="P265" s="41">
        <f t="shared" si="100"/>
        <v>9</v>
      </c>
    </row>
    <row r="266" spans="1:16" x14ac:dyDescent="0.3">
      <c r="A266" s="201" t="str">
        <f>VLOOKUP(CONCATENATE(O266,".9"),'Resultados - 9'!$A$10:$BL$156,64,FALSE)</f>
        <v/>
      </c>
      <c r="B266" s="69" t="str">
        <f t="shared" si="104"/>
        <v/>
      </c>
      <c r="C266" s="69" t="str">
        <f t="shared" si="104"/>
        <v/>
      </c>
      <c r="D266" s="69" t="str">
        <f t="shared" si="104"/>
        <v/>
      </c>
      <c r="E266" s="69" t="str">
        <f t="shared" si="104"/>
        <v/>
      </c>
      <c r="F266" s="69" t="str">
        <f t="shared" si="104"/>
        <v/>
      </c>
      <c r="G266" s="69" t="str">
        <f t="shared" si="104"/>
        <v/>
      </c>
      <c r="H266" s="202" t="str">
        <f t="shared" si="104"/>
        <v/>
      </c>
      <c r="I266" s="203" t="str">
        <f t="shared" si="104"/>
        <v/>
      </c>
      <c r="J266" s="69" t="str">
        <f t="shared" si="94"/>
        <v/>
      </c>
      <c r="K266" s="193">
        <f>IF(G266="",0,IF(COUNTIF(G$206:$G265,G266)&gt;0,0,MAX(K$206:$K265)+1))</f>
        <v>0</v>
      </c>
      <c r="L266" s="200" t="str">
        <f t="shared" si="95"/>
        <v/>
      </c>
      <c r="M266" s="69" t="str">
        <f t="shared" si="96"/>
        <v/>
      </c>
      <c r="O266" s="41">
        <f t="shared" si="108"/>
        <v>5</v>
      </c>
      <c r="P266" s="41">
        <f t="shared" si="100"/>
        <v>9</v>
      </c>
    </row>
    <row r="267" spans="1:16" x14ac:dyDescent="0.3">
      <c r="A267" s="201" t="str">
        <f>VLOOKUP(CONCATENATE(O267,".9"),'Resultados - 9'!$A$10:$BL$156,64,FALSE)</f>
        <v/>
      </c>
      <c r="B267" s="69" t="str">
        <f t="shared" si="104"/>
        <v/>
      </c>
      <c r="C267" s="69" t="str">
        <f t="shared" si="104"/>
        <v/>
      </c>
      <c r="D267" s="69" t="str">
        <f t="shared" si="104"/>
        <v/>
      </c>
      <c r="E267" s="69" t="str">
        <f t="shared" si="104"/>
        <v/>
      </c>
      <c r="F267" s="69" t="str">
        <f t="shared" si="104"/>
        <v/>
      </c>
      <c r="G267" s="69" t="str">
        <f t="shared" si="104"/>
        <v/>
      </c>
      <c r="H267" s="202" t="str">
        <f t="shared" si="104"/>
        <v/>
      </c>
      <c r="I267" s="203" t="str">
        <f t="shared" si="104"/>
        <v/>
      </c>
      <c r="J267" s="69" t="str">
        <f t="shared" si="94"/>
        <v/>
      </c>
      <c r="K267" s="193">
        <f>IF(G267="",0,IF(COUNTIF(G$206:$G266,G267)&gt;0,0,MAX(K$206:$K266)+1))</f>
        <v>0</v>
      </c>
      <c r="L267" s="200" t="str">
        <f t="shared" si="95"/>
        <v/>
      </c>
      <c r="M267" s="69" t="str">
        <f t="shared" si="96"/>
        <v/>
      </c>
      <c r="O267" s="41">
        <f t="shared" si="108"/>
        <v>6</v>
      </c>
      <c r="P267" s="41">
        <f t="shared" si="100"/>
        <v>9</v>
      </c>
    </row>
    <row r="268" spans="1:16" x14ac:dyDescent="0.3">
      <c r="A268" s="201" t="str">
        <f>VLOOKUP(CONCATENATE(O268,".9"),'Resultados - 9'!$A$10:$BL$156,64,FALSE)</f>
        <v/>
      </c>
      <c r="B268" s="69" t="str">
        <f t="shared" si="104"/>
        <v/>
      </c>
      <c r="C268" s="69" t="str">
        <f t="shared" si="104"/>
        <v/>
      </c>
      <c r="D268" s="69" t="str">
        <f t="shared" si="104"/>
        <v/>
      </c>
      <c r="E268" s="69" t="str">
        <f t="shared" si="104"/>
        <v/>
      </c>
      <c r="F268" s="69" t="str">
        <f t="shared" si="104"/>
        <v/>
      </c>
      <c r="G268" s="69" t="str">
        <f t="shared" si="104"/>
        <v/>
      </c>
      <c r="H268" s="202" t="str">
        <f t="shared" si="104"/>
        <v/>
      </c>
      <c r="I268" s="203" t="str">
        <f t="shared" si="104"/>
        <v/>
      </c>
      <c r="J268" s="69" t="str">
        <f t="shared" si="94"/>
        <v/>
      </c>
      <c r="K268" s="193">
        <f>IF(G268="",0,IF(COUNTIF(G$206:$G267,G268)&gt;0,0,MAX(K$206:$K267)+1))</f>
        <v>0</v>
      </c>
      <c r="L268" s="200" t="str">
        <f t="shared" si="95"/>
        <v/>
      </c>
      <c r="M268" s="69" t="str">
        <f t="shared" si="96"/>
        <v/>
      </c>
      <c r="O268" s="41">
        <f t="shared" si="108"/>
        <v>7</v>
      </c>
      <c r="P268" s="41">
        <f t="shared" si="100"/>
        <v>9</v>
      </c>
    </row>
    <row r="269" spans="1:16" x14ac:dyDescent="0.3">
      <c r="A269" s="204" t="str">
        <f>VLOOKUP(CONCATENATE(O269,".9"),'Resultados - 10'!$A$10:$BL$156,64,FALSE)</f>
        <v/>
      </c>
      <c r="B269" s="69" t="str">
        <f t="shared" si="104"/>
        <v/>
      </c>
      <c r="C269" s="69" t="str">
        <f t="shared" si="104"/>
        <v/>
      </c>
      <c r="D269" s="69" t="str">
        <f t="shared" si="104"/>
        <v/>
      </c>
      <c r="E269" s="69" t="str">
        <f t="shared" si="104"/>
        <v/>
      </c>
      <c r="F269" s="69" t="str">
        <f t="shared" si="104"/>
        <v/>
      </c>
      <c r="G269" s="69" t="str">
        <f t="shared" si="104"/>
        <v/>
      </c>
      <c r="H269" s="202" t="str">
        <f t="shared" si="104"/>
        <v/>
      </c>
      <c r="I269" s="203" t="str">
        <f t="shared" si="104"/>
        <v/>
      </c>
      <c r="J269" s="69" t="str">
        <f t="shared" si="94"/>
        <v/>
      </c>
      <c r="K269" s="193">
        <f>IF(G269="",0,IF(COUNTIF(G$206:$G268,G269)&gt;0,0,MAX(K$206:$K268)+1))</f>
        <v>0</v>
      </c>
      <c r="L269" s="200" t="str">
        <f t="shared" si="95"/>
        <v/>
      </c>
      <c r="M269" s="69" t="str">
        <f t="shared" si="96"/>
        <v/>
      </c>
      <c r="O269" s="41">
        <f>O262</f>
        <v>1</v>
      </c>
      <c r="P269" s="41">
        <f t="shared" si="100"/>
        <v>10</v>
      </c>
    </row>
    <row r="270" spans="1:16" x14ac:dyDescent="0.3">
      <c r="A270" s="204" t="str">
        <f>VLOOKUP(CONCATENATE(O270,".9"),'Resultados - 10'!$A$10:$BL$156,64,FALSE)</f>
        <v/>
      </c>
      <c r="B270" s="69" t="str">
        <f t="shared" si="104"/>
        <v/>
      </c>
      <c r="C270" s="69" t="str">
        <f t="shared" si="104"/>
        <v/>
      </c>
      <c r="D270" s="69" t="str">
        <f t="shared" si="104"/>
        <v/>
      </c>
      <c r="E270" s="69" t="str">
        <f t="shared" si="104"/>
        <v/>
      </c>
      <c r="F270" s="69" t="str">
        <f t="shared" si="104"/>
        <v/>
      </c>
      <c r="G270" s="69" t="str">
        <f t="shared" si="104"/>
        <v/>
      </c>
      <c r="H270" s="202" t="str">
        <f t="shared" si="104"/>
        <v/>
      </c>
      <c r="I270" s="203" t="str">
        <f t="shared" ref="C270:I289" si="109">IF($A270="","",VLOOKUP($A270,$A$74:$CY$93,I$120,FALSE))</f>
        <v/>
      </c>
      <c r="J270" s="69" t="str">
        <f t="shared" si="94"/>
        <v/>
      </c>
      <c r="K270" s="193">
        <f>IF(G270="",0,IF(COUNTIF(G$206:$G269,G270)&gt;0,0,MAX(K$206:$K269)+1))</f>
        <v>0</v>
      </c>
      <c r="L270" s="200" t="str">
        <f t="shared" si="95"/>
        <v/>
      </c>
      <c r="M270" s="69" t="str">
        <f t="shared" si="96"/>
        <v/>
      </c>
      <c r="O270" s="41">
        <f t="shared" ref="O270:O275" si="110">O269+1</f>
        <v>2</v>
      </c>
      <c r="P270" s="41">
        <f t="shared" si="100"/>
        <v>10</v>
      </c>
    </row>
    <row r="271" spans="1:16" x14ac:dyDescent="0.3">
      <c r="A271" s="204" t="str">
        <f>VLOOKUP(CONCATENATE(O271,".9"),'Resultados - 10'!$A$10:$BL$156,64,FALSE)</f>
        <v/>
      </c>
      <c r="B271" s="69" t="str">
        <f t="shared" ref="B271:B289" si="111">IF($A271="","",VLOOKUP($A271,$A$74:$CY$93,B$120,FALSE))</f>
        <v/>
      </c>
      <c r="C271" s="69" t="str">
        <f t="shared" si="109"/>
        <v/>
      </c>
      <c r="D271" s="69" t="str">
        <f t="shared" si="109"/>
        <v/>
      </c>
      <c r="E271" s="69" t="str">
        <f t="shared" si="109"/>
        <v/>
      </c>
      <c r="F271" s="69" t="str">
        <f t="shared" si="109"/>
        <v/>
      </c>
      <c r="G271" s="69" t="str">
        <f t="shared" si="109"/>
        <v/>
      </c>
      <c r="H271" s="202" t="str">
        <f t="shared" si="109"/>
        <v/>
      </c>
      <c r="I271" s="203" t="str">
        <f t="shared" si="109"/>
        <v/>
      </c>
      <c r="J271" s="69" t="str">
        <f t="shared" ref="J271:J289" si="112">IF($A271="","",VLOOKUP($A271,$A$74:$CY$93,16,FALSE))</f>
        <v/>
      </c>
      <c r="K271" s="193">
        <f>IF(G271="",0,IF(COUNTIF(G$206:$G270,G271)&gt;0,0,MAX(K$206:$K270)+1))</f>
        <v>0</v>
      </c>
      <c r="L271" s="200" t="str">
        <f t="shared" ref="L271:L289" si="113">IF(K271=0,"",IF(M271="VENCIDO","-",CONCATENATE(C271,", id. ",B271,", calibrado por ",F271," em ",TEXT(H271,"dd/mm/aaaa"),", certificado n° ",G271,", válido até ",TEXT(I271,"mmmm/aaaa"),".")))</f>
        <v/>
      </c>
      <c r="M271" s="69" t="str">
        <f t="shared" ref="M271:M289" si="114">IF($A271="","",VLOOKUP($A271,$A$74:$CY$93,M$120,FALSE))</f>
        <v/>
      </c>
      <c r="O271" s="41">
        <f t="shared" si="110"/>
        <v>3</v>
      </c>
      <c r="P271" s="41">
        <f t="shared" si="100"/>
        <v>10</v>
      </c>
    </row>
    <row r="272" spans="1:16" x14ac:dyDescent="0.3">
      <c r="A272" s="204" t="str">
        <f>VLOOKUP(CONCATENATE(O272,".9"),'Resultados - 10'!$A$10:$BL$156,64,FALSE)</f>
        <v/>
      </c>
      <c r="B272" s="69" t="str">
        <f t="shared" si="111"/>
        <v/>
      </c>
      <c r="C272" s="69" t="str">
        <f t="shared" si="109"/>
        <v/>
      </c>
      <c r="D272" s="69" t="str">
        <f t="shared" si="109"/>
        <v/>
      </c>
      <c r="E272" s="69" t="str">
        <f t="shared" si="109"/>
        <v/>
      </c>
      <c r="F272" s="69" t="str">
        <f t="shared" si="109"/>
        <v/>
      </c>
      <c r="G272" s="69" t="str">
        <f t="shared" si="109"/>
        <v/>
      </c>
      <c r="H272" s="202" t="str">
        <f t="shared" si="109"/>
        <v/>
      </c>
      <c r="I272" s="203" t="str">
        <f t="shared" si="109"/>
        <v/>
      </c>
      <c r="J272" s="69" t="str">
        <f t="shared" si="112"/>
        <v/>
      </c>
      <c r="K272" s="193">
        <f>IF(G272="",0,IF(COUNTIF(G$206:$G271,G272)&gt;0,0,MAX(K$206:$K271)+1))</f>
        <v>0</v>
      </c>
      <c r="L272" s="200" t="str">
        <f t="shared" si="113"/>
        <v/>
      </c>
      <c r="M272" s="69" t="str">
        <f t="shared" si="114"/>
        <v/>
      </c>
      <c r="O272" s="41">
        <f t="shared" si="110"/>
        <v>4</v>
      </c>
      <c r="P272" s="41">
        <f t="shared" si="100"/>
        <v>10</v>
      </c>
    </row>
    <row r="273" spans="1:16" x14ac:dyDescent="0.3">
      <c r="A273" s="204" t="str">
        <f>VLOOKUP(CONCATENATE(O273,".9"),'Resultados - 10'!$A$10:$BL$156,64,FALSE)</f>
        <v/>
      </c>
      <c r="B273" s="69" t="str">
        <f t="shared" si="111"/>
        <v/>
      </c>
      <c r="C273" s="69" t="str">
        <f t="shared" si="109"/>
        <v/>
      </c>
      <c r="D273" s="69" t="str">
        <f t="shared" si="109"/>
        <v/>
      </c>
      <c r="E273" s="69" t="str">
        <f t="shared" si="109"/>
        <v/>
      </c>
      <c r="F273" s="69" t="str">
        <f t="shared" si="109"/>
        <v/>
      </c>
      <c r="G273" s="69" t="str">
        <f t="shared" si="109"/>
        <v/>
      </c>
      <c r="H273" s="202" t="str">
        <f t="shared" si="109"/>
        <v/>
      </c>
      <c r="I273" s="203" t="str">
        <f t="shared" si="109"/>
        <v/>
      </c>
      <c r="J273" s="69" t="str">
        <f t="shared" si="112"/>
        <v/>
      </c>
      <c r="K273" s="193">
        <f>IF(G273="",0,IF(COUNTIF(G$206:$G272,G273)&gt;0,0,MAX(K$206:$K272)+1))</f>
        <v>0</v>
      </c>
      <c r="L273" s="200" t="str">
        <f t="shared" si="113"/>
        <v/>
      </c>
      <c r="M273" s="69" t="str">
        <f t="shared" si="114"/>
        <v/>
      </c>
      <c r="O273" s="41">
        <f t="shared" si="110"/>
        <v>5</v>
      </c>
      <c r="P273" s="41">
        <f t="shared" si="100"/>
        <v>10</v>
      </c>
    </row>
    <row r="274" spans="1:16" x14ac:dyDescent="0.3">
      <c r="A274" s="204" t="str">
        <f>VLOOKUP(CONCATENATE(O274,".9"),'Resultados - 10'!$A$10:$BL$156,64,FALSE)</f>
        <v/>
      </c>
      <c r="B274" s="69" t="str">
        <f t="shared" si="111"/>
        <v/>
      </c>
      <c r="C274" s="69" t="str">
        <f t="shared" si="109"/>
        <v/>
      </c>
      <c r="D274" s="69" t="str">
        <f t="shared" si="109"/>
        <v/>
      </c>
      <c r="E274" s="69" t="str">
        <f t="shared" si="109"/>
        <v/>
      </c>
      <c r="F274" s="69" t="str">
        <f t="shared" si="109"/>
        <v/>
      </c>
      <c r="G274" s="69" t="str">
        <f t="shared" si="109"/>
        <v/>
      </c>
      <c r="H274" s="202" t="str">
        <f t="shared" si="109"/>
        <v/>
      </c>
      <c r="I274" s="203" t="str">
        <f t="shared" si="109"/>
        <v/>
      </c>
      <c r="J274" s="69" t="str">
        <f t="shared" si="112"/>
        <v/>
      </c>
      <c r="K274" s="193">
        <f>IF(G274="",0,IF(COUNTIF(G$206:$G273,G274)&gt;0,0,MAX(K$206:$K273)+1))</f>
        <v>0</v>
      </c>
      <c r="L274" s="200" t="str">
        <f t="shared" si="113"/>
        <v/>
      </c>
      <c r="M274" s="69" t="str">
        <f t="shared" si="114"/>
        <v/>
      </c>
      <c r="O274" s="41">
        <f t="shared" si="110"/>
        <v>6</v>
      </c>
      <c r="P274" s="41">
        <f t="shared" si="100"/>
        <v>10</v>
      </c>
    </row>
    <row r="275" spans="1:16" x14ac:dyDescent="0.3">
      <c r="A275" s="204" t="str">
        <f>VLOOKUP(CONCATENATE(O275,".9"),'Resultados - 10'!$A$10:$BL$156,64,FALSE)</f>
        <v/>
      </c>
      <c r="B275" s="69" t="str">
        <f t="shared" si="111"/>
        <v/>
      </c>
      <c r="C275" s="69" t="str">
        <f t="shared" si="109"/>
        <v/>
      </c>
      <c r="D275" s="69" t="str">
        <f t="shared" si="109"/>
        <v/>
      </c>
      <c r="E275" s="69" t="str">
        <f t="shared" si="109"/>
        <v/>
      </c>
      <c r="F275" s="69" t="str">
        <f t="shared" si="109"/>
        <v/>
      </c>
      <c r="G275" s="69" t="str">
        <f t="shared" si="109"/>
        <v/>
      </c>
      <c r="H275" s="202" t="str">
        <f t="shared" si="109"/>
        <v/>
      </c>
      <c r="I275" s="203" t="str">
        <f t="shared" si="109"/>
        <v/>
      </c>
      <c r="J275" s="69" t="str">
        <f t="shared" si="112"/>
        <v/>
      </c>
      <c r="K275" s="193">
        <f>IF(G275="",0,IF(COUNTIF(G$206:$G274,G275)&gt;0,0,MAX(K$206:$K274)+1))</f>
        <v>0</v>
      </c>
      <c r="L275" s="200" t="str">
        <f t="shared" si="113"/>
        <v/>
      </c>
      <c r="M275" s="69" t="str">
        <f t="shared" si="114"/>
        <v/>
      </c>
      <c r="O275" s="41">
        <f t="shared" si="110"/>
        <v>7</v>
      </c>
      <c r="P275" s="41">
        <f t="shared" si="100"/>
        <v>10</v>
      </c>
    </row>
    <row r="276" spans="1:16" x14ac:dyDescent="0.3">
      <c r="A276" s="201" t="str">
        <f>VLOOKUP(CONCATENATE(O276,".9"),'Resultados - 11'!$A$10:$BL$156,64,FALSE)</f>
        <v/>
      </c>
      <c r="B276" s="69" t="str">
        <f t="shared" si="111"/>
        <v/>
      </c>
      <c r="C276" s="69" t="str">
        <f t="shared" si="109"/>
        <v/>
      </c>
      <c r="D276" s="69" t="str">
        <f t="shared" si="109"/>
        <v/>
      </c>
      <c r="E276" s="69" t="str">
        <f t="shared" si="109"/>
        <v/>
      </c>
      <c r="F276" s="69" t="str">
        <f t="shared" si="109"/>
        <v/>
      </c>
      <c r="G276" s="69" t="str">
        <f t="shared" si="109"/>
        <v/>
      </c>
      <c r="H276" s="202" t="str">
        <f t="shared" si="109"/>
        <v/>
      </c>
      <c r="I276" s="203" t="str">
        <f t="shared" si="109"/>
        <v/>
      </c>
      <c r="J276" s="69" t="str">
        <f t="shared" si="112"/>
        <v/>
      </c>
      <c r="K276" s="193">
        <f>IF(G276="",0,IF(COUNTIF(G$206:$G275,G276)&gt;0,0,MAX(K$206:$K275)+1))</f>
        <v>0</v>
      </c>
      <c r="L276" s="200" t="str">
        <f t="shared" si="113"/>
        <v/>
      </c>
      <c r="M276" s="69" t="str">
        <f t="shared" si="114"/>
        <v/>
      </c>
      <c r="O276" s="41">
        <f>O269</f>
        <v>1</v>
      </c>
      <c r="P276" s="41">
        <f t="shared" si="100"/>
        <v>11</v>
      </c>
    </row>
    <row r="277" spans="1:16" x14ac:dyDescent="0.3">
      <c r="A277" s="201" t="str">
        <f>VLOOKUP(CONCATENATE(O277,".9"),'Resultados - 11'!$A$10:$BL$156,64,FALSE)</f>
        <v/>
      </c>
      <c r="B277" s="69" t="str">
        <f t="shared" si="111"/>
        <v/>
      </c>
      <c r="C277" s="69" t="str">
        <f t="shared" si="109"/>
        <v/>
      </c>
      <c r="D277" s="69" t="str">
        <f t="shared" si="109"/>
        <v/>
      </c>
      <c r="E277" s="69" t="str">
        <f t="shared" si="109"/>
        <v/>
      </c>
      <c r="F277" s="69" t="str">
        <f t="shared" si="109"/>
        <v/>
      </c>
      <c r="G277" s="69" t="str">
        <f t="shared" si="109"/>
        <v/>
      </c>
      <c r="H277" s="202" t="str">
        <f t="shared" si="109"/>
        <v/>
      </c>
      <c r="I277" s="203" t="str">
        <f t="shared" si="109"/>
        <v/>
      </c>
      <c r="J277" s="69" t="str">
        <f t="shared" si="112"/>
        <v/>
      </c>
      <c r="K277" s="193">
        <f>IF(G277="",0,IF(COUNTIF(G$206:$G276,G277)&gt;0,0,MAX(K$206:$K276)+1))</f>
        <v>0</v>
      </c>
      <c r="L277" s="200" t="str">
        <f t="shared" si="113"/>
        <v/>
      </c>
      <c r="M277" s="69" t="str">
        <f t="shared" si="114"/>
        <v/>
      </c>
      <c r="O277" s="41">
        <f t="shared" ref="O277:O282" si="115">O276+1</f>
        <v>2</v>
      </c>
      <c r="P277" s="41">
        <f t="shared" si="100"/>
        <v>11</v>
      </c>
    </row>
    <row r="278" spans="1:16" x14ac:dyDescent="0.3">
      <c r="A278" s="201" t="str">
        <f>VLOOKUP(CONCATENATE(O278,".9"),'Resultados - 11'!$A$10:$BL$156,64,FALSE)</f>
        <v/>
      </c>
      <c r="B278" s="69" t="str">
        <f t="shared" si="111"/>
        <v/>
      </c>
      <c r="C278" s="69" t="str">
        <f t="shared" si="109"/>
        <v/>
      </c>
      <c r="D278" s="69" t="str">
        <f t="shared" si="109"/>
        <v/>
      </c>
      <c r="E278" s="69" t="str">
        <f t="shared" si="109"/>
        <v/>
      </c>
      <c r="F278" s="69" t="str">
        <f t="shared" si="109"/>
        <v/>
      </c>
      <c r="G278" s="69" t="str">
        <f t="shared" si="109"/>
        <v/>
      </c>
      <c r="H278" s="202" t="str">
        <f t="shared" si="109"/>
        <v/>
      </c>
      <c r="I278" s="203" t="str">
        <f t="shared" si="109"/>
        <v/>
      </c>
      <c r="J278" s="69" t="str">
        <f t="shared" si="112"/>
        <v/>
      </c>
      <c r="K278" s="193">
        <f>IF(G278="",0,IF(COUNTIF(G$206:$G277,G278)&gt;0,0,MAX(K$206:$K277)+1))</f>
        <v>0</v>
      </c>
      <c r="L278" s="200" t="str">
        <f t="shared" si="113"/>
        <v/>
      </c>
      <c r="M278" s="69" t="str">
        <f t="shared" si="114"/>
        <v/>
      </c>
      <c r="O278" s="41">
        <f t="shared" si="115"/>
        <v>3</v>
      </c>
      <c r="P278" s="41">
        <f t="shared" ref="P278:P289" si="116">P271+1</f>
        <v>11</v>
      </c>
    </row>
    <row r="279" spans="1:16" x14ac:dyDescent="0.3">
      <c r="A279" s="201" t="str">
        <f>VLOOKUP(CONCATENATE(O279,".9"),'Resultados - 11'!$A$10:$BL$156,64,FALSE)</f>
        <v/>
      </c>
      <c r="B279" s="69" t="str">
        <f t="shared" si="111"/>
        <v/>
      </c>
      <c r="C279" s="69" t="str">
        <f t="shared" si="109"/>
        <v/>
      </c>
      <c r="D279" s="69" t="str">
        <f t="shared" si="109"/>
        <v/>
      </c>
      <c r="E279" s="69" t="str">
        <f t="shared" si="109"/>
        <v/>
      </c>
      <c r="F279" s="69" t="str">
        <f t="shared" si="109"/>
        <v/>
      </c>
      <c r="G279" s="69" t="str">
        <f t="shared" si="109"/>
        <v/>
      </c>
      <c r="H279" s="202" t="str">
        <f t="shared" si="109"/>
        <v/>
      </c>
      <c r="I279" s="203" t="str">
        <f t="shared" si="109"/>
        <v/>
      </c>
      <c r="J279" s="69" t="str">
        <f t="shared" si="112"/>
        <v/>
      </c>
      <c r="K279" s="193">
        <f>IF(G279="",0,IF(COUNTIF(G$206:$G278,G279)&gt;0,0,MAX(K$206:$K278)+1))</f>
        <v>0</v>
      </c>
      <c r="L279" s="200" t="str">
        <f t="shared" si="113"/>
        <v/>
      </c>
      <c r="M279" s="69" t="str">
        <f t="shared" si="114"/>
        <v/>
      </c>
      <c r="O279" s="41">
        <f t="shared" si="115"/>
        <v>4</v>
      </c>
      <c r="P279" s="41">
        <f t="shared" si="116"/>
        <v>11</v>
      </c>
    </row>
    <row r="280" spans="1:16" x14ac:dyDescent="0.3">
      <c r="A280" s="201" t="str">
        <f>VLOOKUP(CONCATENATE(O280,".9"),'Resultados - 11'!$A$10:$BL$156,64,FALSE)</f>
        <v/>
      </c>
      <c r="B280" s="69" t="str">
        <f t="shared" si="111"/>
        <v/>
      </c>
      <c r="C280" s="69" t="str">
        <f t="shared" si="109"/>
        <v/>
      </c>
      <c r="D280" s="69" t="str">
        <f t="shared" si="109"/>
        <v/>
      </c>
      <c r="E280" s="69" t="str">
        <f t="shared" si="109"/>
        <v/>
      </c>
      <c r="F280" s="69" t="str">
        <f t="shared" si="109"/>
        <v/>
      </c>
      <c r="G280" s="69" t="str">
        <f t="shared" si="109"/>
        <v/>
      </c>
      <c r="H280" s="202" t="str">
        <f t="shared" si="109"/>
        <v/>
      </c>
      <c r="I280" s="203" t="str">
        <f t="shared" si="109"/>
        <v/>
      </c>
      <c r="J280" s="69" t="str">
        <f t="shared" si="112"/>
        <v/>
      </c>
      <c r="K280" s="193">
        <f>IF(G280="",0,IF(COUNTIF(G$206:$G279,G280)&gt;0,0,MAX(K$206:$K279)+1))</f>
        <v>0</v>
      </c>
      <c r="L280" s="200" t="str">
        <f t="shared" si="113"/>
        <v/>
      </c>
      <c r="M280" s="69" t="str">
        <f t="shared" si="114"/>
        <v/>
      </c>
      <c r="O280" s="41">
        <f t="shared" si="115"/>
        <v>5</v>
      </c>
      <c r="P280" s="41">
        <f t="shared" si="116"/>
        <v>11</v>
      </c>
    </row>
    <row r="281" spans="1:16" x14ac:dyDescent="0.3">
      <c r="A281" s="201" t="str">
        <f>VLOOKUP(CONCATENATE(O281,".9"),'Resultados - 11'!$A$10:$BL$156,64,FALSE)</f>
        <v/>
      </c>
      <c r="B281" s="69" t="str">
        <f t="shared" si="111"/>
        <v/>
      </c>
      <c r="C281" s="69" t="str">
        <f t="shared" si="109"/>
        <v/>
      </c>
      <c r="D281" s="69" t="str">
        <f t="shared" si="109"/>
        <v/>
      </c>
      <c r="E281" s="69" t="str">
        <f t="shared" si="109"/>
        <v/>
      </c>
      <c r="F281" s="69" t="str">
        <f t="shared" si="109"/>
        <v/>
      </c>
      <c r="G281" s="69" t="str">
        <f t="shared" si="109"/>
        <v/>
      </c>
      <c r="H281" s="202" t="str">
        <f t="shared" si="109"/>
        <v/>
      </c>
      <c r="I281" s="203" t="str">
        <f t="shared" si="109"/>
        <v/>
      </c>
      <c r="J281" s="69" t="str">
        <f t="shared" si="112"/>
        <v/>
      </c>
      <c r="K281" s="193">
        <f>IF(G281="",0,IF(COUNTIF(G$206:$G280,G281)&gt;0,0,MAX(K$206:$K280)+1))</f>
        <v>0</v>
      </c>
      <c r="L281" s="200" t="str">
        <f t="shared" si="113"/>
        <v/>
      </c>
      <c r="M281" s="69" t="str">
        <f t="shared" si="114"/>
        <v/>
      </c>
      <c r="O281" s="41">
        <f t="shared" si="115"/>
        <v>6</v>
      </c>
      <c r="P281" s="41">
        <f t="shared" si="116"/>
        <v>11</v>
      </c>
    </row>
    <row r="282" spans="1:16" x14ac:dyDescent="0.3">
      <c r="A282" s="201" t="str">
        <f>VLOOKUP(CONCATENATE(O282,".9"),'Resultados - 11'!$A$10:$BL$156,64,FALSE)</f>
        <v/>
      </c>
      <c r="B282" s="69" t="str">
        <f t="shared" si="111"/>
        <v/>
      </c>
      <c r="C282" s="69" t="str">
        <f t="shared" si="109"/>
        <v/>
      </c>
      <c r="D282" s="69" t="str">
        <f t="shared" si="109"/>
        <v/>
      </c>
      <c r="E282" s="69" t="str">
        <f t="shared" si="109"/>
        <v/>
      </c>
      <c r="F282" s="69" t="str">
        <f t="shared" si="109"/>
        <v/>
      </c>
      <c r="G282" s="69" t="str">
        <f t="shared" si="109"/>
        <v/>
      </c>
      <c r="H282" s="202" t="str">
        <f t="shared" si="109"/>
        <v/>
      </c>
      <c r="I282" s="203" t="str">
        <f t="shared" si="109"/>
        <v/>
      </c>
      <c r="J282" s="69" t="str">
        <f t="shared" si="112"/>
        <v/>
      </c>
      <c r="K282" s="193">
        <f>IF(G282="",0,IF(COUNTIF(G$206:$G281,G282)&gt;0,0,MAX(K$206:$K281)+1))</f>
        <v>0</v>
      </c>
      <c r="L282" s="200" t="str">
        <f t="shared" si="113"/>
        <v/>
      </c>
      <c r="M282" s="69" t="str">
        <f t="shared" si="114"/>
        <v/>
      </c>
      <c r="O282" s="41">
        <f t="shared" si="115"/>
        <v>7</v>
      </c>
      <c r="P282" s="41">
        <f t="shared" si="116"/>
        <v>11</v>
      </c>
    </row>
    <row r="283" spans="1:16" x14ac:dyDescent="0.3">
      <c r="A283" s="204" t="str">
        <f>VLOOKUP(CONCATENATE(O283,".9"),'Resultados - 12'!$A$10:$BL$156,64,FALSE)</f>
        <v/>
      </c>
      <c r="B283" s="69" t="str">
        <f t="shared" si="111"/>
        <v/>
      </c>
      <c r="C283" s="69" t="str">
        <f t="shared" si="109"/>
        <v/>
      </c>
      <c r="D283" s="69" t="str">
        <f t="shared" si="109"/>
        <v/>
      </c>
      <c r="E283" s="69" t="str">
        <f t="shared" si="109"/>
        <v/>
      </c>
      <c r="F283" s="69" t="str">
        <f t="shared" si="109"/>
        <v/>
      </c>
      <c r="G283" s="69" t="str">
        <f t="shared" si="109"/>
        <v/>
      </c>
      <c r="H283" s="202" t="str">
        <f t="shared" si="109"/>
        <v/>
      </c>
      <c r="I283" s="203" t="str">
        <f t="shared" si="109"/>
        <v/>
      </c>
      <c r="J283" s="69" t="str">
        <f t="shared" si="112"/>
        <v/>
      </c>
      <c r="K283" s="193">
        <f>IF(G283="",0,IF(COUNTIF(G$206:$G282,G283)&gt;0,0,MAX(K$206:$K282)+1))</f>
        <v>0</v>
      </c>
      <c r="L283" s="200" t="str">
        <f t="shared" si="113"/>
        <v/>
      </c>
      <c r="M283" s="69" t="str">
        <f t="shared" si="114"/>
        <v/>
      </c>
      <c r="O283" s="41">
        <f>O276</f>
        <v>1</v>
      </c>
      <c r="P283" s="41">
        <f t="shared" si="116"/>
        <v>12</v>
      </c>
    </row>
    <row r="284" spans="1:16" x14ac:dyDescent="0.3">
      <c r="A284" s="204" t="str">
        <f>VLOOKUP(CONCATENATE(O284,".9"),'Resultados - 12'!$A$10:$BL$156,64,FALSE)</f>
        <v/>
      </c>
      <c r="B284" s="69" t="str">
        <f t="shared" si="111"/>
        <v/>
      </c>
      <c r="C284" s="69" t="str">
        <f t="shared" si="109"/>
        <v/>
      </c>
      <c r="D284" s="69" t="str">
        <f t="shared" si="109"/>
        <v/>
      </c>
      <c r="E284" s="69" t="str">
        <f t="shared" si="109"/>
        <v/>
      </c>
      <c r="F284" s="69" t="str">
        <f t="shared" si="109"/>
        <v/>
      </c>
      <c r="G284" s="69" t="str">
        <f t="shared" si="109"/>
        <v/>
      </c>
      <c r="H284" s="202" t="str">
        <f t="shared" si="109"/>
        <v/>
      </c>
      <c r="I284" s="203" t="str">
        <f t="shared" si="109"/>
        <v/>
      </c>
      <c r="J284" s="69" t="str">
        <f t="shared" si="112"/>
        <v/>
      </c>
      <c r="K284" s="193">
        <f>IF(G284="",0,IF(COUNTIF(G$206:$G283,G284)&gt;0,0,MAX(K$206:$K283)+1))</f>
        <v>0</v>
      </c>
      <c r="L284" s="200" t="str">
        <f t="shared" si="113"/>
        <v/>
      </c>
      <c r="M284" s="69" t="str">
        <f t="shared" si="114"/>
        <v/>
      </c>
      <c r="O284" s="41">
        <f t="shared" ref="O284:O289" si="117">O283+1</f>
        <v>2</v>
      </c>
      <c r="P284" s="41">
        <f t="shared" si="116"/>
        <v>12</v>
      </c>
    </row>
    <row r="285" spans="1:16" x14ac:dyDescent="0.3">
      <c r="A285" s="204" t="str">
        <f>VLOOKUP(CONCATENATE(O285,".9"),'Resultados - 12'!$A$10:$BL$156,64,FALSE)</f>
        <v/>
      </c>
      <c r="B285" s="69" t="str">
        <f t="shared" si="111"/>
        <v/>
      </c>
      <c r="C285" s="69" t="str">
        <f t="shared" si="109"/>
        <v/>
      </c>
      <c r="D285" s="69" t="str">
        <f t="shared" si="109"/>
        <v/>
      </c>
      <c r="E285" s="69" t="str">
        <f t="shared" si="109"/>
        <v/>
      </c>
      <c r="F285" s="69" t="str">
        <f t="shared" si="109"/>
        <v/>
      </c>
      <c r="G285" s="69" t="str">
        <f t="shared" si="109"/>
        <v/>
      </c>
      <c r="H285" s="202" t="str">
        <f t="shared" si="109"/>
        <v/>
      </c>
      <c r="I285" s="203" t="str">
        <f t="shared" si="109"/>
        <v/>
      </c>
      <c r="J285" s="69" t="str">
        <f t="shared" si="112"/>
        <v/>
      </c>
      <c r="K285" s="193">
        <f>IF(G285="",0,IF(COUNTIF(G$206:$G284,G285)&gt;0,0,MAX(K$206:$K284)+1))</f>
        <v>0</v>
      </c>
      <c r="L285" s="200" t="str">
        <f t="shared" si="113"/>
        <v/>
      </c>
      <c r="M285" s="69" t="str">
        <f t="shared" si="114"/>
        <v/>
      </c>
      <c r="O285" s="41">
        <f t="shared" si="117"/>
        <v>3</v>
      </c>
      <c r="P285" s="41">
        <f t="shared" si="116"/>
        <v>12</v>
      </c>
    </row>
    <row r="286" spans="1:16" x14ac:dyDescent="0.3">
      <c r="A286" s="204" t="str">
        <f>VLOOKUP(CONCATENATE(O286,".9"),'Resultados - 12'!$A$10:$BL$156,64,FALSE)</f>
        <v/>
      </c>
      <c r="B286" s="69" t="str">
        <f t="shared" si="111"/>
        <v/>
      </c>
      <c r="C286" s="69" t="str">
        <f t="shared" si="109"/>
        <v/>
      </c>
      <c r="D286" s="69" t="str">
        <f t="shared" si="109"/>
        <v/>
      </c>
      <c r="E286" s="69" t="str">
        <f t="shared" si="109"/>
        <v/>
      </c>
      <c r="F286" s="69" t="str">
        <f t="shared" si="109"/>
        <v/>
      </c>
      <c r="G286" s="69" t="str">
        <f t="shared" si="109"/>
        <v/>
      </c>
      <c r="H286" s="202" t="str">
        <f t="shared" si="109"/>
        <v/>
      </c>
      <c r="I286" s="203" t="str">
        <f t="shared" si="109"/>
        <v/>
      </c>
      <c r="J286" s="69" t="str">
        <f t="shared" si="112"/>
        <v/>
      </c>
      <c r="K286" s="193">
        <f>IF(G286="",0,IF(COUNTIF(G$206:$G285,G286)&gt;0,0,MAX(K$206:$K285)+1))</f>
        <v>0</v>
      </c>
      <c r="L286" s="200" t="str">
        <f t="shared" si="113"/>
        <v/>
      </c>
      <c r="M286" s="69" t="str">
        <f t="shared" si="114"/>
        <v/>
      </c>
      <c r="O286" s="41">
        <f t="shared" si="117"/>
        <v>4</v>
      </c>
      <c r="P286" s="41">
        <f t="shared" si="116"/>
        <v>12</v>
      </c>
    </row>
    <row r="287" spans="1:16" x14ac:dyDescent="0.3">
      <c r="A287" s="204" t="str">
        <f>VLOOKUP(CONCATENATE(O287,".9"),'Resultados - 12'!$A$10:$BL$156,64,FALSE)</f>
        <v/>
      </c>
      <c r="B287" s="69" t="str">
        <f t="shared" si="111"/>
        <v/>
      </c>
      <c r="C287" s="69" t="str">
        <f t="shared" si="109"/>
        <v/>
      </c>
      <c r="D287" s="69" t="str">
        <f t="shared" si="109"/>
        <v/>
      </c>
      <c r="E287" s="69" t="str">
        <f t="shared" si="109"/>
        <v/>
      </c>
      <c r="F287" s="69" t="str">
        <f t="shared" si="109"/>
        <v/>
      </c>
      <c r="G287" s="69" t="str">
        <f t="shared" si="109"/>
        <v/>
      </c>
      <c r="H287" s="202" t="str">
        <f t="shared" si="109"/>
        <v/>
      </c>
      <c r="I287" s="203" t="str">
        <f t="shared" si="109"/>
        <v/>
      </c>
      <c r="J287" s="69" t="str">
        <f t="shared" si="112"/>
        <v/>
      </c>
      <c r="K287" s="193">
        <f>IF(G287="",0,IF(COUNTIF(G$206:$G286,G287)&gt;0,0,MAX(K$206:$K286)+1))</f>
        <v>0</v>
      </c>
      <c r="L287" s="200" t="str">
        <f t="shared" si="113"/>
        <v/>
      </c>
      <c r="M287" s="69" t="str">
        <f t="shared" si="114"/>
        <v/>
      </c>
      <c r="O287" s="41">
        <f t="shared" si="117"/>
        <v>5</v>
      </c>
      <c r="P287" s="41">
        <f t="shared" si="116"/>
        <v>12</v>
      </c>
    </row>
    <row r="288" spans="1:16" x14ac:dyDescent="0.3">
      <c r="A288" s="204" t="str">
        <f>VLOOKUP(CONCATENATE(O288,".9"),'Resultados - 12'!$A$10:$BL$156,64,FALSE)</f>
        <v/>
      </c>
      <c r="B288" s="69" t="str">
        <f t="shared" si="111"/>
        <v/>
      </c>
      <c r="C288" s="69" t="str">
        <f t="shared" si="109"/>
        <v/>
      </c>
      <c r="D288" s="69" t="str">
        <f t="shared" si="109"/>
        <v/>
      </c>
      <c r="E288" s="69" t="str">
        <f t="shared" si="109"/>
        <v/>
      </c>
      <c r="F288" s="69" t="str">
        <f t="shared" si="109"/>
        <v/>
      </c>
      <c r="G288" s="69" t="str">
        <f t="shared" si="109"/>
        <v/>
      </c>
      <c r="H288" s="202" t="str">
        <f t="shared" si="109"/>
        <v/>
      </c>
      <c r="I288" s="203" t="str">
        <f t="shared" si="109"/>
        <v/>
      </c>
      <c r="J288" s="69" t="str">
        <f t="shared" si="112"/>
        <v/>
      </c>
      <c r="K288" s="193">
        <f>IF(G288="",0,IF(COUNTIF(G$206:$G287,G288)&gt;0,0,MAX(K$206:$K287)+1))</f>
        <v>0</v>
      </c>
      <c r="L288" s="200" t="str">
        <f t="shared" si="113"/>
        <v/>
      </c>
      <c r="M288" s="69" t="str">
        <f t="shared" si="114"/>
        <v/>
      </c>
      <c r="O288" s="41">
        <f t="shared" si="117"/>
        <v>6</v>
      </c>
      <c r="P288" s="41">
        <f t="shared" si="116"/>
        <v>12</v>
      </c>
    </row>
    <row r="289" spans="1:16" x14ac:dyDescent="0.3">
      <c r="A289" s="204" t="str">
        <f>VLOOKUP(CONCATENATE(O289,".9"),'Resultados - 12'!$A$10:$BL$156,64,FALSE)</f>
        <v/>
      </c>
      <c r="B289" s="69" t="str">
        <f t="shared" si="111"/>
        <v/>
      </c>
      <c r="C289" s="69" t="str">
        <f t="shared" si="109"/>
        <v/>
      </c>
      <c r="D289" s="69" t="str">
        <f t="shared" si="109"/>
        <v/>
      </c>
      <c r="E289" s="69" t="str">
        <f t="shared" si="109"/>
        <v/>
      </c>
      <c r="F289" s="69" t="str">
        <f t="shared" si="109"/>
        <v/>
      </c>
      <c r="G289" s="69" t="str">
        <f t="shared" si="109"/>
        <v/>
      </c>
      <c r="H289" s="202" t="str">
        <f t="shared" si="109"/>
        <v/>
      </c>
      <c r="I289" s="203" t="str">
        <f t="shared" si="109"/>
        <v/>
      </c>
      <c r="J289" s="69" t="str">
        <f t="shared" si="112"/>
        <v/>
      </c>
      <c r="K289" s="193">
        <f>IF(G289="",0,IF(COUNTIF(G$206:$G288,G289)&gt;0,0,MAX(K$206:$K288)+1))</f>
        <v>0</v>
      </c>
      <c r="L289" s="200" t="str">
        <f t="shared" si="113"/>
        <v/>
      </c>
      <c r="M289" s="69" t="str">
        <f t="shared" si="114"/>
        <v/>
      </c>
      <c r="O289" s="41">
        <f t="shared" si="117"/>
        <v>7</v>
      </c>
      <c r="P289" s="41">
        <f t="shared" si="116"/>
        <v>12</v>
      </c>
    </row>
    <row r="290" spans="1:16" s="44" customFormat="1" x14ac:dyDescent="0.3">
      <c r="A290" s="43"/>
      <c r="K290" s="44">
        <f ca="1">MAX(K291:K293)</f>
        <v>2</v>
      </c>
    </row>
    <row r="291" spans="1:16" x14ac:dyDescent="0.3">
      <c r="A291" s="201">
        <f ca="1">Dados!H21</f>
        <v>56</v>
      </c>
      <c r="B291" s="69" t="str">
        <f ca="1">IF($A291="","",VLOOKUP($A291,$A$5:$CY$24,B$120,FALSE))</f>
        <v>E.TH.LQ-001</v>
      </c>
      <c r="C291" s="69" t="str">
        <f t="shared" ref="C291:I291" ca="1" si="118">IF($A291="","",VLOOKUP($A291,$A$5:$CY$24,C$120,FALSE))</f>
        <v>Termohigrômetro Digital</v>
      </c>
      <c r="D291" s="69" t="str">
        <f t="shared" ca="1" si="118"/>
        <v>E.TH.LQ-001</v>
      </c>
      <c r="E291" s="69" t="str">
        <f t="shared" ca="1" si="118"/>
        <v>Elus</v>
      </c>
      <c r="F291" s="69" t="str">
        <f t="shared" ca="1" si="118"/>
        <v>RBC - CAL 0439</v>
      </c>
      <c r="G291" s="69" t="str">
        <f t="shared" ca="1" si="118"/>
        <v>E0397A/25</v>
      </c>
      <c r="H291" s="202">
        <f t="shared" ca="1" si="118"/>
        <v>45836</v>
      </c>
      <c r="I291" s="203">
        <f t="shared" ca="1" si="118"/>
        <v>46203</v>
      </c>
      <c r="J291" s="199"/>
      <c r="K291" s="193">
        <f ca="1">IF(G291="",0,1)</f>
        <v>1</v>
      </c>
      <c r="L291" s="200" t="str">
        <f ca="1">IF(K291=0,"",IF(M291="VENCIDO","-",CONCATENATE(C291,", id. ",B291,", calibrado por ",F291," em ",TEXT(H291,"dd/mm/aaaa"),", certificado n° ",G291,", válido até ",TEXT(I291,"mmmm/aaaa"),".")))</f>
        <v>Termohigrômetro Digital, id. E.TH.LQ-001, calibrado por RBC - CAL 0439 em 28/06/2025, certificado n° E0397A/25, válido até junho/2026.</v>
      </c>
      <c r="M291" s="69" t="str">
        <f ca="1">IF($A291="","",VLOOKUP($A291,$A$5:$CY$24,M$120,FALSE))</f>
        <v>VÁLIDO</v>
      </c>
      <c r="O291" s="41">
        <v>1</v>
      </c>
      <c r="P291" s="41">
        <v>1</v>
      </c>
    </row>
    <row r="292" spans="1:16" x14ac:dyDescent="0.3">
      <c r="A292" s="201">
        <f ca="1">Dados!P21</f>
        <v>52</v>
      </c>
      <c r="B292" s="69" t="str">
        <f ca="1">IF($A292="","",VLOOKUP($A292,$A$28:$CY$47,B$120,FALSE))</f>
        <v>E.TH.LQ-001</v>
      </c>
      <c r="C292" s="69" t="str">
        <f t="shared" ref="C292:D292" ca="1" si="119">IF($A292="","",VLOOKUP($A292,$A$28:$CY$47,C$120,FALSE))</f>
        <v>Termohigrômetro Digital</v>
      </c>
      <c r="D292" s="69" t="str">
        <f t="shared" ca="1" si="119"/>
        <v>E.TH.LQ-001</v>
      </c>
      <c r="E292" s="69" t="str">
        <f ca="1">IF($A292="","",VLOOKUP($A292,$A$28:$CY$47,E$120+1,FALSE))</f>
        <v>Elus</v>
      </c>
      <c r="F292" s="69" t="str">
        <f t="shared" ref="F292:I292" ca="1" si="120">IF($A292="","",VLOOKUP($A292,$A$28:$CY$47,F$120+1,FALSE))</f>
        <v>RBC - CAL 0439</v>
      </c>
      <c r="G292" s="69" t="str">
        <f t="shared" ca="1" si="120"/>
        <v>E0397A/25</v>
      </c>
      <c r="H292" s="202">
        <f t="shared" ca="1" si="120"/>
        <v>45836</v>
      </c>
      <c r="I292" s="203">
        <f t="shared" ca="1" si="120"/>
        <v>46203</v>
      </c>
      <c r="J292" s="199"/>
      <c r="K292" s="193">
        <f ca="1">IF(G292="",0,IF(COUNTIF(G$291:$G291,G292)&gt;0,0,MAX(K$291:$K291)+1))</f>
        <v>0</v>
      </c>
      <c r="L292" s="200" t="str">
        <f t="shared" ref="L292:L293" ca="1" si="121">IF(K292=0,"",IF(M292="VENCIDO","-",CONCATENATE(C292,", id. ",B292,", calibrado por ",F292," em ",TEXT(H292,"dd/mm/aaaa"),", certificado n° ",G292,", válido até ",TEXT(I292,"mmmm/aaaa"),".")))</f>
        <v/>
      </c>
      <c r="M292" s="69" t="str">
        <f ca="1">IF($A292="","",VLOOKUP($A292,$A$28:$CY$47,M$120,FALSE))</f>
        <v>VÁLIDO</v>
      </c>
      <c r="O292" s="41">
        <f>O291+1</f>
        <v>2</v>
      </c>
      <c r="P292" s="41">
        <f>P291</f>
        <v>1</v>
      </c>
    </row>
    <row r="293" spans="1:16" x14ac:dyDescent="0.3">
      <c r="A293" s="201">
        <f ca="1">Dados!X21</f>
        <v>9</v>
      </c>
      <c r="B293" s="69" t="str">
        <f ca="1">IF($A293="","",VLOOKUP($A293,$A$51:$CY$70,B$120,FALSE))</f>
        <v>E.TH.LQ-001</v>
      </c>
      <c r="C293" s="69" t="str">
        <f t="shared" ref="C293:I293" ca="1" si="122">IF($A293="","",VLOOKUP($A293,$A$51:$CY$70,C$120,FALSE))</f>
        <v>Barômetro Digital</v>
      </c>
      <c r="D293" s="69" t="str">
        <f t="shared" ca="1" si="122"/>
        <v>E.TH.LQ-001</v>
      </c>
      <c r="E293" s="69" t="str">
        <f t="shared" ca="1" si="122"/>
        <v>Elus</v>
      </c>
      <c r="F293" s="69" t="str">
        <f t="shared" ca="1" si="122"/>
        <v>RBC - CAL 0439</v>
      </c>
      <c r="G293" s="69" t="str">
        <f t="shared" ca="1" si="122"/>
        <v>E0397B/25</v>
      </c>
      <c r="H293" s="202">
        <f t="shared" ca="1" si="122"/>
        <v>45822</v>
      </c>
      <c r="I293" s="203">
        <f t="shared" ca="1" si="122"/>
        <v>46203</v>
      </c>
      <c r="J293" s="199"/>
      <c r="K293" s="193">
        <f ca="1">IF(G293="",0,IF(COUNTIF(G$291:$G292,G293)&gt;0,0,MAX(K$291:$K292)+1))</f>
        <v>2</v>
      </c>
      <c r="L293" s="200" t="str">
        <f t="shared" ca="1" si="121"/>
        <v>Barômetro Digital, id. E.TH.LQ-001, calibrado por RBC - CAL 0439 em 14/06/2025, certificado n° E0397B/25, válido até junho/2026.</v>
      </c>
      <c r="M293" s="69" t="str">
        <f ca="1">IF($A293="","",VLOOKUP($A293,$A$51:$CY$70,M$120,FALSE))</f>
        <v>VÁLIDO</v>
      </c>
      <c r="O293" s="41">
        <f t="shared" ref="O293" si="123">O292+1</f>
        <v>3</v>
      </c>
      <c r="P293" s="41">
        <f>P292</f>
        <v>1</v>
      </c>
    </row>
    <row r="295" spans="1:16" x14ac:dyDescent="0.3">
      <c r="A295" s="206">
        <f ca="1">K120</f>
        <v>1</v>
      </c>
      <c r="B295" s="44"/>
      <c r="C295" s="44"/>
      <c r="D295" s="44"/>
      <c r="E295" s="44"/>
      <c r="F295" s="44"/>
      <c r="G295" s="44"/>
    </row>
    <row r="296" spans="1:16" x14ac:dyDescent="0.3">
      <c r="A296" s="39">
        <v>1</v>
      </c>
      <c r="B296" s="205" t="str">
        <f ca="1">IF(A296&lt;=$A$295,VLOOKUP(A296,$K$121:$L$204,2,FALSE),"")</f>
        <v>Balança Analítica, id. E.MS.LQ-006, calibrado por RBC - CAL 0439 em 09/01/2026, certificado n° E0014/26, válido até janeiro/2027.</v>
      </c>
      <c r="H296" s="53">
        <f ca="1">IF(B296="","",1)</f>
        <v>1</v>
      </c>
      <c r="I296" s="205" t="str">
        <f ca="1">IF(H296="","",B296)</f>
        <v>Balança Analítica, id. E.MS.LQ-006, calibrado por RBC - CAL 0439 em 09/01/2026, certificado n° E0014/26, válido até janeiro/2027.</v>
      </c>
    </row>
    <row r="297" spans="1:16" x14ac:dyDescent="0.3">
      <c r="A297" s="39">
        <v>2</v>
      </c>
      <c r="B297" s="205" t="str">
        <f t="shared" ref="B297:B298" ca="1" si="124">IF(A297&lt;=$A$295,VLOOKUP(A297,$K$121:$L$204,2,FALSE),"")</f>
        <v/>
      </c>
      <c r="H297" s="53" t="str">
        <f ca="1">IF(B297="","",MAX($H$296:H296)+1)</f>
        <v/>
      </c>
      <c r="I297" s="205" t="str">
        <f t="shared" ref="I297:I306" ca="1" si="125">IF(H297="","",B297)</f>
        <v/>
      </c>
    </row>
    <row r="298" spans="1:16" x14ac:dyDescent="0.3">
      <c r="A298" s="39">
        <v>3</v>
      </c>
      <c r="B298" s="205" t="str">
        <f t="shared" ca="1" si="124"/>
        <v/>
      </c>
      <c r="H298" s="53" t="str">
        <f ca="1">IF(B298="","",MAX($H$296:H297)+1)</f>
        <v/>
      </c>
      <c r="I298" s="205" t="str">
        <f t="shared" ca="1" si="125"/>
        <v/>
      </c>
    </row>
    <row r="299" spans="1:16" x14ac:dyDescent="0.3">
      <c r="A299" s="206">
        <f ca="1">K205</f>
        <v>1</v>
      </c>
      <c r="B299" s="44"/>
      <c r="C299" s="44"/>
      <c r="D299" s="44"/>
      <c r="E299" s="44"/>
      <c r="F299" s="44"/>
      <c r="G299" s="44"/>
      <c r="H299" s="53" t="str">
        <f>IF(B299="","",MAX($H$296:H298)+1)</f>
        <v/>
      </c>
      <c r="I299" s="205" t="str">
        <f t="shared" si="125"/>
        <v/>
      </c>
    </row>
    <row r="300" spans="1:16" x14ac:dyDescent="0.3">
      <c r="A300" s="39">
        <v>1</v>
      </c>
      <c r="B300" s="205" t="str">
        <f ca="1">IF(A300&lt;=$A$299,VLOOKUP(A300,$K$206:$L$289,2,FALSE),"")</f>
        <v>Termômetro Digital, id. E.TH.LQ-010, calibrado por RBC - CAL 0439 em 15/08/2025, certificado n° E0530/25, válido até agosto/2026.</v>
      </c>
      <c r="H300" s="53">
        <f ca="1">IF(B300="","",MAX($H$296:H299)+1)</f>
        <v>2</v>
      </c>
      <c r="I300" s="205" t="str">
        <f t="shared" ca="1" si="125"/>
        <v>Termômetro Digital, id. E.TH.LQ-010, calibrado por RBC - CAL 0439 em 15/08/2025, certificado n° E0530/25, válido até agosto/2026.</v>
      </c>
    </row>
    <row r="301" spans="1:16" x14ac:dyDescent="0.3">
      <c r="A301" s="39">
        <v>2</v>
      </c>
      <c r="B301" s="205" t="str">
        <f t="shared" ref="B301:B302" ca="1" si="126">IF(A301&lt;=$A$299,VLOOKUP(A301,$K$206:$L$289,2,FALSE),"")</f>
        <v/>
      </c>
      <c r="H301" s="53" t="str">
        <f ca="1">IF(B301="","",MAX($H$296:H300)+1)</f>
        <v/>
      </c>
      <c r="I301" s="205" t="str">
        <f t="shared" ca="1" si="125"/>
        <v/>
      </c>
    </row>
    <row r="302" spans="1:16" x14ac:dyDescent="0.3">
      <c r="A302" s="39">
        <v>3</v>
      </c>
      <c r="B302" s="205" t="str">
        <f t="shared" ca="1" si="126"/>
        <v/>
      </c>
      <c r="H302" s="53" t="str">
        <f ca="1">IF(B302="","",MAX($H$296:H301)+1)</f>
        <v/>
      </c>
      <c r="I302" s="205" t="str">
        <f t="shared" ca="1" si="125"/>
        <v/>
      </c>
    </row>
    <row r="303" spans="1:16" x14ac:dyDescent="0.3">
      <c r="A303" s="206">
        <f ca="1">K290</f>
        <v>2</v>
      </c>
      <c r="B303" s="44"/>
      <c r="C303" s="44"/>
      <c r="D303" s="44"/>
      <c r="E303" s="44"/>
      <c r="F303" s="44"/>
      <c r="G303" s="44"/>
      <c r="H303" s="53" t="str">
        <f>IF(B303="","",MAX($H$296:H302)+1)</f>
        <v/>
      </c>
      <c r="I303" s="205" t="str">
        <f t="shared" si="125"/>
        <v/>
      </c>
    </row>
    <row r="304" spans="1:16" x14ac:dyDescent="0.3">
      <c r="A304" s="39">
        <v>1</v>
      </c>
      <c r="B304" s="205" t="str">
        <f ca="1">IF(A304&lt;=$A$303,VLOOKUP(A304,$K$291:$L$293,2,FALSE),"")</f>
        <v>Termohigrômetro Digital, id. E.TH.LQ-001, calibrado por RBC - CAL 0439 em 28/06/2025, certificado n° E0397A/25, válido até junho/2026.</v>
      </c>
      <c r="H304" s="53">
        <f ca="1">IF(B304="","",MAX($H$296:H303)+1)</f>
        <v>3</v>
      </c>
      <c r="I304" s="205" t="str">
        <f t="shared" ca="1" si="125"/>
        <v>Termohigrômetro Digital, id. E.TH.LQ-001, calibrado por RBC - CAL 0439 em 28/06/2025, certificado n° E0397A/25, válido até junho/2026.</v>
      </c>
    </row>
    <row r="305" spans="1:9" x14ac:dyDescent="0.3">
      <c r="A305" s="39">
        <v>2</v>
      </c>
      <c r="B305" s="205" t="str">
        <f t="shared" ref="B305:B306" ca="1" si="127">IF(A305&lt;=$A$303,VLOOKUP(A305,$K$291:$L$293,2,FALSE),"")</f>
        <v>Barômetro Digital, id. E.TH.LQ-001, calibrado por RBC - CAL 0439 em 14/06/2025, certificado n° E0397B/25, válido até junho/2026.</v>
      </c>
      <c r="H305" s="53">
        <f ca="1">IF(B305="","",MAX($H$296:H304)+1)</f>
        <v>4</v>
      </c>
      <c r="I305" s="205" t="str">
        <f t="shared" ca="1" si="125"/>
        <v>Barômetro Digital, id. E.TH.LQ-001, calibrado por RBC - CAL 0439 em 14/06/2025, certificado n° E0397B/25, válido até junho/2026.</v>
      </c>
    </row>
    <row r="306" spans="1:9" x14ac:dyDescent="0.3">
      <c r="A306" s="39">
        <v>3</v>
      </c>
      <c r="B306" s="205" t="str">
        <f t="shared" ca="1" si="127"/>
        <v/>
      </c>
      <c r="H306" s="53" t="str">
        <f ca="1">IF(B306="","",MAX($H$296:H305)+1)</f>
        <v/>
      </c>
      <c r="I306" s="205" t="str">
        <f t="shared" ca="1" si="125"/>
        <v/>
      </c>
    </row>
    <row r="307" spans="1:9" x14ac:dyDescent="0.3">
      <c r="A307" s="206">
        <f ca="1">MAX(H296:H306)</f>
        <v>4</v>
      </c>
      <c r="B307" s="44"/>
      <c r="C307" s="44"/>
      <c r="D307" s="44"/>
      <c r="E307" s="44"/>
      <c r="F307" s="44"/>
      <c r="G307" s="44"/>
    </row>
    <row r="308" spans="1:9" x14ac:dyDescent="0.3">
      <c r="A308" s="39">
        <v>1</v>
      </c>
      <c r="B308" s="207" t="str">
        <f ca="1">IF(A308&lt;=$A$307,VLOOKUP(A308,$H$296:$I$306,2,FALSE),"")</f>
        <v>Balança Analítica, id. E.MS.LQ-006, calibrado por RBC - CAL 0439 em 09/01/2026, certificado n° E0014/26, válido até janeiro/2027.</v>
      </c>
      <c r="C308" s="208"/>
      <c r="D308" s="208"/>
      <c r="E308" s="208"/>
      <c r="F308" s="208"/>
      <c r="G308" s="209"/>
    </row>
    <row r="309" spans="1:9" x14ac:dyDescent="0.3">
      <c r="A309" s="39">
        <v>2</v>
      </c>
      <c r="B309" s="210" t="str">
        <f t="shared" ref="B309:B313" ca="1" si="128">IF(A309&lt;=$A$307,VLOOKUP(A309,$H$296:$I$306,2,FALSE),"")</f>
        <v>Termômetro Digital, id. E.TH.LQ-010, calibrado por RBC - CAL 0439 em 15/08/2025, certificado n° E0530/25, válido até agosto/2026.</v>
      </c>
      <c r="C309" s="211"/>
      <c r="D309" s="211"/>
      <c r="E309" s="211"/>
      <c r="F309" s="211"/>
      <c r="G309" s="212"/>
    </row>
    <row r="310" spans="1:9" x14ac:dyDescent="0.3">
      <c r="A310" s="39">
        <v>3</v>
      </c>
      <c r="B310" s="210" t="str">
        <f t="shared" ca="1" si="128"/>
        <v>Termohigrômetro Digital, id. E.TH.LQ-001, calibrado por RBC - CAL 0439 em 28/06/2025, certificado n° E0397A/25, válido até junho/2026.</v>
      </c>
      <c r="C310" s="211"/>
      <c r="D310" s="211"/>
      <c r="E310" s="211"/>
      <c r="F310" s="211"/>
      <c r="G310" s="212"/>
    </row>
    <row r="311" spans="1:9" x14ac:dyDescent="0.3">
      <c r="A311" s="39">
        <v>4</v>
      </c>
      <c r="B311" s="210" t="str">
        <f t="shared" ca="1" si="128"/>
        <v>Barômetro Digital, id. E.TH.LQ-001, calibrado por RBC - CAL 0439 em 14/06/2025, certificado n° E0397B/25, válido até junho/2026.</v>
      </c>
      <c r="C311" s="211"/>
      <c r="D311" s="211"/>
      <c r="E311" s="211"/>
      <c r="F311" s="211"/>
      <c r="G311" s="212"/>
    </row>
    <row r="312" spans="1:9" x14ac:dyDescent="0.3">
      <c r="A312" s="39">
        <v>5</v>
      </c>
      <c r="B312" s="210" t="str">
        <f t="shared" ca="1" si="128"/>
        <v/>
      </c>
      <c r="C312" s="211"/>
      <c r="D312" s="211"/>
      <c r="E312" s="211"/>
      <c r="F312" s="211"/>
      <c r="G312" s="212"/>
    </row>
    <row r="313" spans="1:9" x14ac:dyDescent="0.3">
      <c r="A313" s="39">
        <v>6</v>
      </c>
      <c r="B313" s="213" t="str">
        <f t="shared" ca="1" si="128"/>
        <v/>
      </c>
      <c r="C313" s="214"/>
      <c r="D313" s="214"/>
      <c r="E313" s="214"/>
      <c r="F313" s="214"/>
      <c r="G313" s="215"/>
    </row>
  </sheetData>
  <mergeCells count="61">
    <mergeCell ref="AS3:AV3"/>
    <mergeCell ref="R3:AB3"/>
    <mergeCell ref="AC3:AF3"/>
    <mergeCell ref="AG3:AJ3"/>
    <mergeCell ref="AK3:AN3"/>
    <mergeCell ref="AO3:AR3"/>
    <mergeCell ref="Q26:AA26"/>
    <mergeCell ref="AB26:AE26"/>
    <mergeCell ref="AF26:AI26"/>
    <mergeCell ref="AJ26:AM26"/>
    <mergeCell ref="AN26:AQ26"/>
    <mergeCell ref="BH26:BK26"/>
    <mergeCell ref="BL26:BO26"/>
    <mergeCell ref="AW3:AZ3"/>
    <mergeCell ref="BA3:BD3"/>
    <mergeCell ref="BE3:BH3"/>
    <mergeCell ref="BI3:BL3"/>
    <mergeCell ref="BM3:BP3"/>
    <mergeCell ref="AL49:AO49"/>
    <mergeCell ref="AR26:AU26"/>
    <mergeCell ref="AV26:AY26"/>
    <mergeCell ref="AZ26:BC26"/>
    <mergeCell ref="BD26:BG26"/>
    <mergeCell ref="P49:U49"/>
    <mergeCell ref="V49:Y49"/>
    <mergeCell ref="Z49:AC49"/>
    <mergeCell ref="AD49:AG49"/>
    <mergeCell ref="AH49:AK49"/>
    <mergeCell ref="BN49:BQ49"/>
    <mergeCell ref="BR49:BU49"/>
    <mergeCell ref="BV49:BY49"/>
    <mergeCell ref="BZ49:CC49"/>
    <mergeCell ref="AP49:AS49"/>
    <mergeCell ref="AT49:AW49"/>
    <mergeCell ref="AX49:BA49"/>
    <mergeCell ref="BB49:BE49"/>
    <mergeCell ref="BF49:BI49"/>
    <mergeCell ref="BJ49:BM49"/>
    <mergeCell ref="R72:AB72"/>
    <mergeCell ref="AC72:AF72"/>
    <mergeCell ref="AG72:AJ72"/>
    <mergeCell ref="AK72:AN72"/>
    <mergeCell ref="AO72:AR72"/>
    <mergeCell ref="AV95:AY95"/>
    <mergeCell ref="AZ95:BC95"/>
    <mergeCell ref="BD95:BG95"/>
    <mergeCell ref="BH95:BK95"/>
    <mergeCell ref="BI72:BL72"/>
    <mergeCell ref="BL95:BO95"/>
    <mergeCell ref="BM72:BP72"/>
    <mergeCell ref="AS72:AV72"/>
    <mergeCell ref="AW72:AZ72"/>
    <mergeCell ref="BA72:BD72"/>
    <mergeCell ref="BE72:BH72"/>
    <mergeCell ref="AR95:AU95"/>
    <mergeCell ref="AN95:AQ95"/>
    <mergeCell ref="AA120:AB120"/>
    <mergeCell ref="Q95:AA95"/>
    <mergeCell ref="AB95:AE95"/>
    <mergeCell ref="AF95:AI95"/>
    <mergeCell ref="AJ95:AM95"/>
  </mergeCells>
  <conditionalFormatting sqref="H5">
    <cfRule type="expression" dxfId="5" priority="6">
      <formula>$CU5="VENCIDO"</formula>
    </cfRule>
  </conditionalFormatting>
  <conditionalFormatting sqref="H6:H24">
    <cfRule type="expression" dxfId="4" priority="5">
      <formula>$CU6="VENCIDO"</formula>
    </cfRule>
  </conditionalFormatting>
  <conditionalFormatting sqref="I28:I47">
    <cfRule type="expression" dxfId="3" priority="4">
      <formula>$CU28="VENCIDO"</formula>
    </cfRule>
  </conditionalFormatting>
  <conditionalFormatting sqref="H51:H70">
    <cfRule type="expression" dxfId="2" priority="3">
      <formula>$CU51="VENCIDO"</formula>
    </cfRule>
  </conditionalFormatting>
  <conditionalFormatting sqref="H74:H93">
    <cfRule type="expression" dxfId="1" priority="2">
      <formula>$CU74="VENCIDO"</formula>
    </cfRule>
  </conditionalFormatting>
  <conditionalFormatting sqref="H97:H116">
    <cfRule type="expression" dxfId="0" priority="1">
      <formula>$CU97="VENCIDO"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Intervalos Nomeados</vt:lpstr>
      </vt:variant>
      <vt:variant>
        <vt:i4>1</vt:i4>
      </vt:variant>
    </vt:vector>
  </HeadingPairs>
  <TitlesOfParts>
    <vt:vector size="39" baseType="lpstr">
      <vt:lpstr>Matriz Certificados</vt:lpstr>
      <vt:lpstr>Certificado</vt:lpstr>
      <vt:lpstr>Dados</vt:lpstr>
      <vt:lpstr>Resultados - 1</vt:lpstr>
      <vt:lpstr>Resultados - 2</vt:lpstr>
      <vt:lpstr>Resultados - 3</vt:lpstr>
      <vt:lpstr>Resultados - 4</vt:lpstr>
      <vt:lpstr>Resultados - 5</vt:lpstr>
      <vt:lpstr>Resultados - 6</vt:lpstr>
      <vt:lpstr>Resultados - 7</vt:lpstr>
      <vt:lpstr>Resultados - 8</vt:lpstr>
      <vt:lpstr>Resultados - 9</vt:lpstr>
      <vt:lpstr>Resultados - 10</vt:lpstr>
      <vt:lpstr>Resultados - 11</vt:lpstr>
      <vt:lpstr>Resultados - 12</vt:lpstr>
      <vt:lpstr>Incerteza - R1</vt:lpstr>
      <vt:lpstr>Incerteza - R2</vt:lpstr>
      <vt:lpstr>Incerteza - R3</vt:lpstr>
      <vt:lpstr>Incerteza - R4</vt:lpstr>
      <vt:lpstr>Incerteza - R5</vt:lpstr>
      <vt:lpstr>Incerteza - R6</vt:lpstr>
      <vt:lpstr>Incerteza - R7</vt:lpstr>
      <vt:lpstr>Incerteza - R8</vt:lpstr>
      <vt:lpstr>Incerteza - R9</vt:lpstr>
      <vt:lpstr>Incerteza - R10</vt:lpstr>
      <vt:lpstr>Incerteza - R11</vt:lpstr>
      <vt:lpstr>Incerteza - R12</vt:lpstr>
      <vt:lpstr>Incerteza (Par)</vt:lpstr>
      <vt:lpstr>CMC</vt:lpstr>
      <vt:lpstr>Tol. 8655-2</vt:lpstr>
      <vt:lpstr>Tol. 8655-3</vt:lpstr>
      <vt:lpstr>Materiais</vt:lpstr>
      <vt:lpstr>Unidades de medida</vt:lpstr>
      <vt:lpstr>Evaporação do fluido</vt:lpstr>
      <vt:lpstr>Histórico de revisões</vt:lpstr>
      <vt:lpstr>Selo RBC</vt:lpstr>
      <vt:lpstr>Técnicos</vt:lpstr>
      <vt:lpstr>Controle dos padrões</vt:lpstr>
      <vt:lpstr>Certificado!Area_de_impressao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Elus Instrumentacao</dc:creator>
  <cp:lastModifiedBy>Caio Silva</cp:lastModifiedBy>
  <cp:lastPrinted>2026-02-24T12:32:12Z</cp:lastPrinted>
  <dcterms:created xsi:type="dcterms:W3CDTF">2025-03-31T11:50:38Z</dcterms:created>
  <dcterms:modified xsi:type="dcterms:W3CDTF">2026-03-10T17:06:36Z</dcterms:modified>
</cp:coreProperties>
</file>