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ck_87\Downloads\"/>
    </mc:Choice>
  </mc:AlternateContent>
  <xr:revisionPtr revIDLastSave="0" documentId="13_ncr:1_{EEF0D260-29E3-4E3B-B20B-8A4898C8C692}" xr6:coauthVersionLast="47" xr6:coauthVersionMax="47" xr10:uidLastSave="{00000000-0000-0000-0000-000000000000}"/>
  <bookViews>
    <workbookView xWindow="14238" yWindow="390" windowWidth="9612" windowHeight="7218" activeTab="3" xr2:uid="{85E7A9A4-145F-4B0D-A006-D8CE437311BA}"/>
  </bookViews>
  <sheets>
    <sheet name="DADOS" sheetId="1" r:id="rId1"/>
    <sheet name="FLUXO DE CAIXA" sheetId="2" r:id="rId2"/>
    <sheet name="Analise de Sensibilidade" sheetId="3" r:id="rId3"/>
    <sheet name="Bases para Grafico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7" i="4" l="1"/>
  <c r="W37" i="4" s="1"/>
  <c r="X37" i="4" s="1"/>
  <c r="Y37" i="4" s="1"/>
  <c r="U37" i="4"/>
  <c r="S37" i="4"/>
  <c r="R37" i="4"/>
  <c r="Q37" i="4"/>
  <c r="P37" i="4" s="1"/>
  <c r="O37" i="4" s="1"/>
  <c r="Y42" i="4"/>
  <c r="X42" i="4"/>
  <c r="W42" i="4"/>
  <c r="V42" i="4"/>
  <c r="U42" i="4"/>
  <c r="T42" i="4"/>
  <c r="S42" i="4"/>
  <c r="R42" i="4"/>
  <c r="Q42" i="4"/>
  <c r="P42" i="4"/>
  <c r="O42" i="4"/>
  <c r="Y41" i="4"/>
  <c r="X41" i="4"/>
  <c r="W41" i="4"/>
  <c r="V41" i="4"/>
  <c r="U41" i="4"/>
  <c r="T41" i="4"/>
  <c r="S41" i="4"/>
  <c r="R41" i="4"/>
  <c r="Q41" i="4"/>
  <c r="P41" i="4"/>
  <c r="O41" i="4"/>
  <c r="Y40" i="4"/>
  <c r="X40" i="4"/>
  <c r="W40" i="4"/>
  <c r="V40" i="4"/>
  <c r="U40" i="4"/>
  <c r="T40" i="4"/>
  <c r="S40" i="4"/>
  <c r="R40" i="4"/>
  <c r="Q40" i="4"/>
  <c r="P40" i="4"/>
  <c r="O40" i="4"/>
  <c r="Y39" i="4"/>
  <c r="X39" i="4"/>
  <c r="W39" i="4"/>
  <c r="V39" i="4"/>
  <c r="U39" i="4"/>
  <c r="T39" i="4"/>
  <c r="S39" i="4"/>
  <c r="R39" i="4"/>
  <c r="Q39" i="4"/>
  <c r="P39" i="4"/>
  <c r="O39" i="4"/>
  <c r="Y38" i="4"/>
  <c r="X38" i="4"/>
  <c r="W38" i="4"/>
  <c r="V38" i="4"/>
  <c r="U38" i="4"/>
  <c r="T38" i="4"/>
  <c r="S38" i="4"/>
  <c r="R38" i="4"/>
  <c r="Q38" i="4"/>
  <c r="P38" i="4"/>
  <c r="O38" i="4"/>
  <c r="V25" i="4"/>
  <c r="W25" i="4" s="1"/>
  <c r="X25" i="4" s="1"/>
  <c r="Y25" i="4" s="1"/>
  <c r="U25" i="4"/>
  <c r="S25" i="4"/>
  <c r="R25" i="4"/>
  <c r="Q25" i="4"/>
  <c r="P25" i="4" s="1"/>
  <c r="O25" i="4" s="1"/>
  <c r="Y30" i="4"/>
  <c r="X30" i="4"/>
  <c r="W30" i="4"/>
  <c r="V30" i="4"/>
  <c r="U30" i="4"/>
  <c r="T30" i="4"/>
  <c r="S30" i="4"/>
  <c r="R30" i="4"/>
  <c r="Q30" i="4"/>
  <c r="P30" i="4"/>
  <c r="O30" i="4"/>
  <c r="Y29" i="4"/>
  <c r="X29" i="4"/>
  <c r="W29" i="4"/>
  <c r="V29" i="4"/>
  <c r="U29" i="4"/>
  <c r="T29" i="4"/>
  <c r="S29" i="4"/>
  <c r="R29" i="4"/>
  <c r="Q29" i="4"/>
  <c r="P29" i="4"/>
  <c r="O29" i="4"/>
  <c r="Y28" i="4"/>
  <c r="X28" i="4"/>
  <c r="W28" i="4"/>
  <c r="V28" i="4"/>
  <c r="U28" i="4"/>
  <c r="T28" i="4"/>
  <c r="S28" i="4"/>
  <c r="R28" i="4"/>
  <c r="Q28" i="4"/>
  <c r="P28" i="4"/>
  <c r="O28" i="4"/>
  <c r="Y27" i="4"/>
  <c r="X27" i="4"/>
  <c r="W27" i="4"/>
  <c r="V27" i="4"/>
  <c r="U27" i="4"/>
  <c r="T27" i="4"/>
  <c r="S27" i="4"/>
  <c r="R27" i="4"/>
  <c r="Q27" i="4"/>
  <c r="P27" i="4"/>
  <c r="O27" i="4"/>
  <c r="Y26" i="4"/>
  <c r="X26" i="4"/>
  <c r="W26" i="4"/>
  <c r="V26" i="4"/>
  <c r="U26" i="4"/>
  <c r="T26" i="4"/>
  <c r="S26" i="4"/>
  <c r="R26" i="4"/>
  <c r="Q26" i="4"/>
  <c r="P26" i="4"/>
  <c r="O26" i="4"/>
  <c r="V14" i="4"/>
  <c r="W14" i="4" s="1"/>
  <c r="X14" i="4" s="1"/>
  <c r="Y14" i="4" s="1"/>
  <c r="U14" i="4"/>
  <c r="S14" i="4"/>
  <c r="R14" i="4"/>
  <c r="Q14" i="4"/>
  <c r="P14" i="4" s="1"/>
  <c r="O14" i="4" s="1"/>
  <c r="O15" i="4"/>
  <c r="Y19" i="4"/>
  <c r="X19" i="4"/>
  <c r="W19" i="4"/>
  <c r="V19" i="4"/>
  <c r="U19" i="4"/>
  <c r="T19" i="4"/>
  <c r="S19" i="4"/>
  <c r="R19" i="4"/>
  <c r="Q19" i="4"/>
  <c r="P19" i="4"/>
  <c r="O19" i="4"/>
  <c r="Y18" i="4"/>
  <c r="X18" i="4"/>
  <c r="W18" i="4"/>
  <c r="V18" i="4"/>
  <c r="U18" i="4"/>
  <c r="T18" i="4"/>
  <c r="S18" i="4"/>
  <c r="R18" i="4"/>
  <c r="Q18" i="4"/>
  <c r="P18" i="4"/>
  <c r="O18" i="4"/>
  <c r="Y17" i="4"/>
  <c r="X17" i="4"/>
  <c r="W17" i="4"/>
  <c r="V17" i="4"/>
  <c r="U17" i="4"/>
  <c r="T17" i="4"/>
  <c r="S17" i="4"/>
  <c r="R17" i="4"/>
  <c r="Q17" i="4"/>
  <c r="P17" i="4"/>
  <c r="O17" i="4"/>
  <c r="Y16" i="4"/>
  <c r="X16" i="4"/>
  <c r="W16" i="4"/>
  <c r="V16" i="4"/>
  <c r="U16" i="4"/>
  <c r="T16" i="4"/>
  <c r="S16" i="4"/>
  <c r="R16" i="4"/>
  <c r="Q16" i="4"/>
  <c r="P16" i="4"/>
  <c r="O16" i="4"/>
  <c r="Y15" i="4"/>
  <c r="X15" i="4"/>
  <c r="W15" i="4"/>
  <c r="V15" i="4"/>
  <c r="U15" i="4"/>
  <c r="T15" i="4"/>
  <c r="S15" i="4"/>
  <c r="R15" i="4"/>
  <c r="Q15" i="4"/>
  <c r="P15" i="4"/>
  <c r="Q8" i="4"/>
  <c r="R8" i="4"/>
  <c r="S8" i="4"/>
  <c r="T8" i="4"/>
  <c r="U8" i="4"/>
  <c r="V8" i="4"/>
  <c r="W8" i="4"/>
  <c r="X8" i="4"/>
  <c r="Y8" i="4"/>
  <c r="O8" i="4"/>
  <c r="P8" i="4"/>
  <c r="P7" i="4"/>
  <c r="Q7" i="4"/>
  <c r="R7" i="4"/>
  <c r="S7" i="4"/>
  <c r="T7" i="4"/>
  <c r="U7" i="4"/>
  <c r="V7" i="4"/>
  <c r="W7" i="4"/>
  <c r="X7" i="4"/>
  <c r="Y7" i="4"/>
  <c r="O7" i="4"/>
  <c r="S3" i="4"/>
  <c r="R3" i="4" s="1"/>
  <c r="Q3" i="4" s="1"/>
  <c r="P3" i="4" s="1"/>
  <c r="O3" i="4" s="1"/>
  <c r="U3" i="4"/>
  <c r="V3" i="4"/>
  <c r="W3" i="4"/>
  <c r="X3" i="4"/>
  <c r="Y3" i="4" s="1"/>
  <c r="O4" i="4"/>
  <c r="P4" i="4"/>
  <c r="Q4" i="4"/>
  <c r="R4" i="4"/>
  <c r="S4" i="4"/>
  <c r="T4" i="4"/>
  <c r="U4" i="4"/>
  <c r="V4" i="4"/>
  <c r="W4" i="4"/>
  <c r="X4" i="4"/>
  <c r="Y4" i="4"/>
  <c r="O5" i="4"/>
  <c r="P5" i="4"/>
  <c r="Q5" i="4"/>
  <c r="R5" i="4"/>
  <c r="S5" i="4"/>
  <c r="T5" i="4"/>
  <c r="U5" i="4"/>
  <c r="V5" i="4"/>
  <c r="W5" i="4"/>
  <c r="X5" i="4"/>
  <c r="Y5" i="4"/>
  <c r="O6" i="4"/>
  <c r="P6" i="4"/>
  <c r="Q6" i="4"/>
  <c r="R6" i="4"/>
  <c r="S6" i="4"/>
  <c r="T6" i="4"/>
  <c r="U6" i="4"/>
  <c r="V6" i="4"/>
  <c r="W6" i="4"/>
  <c r="X6" i="4"/>
  <c r="Y6" i="4"/>
  <c r="H37" i="4"/>
  <c r="I37" i="4" s="1"/>
  <c r="J37" i="4" s="1"/>
  <c r="K37" i="4" s="1"/>
  <c r="L37" i="4" s="1"/>
  <c r="F37" i="4"/>
  <c r="E37" i="4" s="1"/>
  <c r="D37" i="4" s="1"/>
  <c r="C37" i="4" s="1"/>
  <c r="B37" i="4" s="1"/>
  <c r="H25" i="4"/>
  <c r="I25" i="4" s="1"/>
  <c r="J25" i="4" s="1"/>
  <c r="K25" i="4" s="1"/>
  <c r="L25" i="4" s="1"/>
  <c r="F25" i="4"/>
  <c r="E25" i="4" s="1"/>
  <c r="D25" i="4" s="1"/>
  <c r="C25" i="4" s="1"/>
  <c r="B25" i="4" s="1"/>
  <c r="H14" i="4"/>
  <c r="I14" i="4" s="1"/>
  <c r="J14" i="4" s="1"/>
  <c r="K14" i="4" s="1"/>
  <c r="L14" i="4" s="1"/>
  <c r="F14" i="4"/>
  <c r="E14" i="4" s="1"/>
  <c r="D14" i="4" s="1"/>
  <c r="C14" i="4" s="1"/>
  <c r="B14" i="4" s="1"/>
  <c r="I3" i="4"/>
  <c r="J3" i="4" s="1"/>
  <c r="K3" i="4" s="1"/>
  <c r="L3" i="4" s="1"/>
  <c r="H3" i="4"/>
  <c r="F3" i="4"/>
  <c r="E3" i="4"/>
  <c r="D3" i="4"/>
  <c r="C3" i="4" s="1"/>
  <c r="B3" i="4" s="1"/>
  <c r="BB27" i="3"/>
  <c r="F20" i="3"/>
  <c r="BG10" i="3" s="1"/>
  <c r="E20" i="3"/>
  <c r="BI18" i="3"/>
  <c r="BJ18" i="3" s="1"/>
  <c r="BK18" i="3" s="1"/>
  <c r="BL18" i="3" s="1"/>
  <c r="BH18" i="3"/>
  <c r="BE18" i="3"/>
  <c r="BD18" i="3" s="1"/>
  <c r="BC18" i="3" s="1"/>
  <c r="BB18" i="3" s="1"/>
  <c r="BF18" i="3"/>
  <c r="BB10" i="3"/>
  <c r="G20" i="3" l="1"/>
  <c r="D20" i="3"/>
  <c r="BE9" i="3" s="1"/>
  <c r="C20" i="3"/>
  <c r="BD9" i="3" s="1"/>
  <c r="BF9" i="3"/>
  <c r="BF10" i="3"/>
  <c r="B20" i="3"/>
  <c r="H20" i="3"/>
  <c r="BG9" i="3"/>
  <c r="BH9" i="3" l="1"/>
  <c r="BH10" i="3"/>
  <c r="BD10" i="3"/>
  <c r="BE10" i="3"/>
  <c r="BC10" i="3"/>
  <c r="BC9" i="3"/>
  <c r="BI10" i="3"/>
  <c r="BI9" i="3"/>
  <c r="BI11" i="3" l="1"/>
  <c r="BH11" i="3"/>
  <c r="BG11" i="3"/>
  <c r="BF11" i="3"/>
  <c r="BE11" i="3"/>
  <c r="BD11" i="3"/>
  <c r="BC11" i="3"/>
  <c r="BB9" i="3"/>
  <c r="AS9" i="3"/>
  <c r="AP10" i="3"/>
  <c r="AQ9" i="3"/>
  <c r="AT10" i="3"/>
  <c r="AO9" i="3"/>
  <c r="AN27" i="3"/>
  <c r="AU18" i="3"/>
  <c r="AV18" i="3"/>
  <c r="AW18" i="3" s="1"/>
  <c r="AX18" i="3" s="1"/>
  <c r="AT18" i="3"/>
  <c r="AQ18" i="3"/>
  <c r="AP18" i="3" s="1"/>
  <c r="AO18" i="3" s="1"/>
  <c r="AN18" i="3" s="1"/>
  <c r="AR18" i="3"/>
  <c r="AR9" i="3"/>
  <c r="Z27" i="3"/>
  <c r="AG18" i="3"/>
  <c r="AH18" i="3"/>
  <c r="AI18" i="3" s="1"/>
  <c r="AJ18" i="3" s="1"/>
  <c r="AF18" i="3"/>
  <c r="AC18" i="3"/>
  <c r="AB18" i="3" s="1"/>
  <c r="AA18" i="3" s="1"/>
  <c r="Z18" i="3" s="1"/>
  <c r="AD18" i="3"/>
  <c r="S17" i="3"/>
  <c r="T17" i="3" s="1"/>
  <c r="U17" i="3" s="1"/>
  <c r="V17" i="3" s="1"/>
  <c r="R17" i="3"/>
  <c r="O17" i="3"/>
  <c r="N17" i="3" s="1"/>
  <c r="M17" i="3" s="1"/>
  <c r="L17" i="3" s="1"/>
  <c r="P17" i="3"/>
  <c r="AQ10" i="3"/>
  <c r="AR10" i="3"/>
  <c r="AU10" i="3"/>
  <c r="AO10" i="3"/>
  <c r="AP9" i="3"/>
  <c r="AT9" i="3"/>
  <c r="AU9" i="3"/>
  <c r="AN10" i="3"/>
  <c r="AN9" i="3"/>
  <c r="AD9" i="3"/>
  <c r="P9" i="3"/>
  <c r="AB10" i="3"/>
  <c r="AC10" i="3"/>
  <c r="AD10" i="3"/>
  <c r="AD11" i="3" s="1"/>
  <c r="AD13" i="3" s="1"/>
  <c r="AF10" i="3"/>
  <c r="AG10" i="3"/>
  <c r="AA10" i="3"/>
  <c r="AB9" i="3"/>
  <c r="AC9" i="3"/>
  <c r="AF9" i="3"/>
  <c r="AG9" i="3"/>
  <c r="AA9" i="3"/>
  <c r="Z9" i="3"/>
  <c r="L9" i="3"/>
  <c r="L8" i="3"/>
  <c r="B24" i="3"/>
  <c r="C24" i="3" s="1"/>
  <c r="B19" i="3"/>
  <c r="C18" i="3"/>
  <c r="D18" i="3" s="1"/>
  <c r="B5" i="2"/>
  <c r="B4" i="2"/>
  <c r="C18" i="1"/>
  <c r="D18" i="1" s="1"/>
  <c r="E18" i="1" s="1"/>
  <c r="B24" i="1"/>
  <c r="B25" i="1" s="1"/>
  <c r="B19" i="1"/>
  <c r="B20" i="1" s="1"/>
  <c r="C4" i="2" s="1"/>
  <c r="AB11" i="3" l="1"/>
  <c r="AB13" i="3" s="1"/>
  <c r="BA29" i="3"/>
  <c r="AF11" i="3"/>
  <c r="AF13" i="3" s="1"/>
  <c r="AG11" i="3"/>
  <c r="AG13" i="3" s="1"/>
  <c r="AA11" i="3"/>
  <c r="AA13" i="3" s="1"/>
  <c r="BA31" i="3"/>
  <c r="AR11" i="3"/>
  <c r="AR13" i="3" s="1"/>
  <c r="AO11" i="3"/>
  <c r="AO13" i="3" s="1"/>
  <c r="BC13" i="3"/>
  <c r="BC12" i="3"/>
  <c r="BG13" i="3"/>
  <c r="BG12" i="3"/>
  <c r="BD13" i="3"/>
  <c r="BD12" i="3"/>
  <c r="BH13" i="3"/>
  <c r="BH12" i="3"/>
  <c r="BE13" i="3"/>
  <c r="BE12" i="3"/>
  <c r="BI13" i="3"/>
  <c r="BI12" i="3"/>
  <c r="BB11" i="3"/>
  <c r="BB12" i="3" s="1"/>
  <c r="BF13" i="3"/>
  <c r="BF12" i="3"/>
  <c r="AP11" i="3"/>
  <c r="AS10" i="3"/>
  <c r="AS11" i="3" s="1"/>
  <c r="AS13" i="3" s="1"/>
  <c r="AE9" i="3"/>
  <c r="AE10" i="3"/>
  <c r="AC11" i="3"/>
  <c r="AC13" i="3" s="1"/>
  <c r="Z10" i="3"/>
  <c r="Z11" i="3" s="1"/>
  <c r="AT11" i="3"/>
  <c r="AT13" i="3" s="1"/>
  <c r="AQ11" i="3"/>
  <c r="AQ13" i="3" s="1"/>
  <c r="AU11" i="3"/>
  <c r="AU13" i="3" s="1"/>
  <c r="AN11" i="3"/>
  <c r="AD12" i="3"/>
  <c r="AB12" i="3"/>
  <c r="C5" i="2"/>
  <c r="C24" i="1"/>
  <c r="L10" i="3"/>
  <c r="E18" i="3"/>
  <c r="D19" i="3"/>
  <c r="D24" i="3"/>
  <c r="C25" i="3"/>
  <c r="B25" i="3"/>
  <c r="M8" i="3" s="1"/>
  <c r="C19" i="3"/>
  <c r="C6" i="2"/>
  <c r="B6" i="2"/>
  <c r="D19" i="1"/>
  <c r="D20" i="1" s="1"/>
  <c r="C19" i="1"/>
  <c r="C20" i="1" s="1"/>
  <c r="AG12" i="3" l="1"/>
  <c r="AF12" i="3"/>
  <c r="AA12" i="3"/>
  <c r="AO12" i="3"/>
  <c r="BA32" i="3"/>
  <c r="BA30" i="3"/>
  <c r="Y29" i="3"/>
  <c r="BB14" i="3"/>
  <c r="BB13" i="3" s="1"/>
  <c r="AP13" i="3"/>
  <c r="AC12" i="3"/>
  <c r="AM31" i="3"/>
  <c r="AT12" i="3"/>
  <c r="AE11" i="3"/>
  <c r="AQ12" i="3"/>
  <c r="AM29" i="3"/>
  <c r="AU12" i="3"/>
  <c r="AS12" i="3"/>
  <c r="AR12" i="3"/>
  <c r="AP12" i="3"/>
  <c r="AN14" i="3"/>
  <c r="AN13" i="3" s="1"/>
  <c r="AN12" i="3"/>
  <c r="Y31" i="3"/>
  <c r="Z12" i="3"/>
  <c r="Z14" i="3"/>
  <c r="Z13" i="3" s="1"/>
  <c r="D5" i="2"/>
  <c r="C25" i="1"/>
  <c r="D4" i="2" s="1"/>
  <c r="D6" i="2" s="1"/>
  <c r="D24" i="1"/>
  <c r="N8" i="3"/>
  <c r="O8" i="3"/>
  <c r="N9" i="3"/>
  <c r="E19" i="3"/>
  <c r="F18" i="3"/>
  <c r="L11" i="3"/>
  <c r="M9" i="3"/>
  <c r="M10" i="3" s="1"/>
  <c r="C7" i="2"/>
  <c r="C8" i="2"/>
  <c r="B7" i="2"/>
  <c r="B8" i="2"/>
  <c r="E24" i="3"/>
  <c r="D25" i="3"/>
  <c r="E19" i="1"/>
  <c r="E20" i="1" s="1"/>
  <c r="Y30" i="3" l="1"/>
  <c r="BA28" i="3"/>
  <c r="N10" i="3"/>
  <c r="N11" i="3" s="1"/>
  <c r="AE13" i="3"/>
  <c r="AE12" i="3"/>
  <c r="AM32" i="3"/>
  <c r="AM30" i="3"/>
  <c r="AM28" i="3"/>
  <c r="Y28" i="3"/>
  <c r="Y32" i="3"/>
  <c r="D7" i="2"/>
  <c r="D8" i="2"/>
  <c r="P8" i="3"/>
  <c r="F5" i="2"/>
  <c r="E24" i="1"/>
  <c r="E25" i="1" s="1"/>
  <c r="F4" i="2" s="1"/>
  <c r="F6" i="2" s="1"/>
  <c r="D25" i="1"/>
  <c r="F19" i="3"/>
  <c r="G18" i="3"/>
  <c r="M11" i="3"/>
  <c r="O9" i="3"/>
  <c r="O10" i="3" s="1"/>
  <c r="K28" i="3" s="1"/>
  <c r="E25" i="3"/>
  <c r="F24" i="3"/>
  <c r="F7" i="2" l="1"/>
  <c r="F8" i="2"/>
  <c r="E4" i="2"/>
  <c r="E6" i="2" s="1"/>
  <c r="E5" i="2"/>
  <c r="H18" i="3"/>
  <c r="H19" i="3" s="1"/>
  <c r="G19" i="3"/>
  <c r="F25" i="3"/>
  <c r="G24" i="3"/>
  <c r="O11" i="3"/>
  <c r="P10" i="3"/>
  <c r="Q9" i="3" l="1"/>
  <c r="R9" i="3"/>
  <c r="R8" i="3"/>
  <c r="R10" i="3" s="1"/>
  <c r="Q8" i="3"/>
  <c r="B16" i="2"/>
  <c r="E8" i="2"/>
  <c r="E7" i="2"/>
  <c r="B18" i="2" s="1"/>
  <c r="B17" i="2"/>
  <c r="H24" i="3"/>
  <c r="H25" i="3" s="1"/>
  <c r="S8" i="3" s="1"/>
  <c r="G25" i="3"/>
  <c r="B15" i="2"/>
  <c r="K30" i="3"/>
  <c r="L13" i="3"/>
  <c r="P11" i="3"/>
  <c r="Q10" i="3" l="1"/>
  <c r="Q12" i="3" s="1"/>
  <c r="P12" i="3"/>
  <c r="L12" i="3"/>
  <c r="N12" i="3"/>
  <c r="R12" i="3"/>
  <c r="O12" i="3"/>
  <c r="M12" i="3"/>
  <c r="R11" i="3"/>
  <c r="S9" i="3"/>
  <c r="S10" i="3" s="1"/>
  <c r="S12" i="3" s="1"/>
  <c r="K29" i="3"/>
  <c r="K27" i="3"/>
  <c r="K31" i="3"/>
  <c r="Q11" i="3" l="1"/>
  <c r="S11" i="3"/>
</calcChain>
</file>

<file path=xl/sharedStrings.xml><?xml version="1.0" encoding="utf-8"?>
<sst xmlns="http://schemas.openxmlformats.org/spreadsheetml/2006/main" count="222" uniqueCount="53">
  <si>
    <t xml:space="preserve">Custo de Pesquisas </t>
  </si>
  <si>
    <t>Teste de Marketing</t>
  </si>
  <si>
    <t>Custos Realizados</t>
  </si>
  <si>
    <t>Equipamentos</t>
  </si>
  <si>
    <t>Venda Equipamentos</t>
  </si>
  <si>
    <t>Tempo</t>
  </si>
  <si>
    <t>Venda</t>
  </si>
  <si>
    <t>Super Tread Carros Novos</t>
  </si>
  <si>
    <t>Super Tread Reposicao</t>
  </si>
  <si>
    <t>Custos de Marketing</t>
  </si>
  <si>
    <t>por ano</t>
  </si>
  <si>
    <t>Tx de desconto</t>
  </si>
  <si>
    <t>Carros Produzidos</t>
  </si>
  <si>
    <t>Rodas Produzidas</t>
  </si>
  <si>
    <t>Rodas Super TREAD</t>
  </si>
  <si>
    <t>MERCADO NOVO NO TEMPO</t>
  </si>
  <si>
    <t>MERCADO REPOSICAO NO TEMPO</t>
  </si>
  <si>
    <t>Períodos</t>
  </si>
  <si>
    <t>FC</t>
  </si>
  <si>
    <t>ano 4</t>
  </si>
  <si>
    <t>instante inicial</t>
  </si>
  <si>
    <t>Custo produção</t>
  </si>
  <si>
    <t>Periodos</t>
  </si>
  <si>
    <t>Receita</t>
  </si>
  <si>
    <t>Custo</t>
  </si>
  <si>
    <t>Fluxos Projetados</t>
  </si>
  <si>
    <t xml:space="preserve">VPL </t>
  </si>
  <si>
    <t>FC Descontado</t>
  </si>
  <si>
    <t>Periodo de Payback</t>
  </si>
  <si>
    <t>Periodo de payback Descontado</t>
  </si>
  <si>
    <t>IL</t>
  </si>
  <si>
    <t>TIR</t>
  </si>
  <si>
    <t>FC DESCONTADO TIR</t>
  </si>
  <si>
    <t>Variação</t>
  </si>
  <si>
    <t>MODELO FORMULAS</t>
  </si>
  <si>
    <t>ESCOLHA O PRECO</t>
  </si>
  <si>
    <t>Escolha O Desconto</t>
  </si>
  <si>
    <t>Variando a taxa de desconto</t>
  </si>
  <si>
    <t>Variando o preço de venda do pneu novo</t>
  </si>
  <si>
    <t>Variando o investimento inicial</t>
  </si>
  <si>
    <t>Variando o market das novas rodas</t>
  </si>
  <si>
    <t>1º ANÁLISE</t>
  </si>
  <si>
    <t>VARIANDO O PREÇO DE VENDA DO PNEU NOVO</t>
  </si>
  <si>
    <t>2º ANÁLISE</t>
  </si>
  <si>
    <t>VARIANDO O INVESTIMENTO INICIAL</t>
  </si>
  <si>
    <t>3º ANÁLISE</t>
  </si>
  <si>
    <t>VARIANDO A TAXA DE DESCONTO</t>
  </si>
  <si>
    <t>4º ANÁLISE</t>
  </si>
  <si>
    <t>VARIANDO O MARKET SHARE DAS NOVAS RODAS</t>
  </si>
  <si>
    <t>Soma</t>
  </si>
  <si>
    <t>Média</t>
  </si>
  <si>
    <t>Soma Acumulada</t>
  </si>
  <si>
    <t>Contagem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</si>
</sst>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_-[$R$-416]\ * #,##0.00_-;\-[$R$-416]\ * #,##0.00_-;_-[$R$-416]\ * &quot;-&quot;??_-;_-@_-"/>
    <numFmt numFmtId="165" formatCode="0.0%"/>
    <numFmt numFmtId="166" formatCode="_(&quot;$&quot;* #,##0.000_);_(&quot;$&quot;* \(#,##0.000\);_(&quot;$&quot;* &quot;-&quot;???_);_(@_)"/>
    <numFmt numFmtId="167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rgb="FFC00000"/>
      </left>
      <right style="thin">
        <color indexed="64"/>
      </right>
      <top style="thin">
        <color rgb="FFC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C00000"/>
      </top>
      <bottom style="thin">
        <color indexed="64"/>
      </bottom>
      <diagonal/>
    </border>
    <border>
      <left style="thin">
        <color indexed="64"/>
      </left>
      <right style="thin">
        <color rgb="FFC00000"/>
      </right>
      <top style="thin">
        <color rgb="FFC00000"/>
      </top>
      <bottom style="thin">
        <color indexed="64"/>
      </bottom>
      <diagonal/>
    </border>
    <border>
      <left style="thin">
        <color rgb="FFC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C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C00000"/>
      </right>
      <top style="thin">
        <color indexed="64"/>
      </top>
      <bottom style="thin">
        <color rgb="FFC00000"/>
      </bottom>
      <diagonal/>
    </border>
    <border>
      <left style="thin">
        <color rgb="FFC00000"/>
      </left>
      <right style="thin">
        <color indexed="64"/>
      </right>
      <top style="thin">
        <color rgb="FFC00000"/>
      </top>
      <bottom/>
      <diagonal/>
    </border>
    <border>
      <left style="thin">
        <color indexed="64"/>
      </left>
      <right style="thin">
        <color indexed="64"/>
      </right>
      <top style="thin">
        <color rgb="FFC00000"/>
      </top>
      <bottom/>
      <diagonal/>
    </border>
    <border>
      <left style="thin">
        <color indexed="64"/>
      </left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 style="thin">
        <color rgb="FFC00000"/>
      </top>
      <bottom style="thin">
        <color indexed="64"/>
      </bottom>
      <diagonal/>
    </border>
    <border>
      <left style="thin">
        <color indexed="64"/>
      </left>
      <right/>
      <top style="thin">
        <color rgb="FFC00000"/>
      </top>
      <bottom style="thin">
        <color indexed="64"/>
      </bottom>
      <diagonal/>
    </border>
    <border>
      <left style="thin">
        <color rgb="FFC00000"/>
      </left>
      <right/>
      <top style="thin">
        <color indexed="64"/>
      </top>
      <bottom style="thin">
        <color indexed="64"/>
      </bottom>
      <diagonal/>
    </border>
    <border>
      <left style="thin">
        <color rgb="FFC00000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/>
      <top style="thin">
        <color indexed="64"/>
      </top>
      <bottom style="thin">
        <color rgb="FFC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0" xfId="0" applyBorder="1" applyAlignment="1">
      <alignment horizontal="center"/>
    </xf>
    <xf numFmtId="165" fontId="0" fillId="0" borderId="1" xfId="2" applyNumberFormat="1" applyFont="1" applyBorder="1"/>
    <xf numFmtId="0" fontId="0" fillId="0" borderId="3" xfId="0" applyBorder="1"/>
    <xf numFmtId="0" fontId="0" fillId="0" borderId="0" xfId="0" applyBorder="1"/>
    <xf numFmtId="44" fontId="0" fillId="0" borderId="1" xfId="1" applyFont="1" applyBorder="1"/>
    <xf numFmtId="8" fontId="0" fillId="0" borderId="0" xfId="0" applyNumberFormat="1"/>
    <xf numFmtId="0" fontId="0" fillId="0" borderId="1" xfId="0" applyFill="1" applyBorder="1"/>
    <xf numFmtId="166" fontId="0" fillId="0" borderId="1" xfId="0" applyNumberFormat="1" applyBorder="1"/>
    <xf numFmtId="8" fontId="0" fillId="0" borderId="1" xfId="0" applyNumberFormat="1" applyBorder="1"/>
    <xf numFmtId="0" fontId="0" fillId="0" borderId="1" xfId="1" applyNumberFormat="1" applyFont="1" applyBorder="1"/>
    <xf numFmtId="44" fontId="0" fillId="0" borderId="0" xfId="0" applyNumberFormat="1"/>
    <xf numFmtId="165" fontId="0" fillId="0" borderId="0" xfId="0" applyNumberFormat="1"/>
    <xf numFmtId="44" fontId="0" fillId="0" borderId="1" xfId="0" applyNumberFormat="1" applyBorder="1"/>
    <xf numFmtId="10" fontId="0" fillId="0" borderId="1" xfId="0" applyNumberFormat="1" applyBorder="1"/>
    <xf numFmtId="0" fontId="0" fillId="0" borderId="4" xfId="0" applyBorder="1"/>
    <xf numFmtId="0" fontId="0" fillId="0" borderId="5" xfId="0" applyBorder="1"/>
    <xf numFmtId="166" fontId="0" fillId="0" borderId="5" xfId="0" applyNumberFormat="1" applyBorder="1"/>
    <xf numFmtId="10" fontId="0" fillId="0" borderId="5" xfId="0" applyNumberFormat="1" applyBorder="1"/>
    <xf numFmtId="0" fontId="0" fillId="0" borderId="5" xfId="1" applyNumberFormat="1" applyFont="1" applyBorder="1"/>
    <xf numFmtId="0" fontId="0" fillId="0" borderId="6" xfId="0" applyBorder="1"/>
    <xf numFmtId="0" fontId="0" fillId="0" borderId="7" xfId="0" applyBorder="1"/>
    <xf numFmtId="44" fontId="0" fillId="0" borderId="3" xfId="1" applyFont="1" applyBorder="1"/>
    <xf numFmtId="166" fontId="0" fillId="0" borderId="3" xfId="0" applyNumberFormat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44" fontId="0" fillId="0" borderId="11" xfId="1" applyFont="1" applyBorder="1"/>
    <xf numFmtId="44" fontId="0" fillId="0" borderId="12" xfId="1" applyFont="1" applyBorder="1"/>
    <xf numFmtId="166" fontId="0" fillId="0" borderId="11" xfId="0" applyNumberFormat="1" applyBorder="1"/>
    <xf numFmtId="166" fontId="0" fillId="0" borderId="12" xfId="0" applyNumberFormat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19" xfId="0" applyBorder="1"/>
    <xf numFmtId="0" fontId="0" fillId="0" borderId="12" xfId="0" applyBorder="1"/>
    <xf numFmtId="0" fontId="0" fillId="0" borderId="20" xfId="0" applyBorder="1"/>
    <xf numFmtId="0" fontId="0" fillId="0" borderId="21" xfId="0" applyBorder="1"/>
    <xf numFmtId="0" fontId="0" fillId="0" borderId="13" xfId="0" applyBorder="1"/>
    <xf numFmtId="44" fontId="0" fillId="0" borderId="5" xfId="1" applyFont="1" applyBorder="1"/>
    <xf numFmtId="44" fontId="0" fillId="0" borderId="5" xfId="0" applyNumberFormat="1" applyBorder="1"/>
    <xf numFmtId="9" fontId="0" fillId="0" borderId="5" xfId="2" applyFont="1" applyBorder="1"/>
    <xf numFmtId="10" fontId="0" fillId="0" borderId="5" xfId="2" applyNumberFormat="1" applyFont="1" applyBorder="1"/>
    <xf numFmtId="167" fontId="0" fillId="0" borderId="5" xfId="2" applyNumberFormat="1" applyFont="1" applyBorder="1"/>
    <xf numFmtId="165" fontId="0" fillId="0" borderId="5" xfId="2" applyNumberFormat="1" applyFont="1" applyBorder="1"/>
    <xf numFmtId="0" fontId="2" fillId="0" borderId="0" xfId="0" applyFont="1"/>
    <xf numFmtId="0" fontId="0" fillId="0" borderId="23" xfId="0" applyBorder="1"/>
    <xf numFmtId="0" fontId="2" fillId="0" borderId="22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0" fontId="0" fillId="0" borderId="25" xfId="0" applyNumberFormat="1" applyBorder="1"/>
    <xf numFmtId="0" fontId="0" fillId="0" borderId="22" xfId="1" applyNumberFormat="1" applyFont="1" applyBorder="1"/>
    <xf numFmtId="0" fontId="2" fillId="0" borderId="24" xfId="0" applyFont="1" applyBorder="1"/>
    <xf numFmtId="0" fontId="2" fillId="0" borderId="29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Border="1"/>
    <xf numFmtId="10" fontId="0" fillId="0" borderId="0" xfId="0" applyNumberFormat="1" applyBorder="1"/>
    <xf numFmtId="0" fontId="0" fillId="0" borderId="0" xfId="1" applyNumberFormat="1" applyFon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Variando o preço de venda do pneu novo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'Bases para Graficos'!$N$4</c:f>
              <c:strCache>
                <c:ptCount val="1"/>
                <c:pt idx="0">
                  <c:v>VPL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'Bases para Graficos'!$O$3:$Y$3</c:f>
              <c:numCache>
                <c:formatCode>General</c:formatCode>
                <c:ptCount val="11"/>
                <c:pt idx="0">
                  <c:v>38.5</c:v>
                </c:pt>
                <c:pt idx="1">
                  <c:v>39</c:v>
                </c:pt>
                <c:pt idx="2">
                  <c:v>39.5</c:v>
                </c:pt>
                <c:pt idx="3">
                  <c:v>40</c:v>
                </c:pt>
                <c:pt idx="4">
                  <c:v>40.5</c:v>
                </c:pt>
                <c:pt idx="5">
                  <c:v>41</c:v>
                </c:pt>
                <c:pt idx="6">
                  <c:v>41.5</c:v>
                </c:pt>
                <c:pt idx="7">
                  <c:v>42</c:v>
                </c:pt>
                <c:pt idx="8">
                  <c:v>42.5</c:v>
                </c:pt>
                <c:pt idx="9">
                  <c:v>43</c:v>
                </c:pt>
                <c:pt idx="10">
                  <c:v>43.5</c:v>
                </c:pt>
              </c:numCache>
            </c:numRef>
          </c:cat>
          <c:val>
            <c:numRef>
              <c:f>'Bases para Graficos'!$O$4:$Y$4</c:f>
              <c:numCache>
                <c:formatCode>0%</c:formatCode>
                <c:ptCount val="11"/>
                <c:pt idx="0">
                  <c:v>0.25476770292187423</c:v>
                </c:pt>
                <c:pt idx="1">
                  <c:v>0.40381416233749978</c:v>
                </c:pt>
                <c:pt idx="2">
                  <c:v>0.55286062175312567</c:v>
                </c:pt>
                <c:pt idx="3">
                  <c:v>0.70190708116875067</c:v>
                </c:pt>
                <c:pt idx="4">
                  <c:v>0.85095354058437467</c:v>
                </c:pt>
                <c:pt idx="5">
                  <c:v>1</c:v>
                </c:pt>
                <c:pt idx="6">
                  <c:v>1.1490464594156262</c:v>
                </c:pt>
                <c:pt idx="7">
                  <c:v>1.2980929188312511</c:v>
                </c:pt>
                <c:pt idx="8">
                  <c:v>1.4471393782468767</c:v>
                </c:pt>
                <c:pt idx="9">
                  <c:v>1.5961858376625027</c:v>
                </c:pt>
                <c:pt idx="10">
                  <c:v>1.7452322970781275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4-488D-B627-EAB67D71EB4C}"/>
            </c:ext>
          </c:extLst>
        </c:ser>
        <c:ser>
          <c:idx val="1"/>
          <c:order val="1"/>
          <c:tx>
            <c:strRef>
              <c:f>'Bases para Graficos'!$N$5</c:f>
              <c:strCache>
                <c:ptCount val="1"/>
                <c:pt idx="0">
                  <c:v>Periodo de Payback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'Bases para Graficos'!$O$3:$Y$3</c:f>
              <c:numCache>
                <c:formatCode>General</c:formatCode>
                <c:ptCount val="11"/>
                <c:pt idx="0">
                  <c:v>38.5</c:v>
                </c:pt>
                <c:pt idx="1">
                  <c:v>39</c:v>
                </c:pt>
                <c:pt idx="2">
                  <c:v>39.5</c:v>
                </c:pt>
                <c:pt idx="3">
                  <c:v>40</c:v>
                </c:pt>
                <c:pt idx="4">
                  <c:v>40.5</c:v>
                </c:pt>
                <c:pt idx="5">
                  <c:v>41</c:v>
                </c:pt>
                <c:pt idx="6">
                  <c:v>41.5</c:v>
                </c:pt>
                <c:pt idx="7">
                  <c:v>42</c:v>
                </c:pt>
                <c:pt idx="8">
                  <c:v>42.5</c:v>
                </c:pt>
                <c:pt idx="9">
                  <c:v>43</c:v>
                </c:pt>
                <c:pt idx="10">
                  <c:v>43.5</c:v>
                </c:pt>
              </c:numCache>
            </c:numRef>
          </c:cat>
          <c:val>
            <c:numRef>
              <c:f>'Bases para Graficos'!$O$5:$Y$5</c:f>
              <c:numCache>
                <c:formatCode>0%</c:formatCode>
                <c:ptCount val="11"/>
                <c:pt idx="0">
                  <c:v>1.0449094335365539</c:v>
                </c:pt>
                <c:pt idx="1">
                  <c:v>1.0366250097098613</c:v>
                </c:pt>
                <c:pt idx="2">
                  <c:v>1.0280125663351678</c:v>
                </c:pt>
                <c:pt idx="3">
                  <c:v>1.0190522281653793</c:v>
                </c:pt>
                <c:pt idx="4">
                  <c:v>1.0097224811554375</c:v>
                </c:pt>
                <c:pt idx="5">
                  <c:v>1</c:v>
                </c:pt>
                <c:pt idx="6">
                  <c:v>0.98985945342355408</c:v>
                </c:pt>
                <c:pt idx="7">
                  <c:v>0.97927328380113521</c:v>
                </c:pt>
                <c:pt idx="8">
                  <c:v>0.808117113899675</c:v>
                </c:pt>
                <c:pt idx="9">
                  <c:v>0.80183914120626765</c:v>
                </c:pt>
                <c:pt idx="10">
                  <c:v>0.79540598028181386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4-488D-B627-EAB67D71EB4C}"/>
            </c:ext>
          </c:extLst>
        </c:ser>
        <c:ser>
          <c:idx val="2"/>
          <c:order val="2"/>
          <c:tx>
            <c:strRef>
              <c:f>'Bases para Graficos'!$N$6</c:f>
              <c:strCache>
                <c:ptCount val="1"/>
                <c:pt idx="0">
                  <c:v>Periodo de payback Descontado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'Bases para Graficos'!$O$3:$Y$3</c:f>
              <c:numCache>
                <c:formatCode>General</c:formatCode>
                <c:ptCount val="11"/>
                <c:pt idx="0">
                  <c:v>38.5</c:v>
                </c:pt>
                <c:pt idx="1">
                  <c:v>39</c:v>
                </c:pt>
                <c:pt idx="2">
                  <c:v>39.5</c:v>
                </c:pt>
                <c:pt idx="3">
                  <c:v>40</c:v>
                </c:pt>
                <c:pt idx="4">
                  <c:v>40.5</c:v>
                </c:pt>
                <c:pt idx="5">
                  <c:v>41</c:v>
                </c:pt>
                <c:pt idx="6">
                  <c:v>41.5</c:v>
                </c:pt>
                <c:pt idx="7">
                  <c:v>42</c:v>
                </c:pt>
                <c:pt idx="8">
                  <c:v>42.5</c:v>
                </c:pt>
                <c:pt idx="9">
                  <c:v>43</c:v>
                </c:pt>
                <c:pt idx="10">
                  <c:v>43.5</c:v>
                </c:pt>
              </c:numCache>
            </c:numRef>
          </c:cat>
          <c:val>
            <c:numRef>
              <c:f>'Bases para Graficos'!$O$6:$Y$6</c:f>
              <c:numCache>
                <c:formatCode>0%</c:formatCode>
                <c:ptCount val="11"/>
                <c:pt idx="0">
                  <c:v>1.0274907947282463</c:v>
                </c:pt>
                <c:pt idx="1">
                  <c:v>1.0224118416984436</c:v>
                </c:pt>
                <c:pt idx="2">
                  <c:v>1.017135504463204</c:v>
                </c:pt>
                <c:pt idx="3">
                  <c:v>1.0116500485395976</c:v>
                </c:pt>
                <c:pt idx="4">
                  <c:v>1.0059427904868197</c:v>
                </c:pt>
                <c:pt idx="5">
                  <c:v>1</c:v>
                </c:pt>
                <c:pt idx="6">
                  <c:v>0.99380678962717051</c:v>
                </c:pt>
                <c:pt idx="7">
                  <c:v>0.98734699024471473</c:v>
                </c:pt>
                <c:pt idx="8">
                  <c:v>0.98060301009848905</c:v>
                </c:pt>
                <c:pt idx="9">
                  <c:v>0.97355567482327099</c:v>
                </c:pt>
                <c:pt idx="10">
                  <c:v>0.96618404537694058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4-488D-B627-EAB67D71EB4C}"/>
            </c:ext>
          </c:extLst>
        </c:ser>
        <c:ser>
          <c:idx val="3"/>
          <c:order val="3"/>
          <c:tx>
            <c:strRef>
              <c:f>'Bases para Graficos'!$N$7</c:f>
              <c:strCache>
                <c:ptCount val="1"/>
                <c:pt idx="0">
                  <c:v>TIR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'Bases para Graficos'!$O$3:$Y$3</c:f>
              <c:numCache>
                <c:formatCode>General</c:formatCode>
                <c:ptCount val="11"/>
                <c:pt idx="0">
                  <c:v>38.5</c:v>
                </c:pt>
                <c:pt idx="1">
                  <c:v>39</c:v>
                </c:pt>
                <c:pt idx="2">
                  <c:v>39.5</c:v>
                </c:pt>
                <c:pt idx="3">
                  <c:v>40</c:v>
                </c:pt>
                <c:pt idx="4">
                  <c:v>40.5</c:v>
                </c:pt>
                <c:pt idx="5">
                  <c:v>41</c:v>
                </c:pt>
                <c:pt idx="6">
                  <c:v>41.5</c:v>
                </c:pt>
                <c:pt idx="7">
                  <c:v>42</c:v>
                </c:pt>
                <c:pt idx="8">
                  <c:v>42.5</c:v>
                </c:pt>
                <c:pt idx="9">
                  <c:v>43</c:v>
                </c:pt>
                <c:pt idx="10">
                  <c:v>43.5</c:v>
                </c:pt>
              </c:numCache>
            </c:numRef>
          </c:cat>
          <c:val>
            <c:numRef>
              <c:f>'Bases para Graficos'!$O$7:$Y$7</c:f>
              <c:numCache>
                <c:formatCode>0%</c:formatCode>
                <c:ptCount val="11"/>
                <c:pt idx="0">
                  <c:v>0.74515891700594783</c:v>
                </c:pt>
                <c:pt idx="1">
                  <c:v>0.7965190003215783</c:v>
                </c:pt>
                <c:pt idx="2">
                  <c:v>0.84767752296759991</c:v>
                </c:pt>
                <c:pt idx="3">
                  <c:v>0.89864021759735391</c:v>
                </c:pt>
                <c:pt idx="4">
                  <c:v>0.9494126042108787</c:v>
                </c:pt>
                <c:pt idx="5">
                  <c:v>1</c:v>
                </c:pt>
                <c:pt idx="6">
                  <c:v>1.0504075286509551</c:v>
                </c:pt>
                <c:pt idx="7">
                  <c:v>1.1006401291385497</c:v>
                </c:pt>
                <c:pt idx="8">
                  <c:v>1.1507025640435347</c:v>
                </c:pt>
                <c:pt idx="9">
                  <c:v>1.200599427422768</c:v>
                </c:pt>
                <c:pt idx="10">
                  <c:v>1.2503351522596682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F4-488D-B627-EAB67D71EB4C}"/>
            </c:ext>
          </c:extLst>
        </c:ser>
        <c:ser>
          <c:idx val="4"/>
          <c:order val="4"/>
          <c:tx>
            <c:strRef>
              <c:f>'Bases para Graficos'!$N$8</c:f>
              <c:strCache>
                <c:ptCount val="1"/>
                <c:pt idx="0">
                  <c:v>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'Bases para Graficos'!$O$3:$Y$3</c:f>
              <c:numCache>
                <c:formatCode>General</c:formatCode>
                <c:ptCount val="11"/>
                <c:pt idx="0">
                  <c:v>38.5</c:v>
                </c:pt>
                <c:pt idx="1">
                  <c:v>39</c:v>
                </c:pt>
                <c:pt idx="2">
                  <c:v>39.5</c:v>
                </c:pt>
                <c:pt idx="3">
                  <c:v>40</c:v>
                </c:pt>
                <c:pt idx="4">
                  <c:v>40.5</c:v>
                </c:pt>
                <c:pt idx="5">
                  <c:v>41</c:v>
                </c:pt>
                <c:pt idx="6">
                  <c:v>41.5</c:v>
                </c:pt>
                <c:pt idx="7">
                  <c:v>42</c:v>
                </c:pt>
                <c:pt idx="8">
                  <c:v>42.5</c:v>
                </c:pt>
                <c:pt idx="9">
                  <c:v>43</c:v>
                </c:pt>
                <c:pt idx="10">
                  <c:v>43.5</c:v>
                </c:pt>
              </c:numCache>
            </c:numRef>
          </c:cat>
          <c:val>
            <c:numRef>
              <c:f>'Bases para Graficos'!$O$8:$Y$8</c:f>
              <c:numCache>
                <c:formatCode>0%</c:formatCode>
                <c:ptCount val="11"/>
                <c:pt idx="0">
                  <c:v>0.88928695567795324</c:v>
                </c:pt>
                <c:pt idx="1">
                  <c:v>0.91142956454236279</c:v>
                </c:pt>
                <c:pt idx="2">
                  <c:v>0.93357217340677223</c:v>
                </c:pt>
                <c:pt idx="3">
                  <c:v>0.95571478227118145</c:v>
                </c:pt>
                <c:pt idx="4">
                  <c:v>0.97785739113559067</c:v>
                </c:pt>
                <c:pt idx="5">
                  <c:v>1</c:v>
                </c:pt>
                <c:pt idx="6">
                  <c:v>1.0221426088644094</c:v>
                </c:pt>
                <c:pt idx="7">
                  <c:v>1.0442852177288187</c:v>
                </c:pt>
                <c:pt idx="8">
                  <c:v>1.0664278265932279</c:v>
                </c:pt>
                <c:pt idx="9">
                  <c:v>1.0885704354576373</c:v>
                </c:pt>
                <c:pt idx="10">
                  <c:v>1.1107130443220468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F4-488D-B627-EAB67D71EB4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'Bases para Graficos'!$O$3:$Y$3</c:f>
              <c:numCache>
                <c:formatCode>General</c:formatCode>
                <c:ptCount val="11"/>
                <c:pt idx="0">
                  <c:v>38.5</c:v>
                </c:pt>
                <c:pt idx="1">
                  <c:v>39</c:v>
                </c:pt>
                <c:pt idx="2">
                  <c:v>39.5</c:v>
                </c:pt>
                <c:pt idx="3">
                  <c:v>40</c:v>
                </c:pt>
                <c:pt idx="4">
                  <c:v>40.5</c:v>
                </c:pt>
                <c:pt idx="5">
                  <c:v>41</c:v>
                </c:pt>
                <c:pt idx="6">
                  <c:v>41.5</c:v>
                </c:pt>
                <c:pt idx="7">
                  <c:v>42</c:v>
                </c:pt>
                <c:pt idx="8">
                  <c:v>42.5</c:v>
                </c:pt>
                <c:pt idx="9">
                  <c:v>43</c:v>
                </c:pt>
                <c:pt idx="10">
                  <c:v>43.5</c:v>
                </c:pt>
              </c:numCache>
            </c:numRef>
          </c:cat>
          <c:val>
            <c:numRef>
              <c:f>'Bases para Graficos'!$N$2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F4-488D-B627-EAB67D71EB4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275800"/>
        <c:axId val="696280392"/>
      </c:lineChart>
      <c:catAx>
        <c:axId val="69627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80392"/>
        <c:crosses val="autoZero"/>
        <c:auto val="1"/>
        <c:lblAlgn val="ctr"/>
        <c:lblOffset val="100"/>
        <c:noMultiLvlLbl val="0"/>
      </c:catAx>
      <c:valAx>
        <c:axId val="696280392"/>
        <c:scaling>
          <c:orientation val="minMax"/>
          <c:max val="1.8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7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Variando o investimento inicial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'Bases para Graficos'!$N$15</c:f>
              <c:strCache>
                <c:ptCount val="1"/>
                <c:pt idx="0">
                  <c:v>VPL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'Bases para Graficos'!$O$14:$Y$14</c:f>
              <c:numCache>
                <c:formatCode>_("$"* #,##0.00_);_("$"* \(#,##0.00\);_("$"* "-"??_);_(@_)</c:formatCode>
                <c:ptCount val="11"/>
                <c:pt idx="0">
                  <c:v>140000000</c:v>
                </c:pt>
                <c:pt idx="1">
                  <c:v>144000000</c:v>
                </c:pt>
                <c:pt idx="2">
                  <c:v>148000000</c:v>
                </c:pt>
                <c:pt idx="3">
                  <c:v>152000000</c:v>
                </c:pt>
                <c:pt idx="4">
                  <c:v>156000000</c:v>
                </c:pt>
                <c:pt idx="5">
                  <c:v>160000000</c:v>
                </c:pt>
                <c:pt idx="6">
                  <c:v>164000000</c:v>
                </c:pt>
                <c:pt idx="7">
                  <c:v>168000000</c:v>
                </c:pt>
                <c:pt idx="8">
                  <c:v>172000000</c:v>
                </c:pt>
                <c:pt idx="9">
                  <c:v>176000000</c:v>
                </c:pt>
                <c:pt idx="10">
                  <c:v>180000000</c:v>
                </c:pt>
              </c:numCache>
            </c:numRef>
          </c:cat>
          <c:val>
            <c:numRef>
              <c:f>'Bases para Graficos'!$O$15:$Y$15</c:f>
              <c:numCache>
                <c:formatCode>0%</c:formatCode>
                <c:ptCount val="11"/>
                <c:pt idx="0">
                  <c:v>0.28359926257835044</c:v>
                </c:pt>
                <c:pt idx="1">
                  <c:v>0.42687941006268032</c:v>
                </c:pt>
                <c:pt idx="2">
                  <c:v>0.5701595575470102</c:v>
                </c:pt>
                <c:pt idx="3">
                  <c:v>0.71343970503134013</c:v>
                </c:pt>
                <c:pt idx="4">
                  <c:v>0.85671985251567007</c:v>
                </c:pt>
                <c:pt idx="5">
                  <c:v>1</c:v>
                </c:pt>
                <c:pt idx="6">
                  <c:v>1.1432801474843299</c:v>
                </c:pt>
                <c:pt idx="7">
                  <c:v>1.2865602949686599</c:v>
                </c:pt>
                <c:pt idx="8">
                  <c:v>1.4298404424529898</c:v>
                </c:pt>
                <c:pt idx="9">
                  <c:v>1.57312058993732</c:v>
                </c:pt>
                <c:pt idx="10">
                  <c:v>1.7164007374216499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9-42A7-B303-A7E88CD51B3E}"/>
            </c:ext>
          </c:extLst>
        </c:ser>
        <c:ser>
          <c:idx val="1"/>
          <c:order val="1"/>
          <c:tx>
            <c:strRef>
              <c:f>'Bases para Graficos'!$N$16</c:f>
              <c:strCache>
                <c:ptCount val="1"/>
                <c:pt idx="0">
                  <c:v>Periodo de Payback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'Bases para Graficos'!$O$14:$Y$14</c:f>
              <c:numCache>
                <c:formatCode>_("$"* #,##0.00_);_("$"* \(#,##0.00\);_("$"* "-"??_);_(@_)</c:formatCode>
                <c:ptCount val="11"/>
                <c:pt idx="0">
                  <c:v>140000000</c:v>
                </c:pt>
                <c:pt idx="1">
                  <c:v>144000000</c:v>
                </c:pt>
                <c:pt idx="2">
                  <c:v>148000000</c:v>
                </c:pt>
                <c:pt idx="3">
                  <c:v>152000000</c:v>
                </c:pt>
                <c:pt idx="4">
                  <c:v>156000000</c:v>
                </c:pt>
                <c:pt idx="5">
                  <c:v>160000000</c:v>
                </c:pt>
                <c:pt idx="6">
                  <c:v>164000000</c:v>
                </c:pt>
                <c:pt idx="7">
                  <c:v>168000000</c:v>
                </c:pt>
                <c:pt idx="8">
                  <c:v>172000000</c:v>
                </c:pt>
                <c:pt idx="9">
                  <c:v>176000000</c:v>
                </c:pt>
                <c:pt idx="10">
                  <c:v>180000000</c:v>
                </c:pt>
              </c:numCache>
            </c:numRef>
          </c:cat>
          <c:val>
            <c:numRef>
              <c:f>'Bases para Graficos'!$O$16:$Y$16</c:f>
              <c:numCache>
                <c:formatCode>0%</c:formatCode>
                <c:ptCount val="11"/>
                <c:pt idx="0">
                  <c:v>1.0397189441665529</c:v>
                </c:pt>
                <c:pt idx="1">
                  <c:v>1.0326485185324819</c:v>
                </c:pt>
                <c:pt idx="2">
                  <c:v>1.0251784364949903</c:v>
                </c:pt>
                <c:pt idx="3">
                  <c:v>1.0172738265798658</c:v>
                </c:pt>
                <c:pt idx="4">
                  <c:v>1.0088956389018342</c:v>
                </c:pt>
                <c:pt idx="5">
                  <c:v>1</c:v>
                </c:pt>
                <c:pt idx="6">
                  <c:v>0.99053744432476742</c:v>
                </c:pt>
                <c:pt idx="7">
                  <c:v>0.98045199395729288</c:v>
                </c:pt>
                <c:pt idx="8">
                  <c:v>0.8088513889646346</c:v>
                </c:pt>
                <c:pt idx="9">
                  <c:v>0.80217487293762046</c:v>
                </c:pt>
                <c:pt idx="10">
                  <c:v>0.79493120231593406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9-42A7-B303-A7E88CD51B3E}"/>
            </c:ext>
          </c:extLst>
        </c:ser>
        <c:ser>
          <c:idx val="2"/>
          <c:order val="2"/>
          <c:tx>
            <c:strRef>
              <c:f>'Bases para Graficos'!$N$17</c:f>
              <c:strCache>
                <c:ptCount val="1"/>
                <c:pt idx="0">
                  <c:v>Periodo de payback Descontado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'Bases para Graficos'!$O$14:$Y$14</c:f>
              <c:numCache>
                <c:formatCode>_("$"* #,##0.00_);_("$"* \(#,##0.00\);_("$"* "-"??_);_(@_)</c:formatCode>
                <c:ptCount val="11"/>
                <c:pt idx="0">
                  <c:v>140000000</c:v>
                </c:pt>
                <c:pt idx="1">
                  <c:v>144000000</c:v>
                </c:pt>
                <c:pt idx="2">
                  <c:v>148000000</c:v>
                </c:pt>
                <c:pt idx="3">
                  <c:v>152000000</c:v>
                </c:pt>
                <c:pt idx="4">
                  <c:v>156000000</c:v>
                </c:pt>
                <c:pt idx="5">
                  <c:v>160000000</c:v>
                </c:pt>
                <c:pt idx="6">
                  <c:v>164000000</c:v>
                </c:pt>
                <c:pt idx="7">
                  <c:v>168000000</c:v>
                </c:pt>
                <c:pt idx="8">
                  <c:v>172000000</c:v>
                </c:pt>
                <c:pt idx="9">
                  <c:v>176000000</c:v>
                </c:pt>
                <c:pt idx="10">
                  <c:v>180000000</c:v>
                </c:pt>
              </c:numCache>
            </c:numRef>
          </c:cat>
          <c:val>
            <c:numRef>
              <c:f>'Bases para Graficos'!$O$17:$Y$17</c:f>
              <c:numCache>
                <c:formatCode>0%</c:formatCode>
                <c:ptCount val="11"/>
                <c:pt idx="0">
                  <c:v>1.0271041427287426</c:v>
                </c:pt>
                <c:pt idx="1">
                  <c:v>1.0223425898134828</c:v>
                </c:pt>
                <c:pt idx="2">
                  <c:v>1.0172824096109419</c:v>
                </c:pt>
                <c:pt idx="3">
                  <c:v>1.0118945994226074</c:v>
                </c:pt>
                <c:pt idx="4">
                  <c:v>1.0061462752407524</c:v>
                </c:pt>
                <c:pt idx="5">
                  <c:v>1</c:v>
                </c:pt>
                <c:pt idx="6">
                  <c:v>0.99341296731300743</c:v>
                </c:pt>
                <c:pt idx="7">
                  <c:v>0.98633600306936664</c:v>
                </c:pt>
                <c:pt idx="8">
                  <c:v>0.97871233565179827</c:v>
                </c:pt>
                <c:pt idx="9">
                  <c:v>0.97047606969511935</c:v>
                </c:pt>
                <c:pt idx="10">
                  <c:v>0.96155027652172442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9-42A7-B303-A7E88CD51B3E}"/>
            </c:ext>
          </c:extLst>
        </c:ser>
        <c:ser>
          <c:idx val="3"/>
          <c:order val="3"/>
          <c:tx>
            <c:strRef>
              <c:f>'Bases para Graficos'!$N$18</c:f>
              <c:strCache>
                <c:ptCount val="1"/>
                <c:pt idx="0">
                  <c:v>TIR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'Bases para Graficos'!$O$14:$Y$14</c:f>
              <c:numCache>
                <c:formatCode>_("$"* #,##0.00_);_("$"* \(#,##0.00\);_("$"* "-"??_);_(@_)</c:formatCode>
                <c:ptCount val="11"/>
                <c:pt idx="0">
                  <c:v>140000000</c:v>
                </c:pt>
                <c:pt idx="1">
                  <c:v>144000000</c:v>
                </c:pt>
                <c:pt idx="2">
                  <c:v>148000000</c:v>
                </c:pt>
                <c:pt idx="3">
                  <c:v>152000000</c:v>
                </c:pt>
                <c:pt idx="4">
                  <c:v>156000000</c:v>
                </c:pt>
                <c:pt idx="5">
                  <c:v>160000000</c:v>
                </c:pt>
                <c:pt idx="6">
                  <c:v>164000000</c:v>
                </c:pt>
                <c:pt idx="7">
                  <c:v>168000000</c:v>
                </c:pt>
                <c:pt idx="8">
                  <c:v>172000000</c:v>
                </c:pt>
                <c:pt idx="9">
                  <c:v>176000000</c:v>
                </c:pt>
                <c:pt idx="10">
                  <c:v>180000000</c:v>
                </c:pt>
              </c:numCache>
            </c:numRef>
          </c:cat>
          <c:val>
            <c:numRef>
              <c:f>'Bases para Graficos'!$O$18:$Y$18</c:f>
              <c:numCache>
                <c:formatCode>0%</c:formatCode>
                <c:ptCount val="11"/>
                <c:pt idx="0">
                  <c:v>0.74567141118140823</c:v>
                </c:pt>
                <c:pt idx="1">
                  <c:v>0.79288545798496868</c:v>
                </c:pt>
                <c:pt idx="2">
                  <c:v>0.84181154725812557</c:v>
                </c:pt>
                <c:pt idx="3">
                  <c:v>0.89255838587214442</c:v>
                </c:pt>
                <c:pt idx="4">
                  <c:v>0.94524461406598814</c:v>
                </c:pt>
                <c:pt idx="5">
                  <c:v>1</c:v>
                </c:pt>
                <c:pt idx="6">
                  <c:v>1.0569668138950186</c:v>
                </c:pt>
                <c:pt idx="7">
                  <c:v>1.1163014144023227</c:v>
                </c:pt>
                <c:pt idx="8">
                  <c:v>1.1781760868601774</c:v>
                </c:pt>
                <c:pt idx="9">
                  <c:v>1.242781181851444</c:v>
                </c:pt>
                <c:pt idx="10">
                  <c:v>1.3103276134834483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19-42A7-B303-A7E88CD51B3E}"/>
            </c:ext>
          </c:extLst>
        </c:ser>
        <c:ser>
          <c:idx val="4"/>
          <c:order val="4"/>
          <c:tx>
            <c:strRef>
              <c:f>'Bases para Graficos'!$N$19</c:f>
              <c:strCache>
                <c:ptCount val="1"/>
                <c:pt idx="0">
                  <c:v>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'Bases para Graficos'!$O$14:$Y$14</c:f>
              <c:numCache>
                <c:formatCode>_("$"* #,##0.00_);_("$"* \(#,##0.00\);_("$"* "-"??_);_(@_)</c:formatCode>
                <c:ptCount val="11"/>
                <c:pt idx="0">
                  <c:v>140000000</c:v>
                </c:pt>
                <c:pt idx="1">
                  <c:v>144000000</c:v>
                </c:pt>
                <c:pt idx="2">
                  <c:v>148000000</c:v>
                </c:pt>
                <c:pt idx="3">
                  <c:v>152000000</c:v>
                </c:pt>
                <c:pt idx="4">
                  <c:v>156000000</c:v>
                </c:pt>
                <c:pt idx="5">
                  <c:v>160000000</c:v>
                </c:pt>
                <c:pt idx="6">
                  <c:v>164000000</c:v>
                </c:pt>
                <c:pt idx="7">
                  <c:v>168000000</c:v>
                </c:pt>
                <c:pt idx="8">
                  <c:v>172000000</c:v>
                </c:pt>
                <c:pt idx="9">
                  <c:v>176000000</c:v>
                </c:pt>
                <c:pt idx="10">
                  <c:v>180000000</c:v>
                </c:pt>
              </c:numCache>
            </c:numRef>
          </c:cat>
          <c:val>
            <c:numRef>
              <c:f>'Bases para Graficos'!$O$19:$Y$19</c:f>
              <c:numCache>
                <c:formatCode>0%</c:formatCode>
                <c:ptCount val="11"/>
                <c:pt idx="0">
                  <c:v>0.88888888888888884</c:v>
                </c:pt>
                <c:pt idx="1">
                  <c:v>0.90909090909090917</c:v>
                </c:pt>
                <c:pt idx="2">
                  <c:v>0.93023255813953498</c:v>
                </c:pt>
                <c:pt idx="3">
                  <c:v>0.95238095238095244</c:v>
                </c:pt>
                <c:pt idx="4">
                  <c:v>0.97560975609756106</c:v>
                </c:pt>
                <c:pt idx="5">
                  <c:v>1</c:v>
                </c:pt>
                <c:pt idx="6">
                  <c:v>1.0256410256410258</c:v>
                </c:pt>
                <c:pt idx="7">
                  <c:v>1.0526315789473684</c:v>
                </c:pt>
                <c:pt idx="8">
                  <c:v>1.0810810810810811</c:v>
                </c:pt>
                <c:pt idx="9">
                  <c:v>1.1111111111111112</c:v>
                </c:pt>
                <c:pt idx="10">
                  <c:v>1.1428571428571428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19-42A7-B303-A7E88CD51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102208"/>
        <c:axId val="419102536"/>
      </c:lineChart>
      <c:catAx>
        <c:axId val="419102208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02536"/>
        <c:crosses val="autoZero"/>
        <c:auto val="1"/>
        <c:lblAlgn val="ctr"/>
        <c:lblOffset val="100"/>
        <c:noMultiLvlLbl val="0"/>
      </c:catAx>
      <c:valAx>
        <c:axId val="41910253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0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Variando a taxa de desconto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0491881663879156"/>
          <c:y val="3.58455873705615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'Bases para Graficos'!$N$26</c:f>
              <c:strCache>
                <c:ptCount val="1"/>
                <c:pt idx="0">
                  <c:v>VPL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'Bases para Graficos'!$O$25:$Y$25</c:f>
              <c:numCache>
                <c:formatCode>0.000%</c:formatCode>
                <c:ptCount val="11"/>
                <c:pt idx="0">
                  <c:v>8.4000000000000033E-2</c:v>
                </c:pt>
                <c:pt idx="1">
                  <c:v>9.4000000000000028E-2</c:v>
                </c:pt>
                <c:pt idx="2">
                  <c:v>0.10400000000000002</c:v>
                </c:pt>
                <c:pt idx="3">
                  <c:v>0.11400000000000002</c:v>
                </c:pt>
                <c:pt idx="4">
                  <c:v>0.12400000000000001</c:v>
                </c:pt>
                <c:pt idx="5" formatCode="0.0%">
                  <c:v>0.13400000000000001</c:v>
                </c:pt>
                <c:pt idx="6" formatCode="0.00%">
                  <c:v>0.14400000000000002</c:v>
                </c:pt>
                <c:pt idx="7" formatCode="0.00%">
                  <c:v>0.15400000000000003</c:v>
                </c:pt>
                <c:pt idx="8" formatCode="0.00%">
                  <c:v>0.16400000000000003</c:v>
                </c:pt>
                <c:pt idx="9" formatCode="0.00%">
                  <c:v>0.17400000000000004</c:v>
                </c:pt>
                <c:pt idx="10" formatCode="0.00%">
                  <c:v>0.18400000000000005</c:v>
                </c:pt>
              </c:numCache>
            </c:numRef>
          </c:cat>
          <c:val>
            <c:numRef>
              <c:f>'Bases para Graficos'!$O$26:$Y$26</c:f>
              <c:numCache>
                <c:formatCode>0%</c:formatCode>
                <c:ptCount val="11"/>
                <c:pt idx="0">
                  <c:v>0.26050760108992627</c:v>
                </c:pt>
                <c:pt idx="1">
                  <c:v>0.39788070781409873</c:v>
                </c:pt>
                <c:pt idx="2">
                  <c:v>0.54026984020481683</c:v>
                </c:pt>
                <c:pt idx="3">
                  <c:v>0.68791458634556613</c:v>
                </c:pt>
                <c:pt idx="4">
                  <c:v>0.84106848882717211</c:v>
                </c:pt>
                <c:pt idx="5">
                  <c:v>1</c:v>
                </c:pt>
                <c:pt idx="6">
                  <c:v>1.1649935123121571</c:v>
                </c:pt>
                <c:pt idx="7">
                  <c:v>1.3363504704004974</c:v>
                </c:pt>
                <c:pt idx="8">
                  <c:v>1.5143905722617463</c:v>
                </c:pt>
                <c:pt idx="9">
                  <c:v>1.6994530675637658</c:v>
                </c:pt>
                <c:pt idx="10">
                  <c:v>1.8918981619707698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0-4D0D-8383-5F82385B68CF}"/>
            </c:ext>
          </c:extLst>
        </c:ser>
        <c:ser>
          <c:idx val="1"/>
          <c:order val="1"/>
          <c:tx>
            <c:strRef>
              <c:f>'Bases para Graficos'!$N$27</c:f>
              <c:strCache>
                <c:ptCount val="1"/>
                <c:pt idx="0">
                  <c:v>Periodo de Payback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'Bases para Graficos'!$O$25:$Y$25</c:f>
              <c:numCache>
                <c:formatCode>0.000%</c:formatCode>
                <c:ptCount val="11"/>
                <c:pt idx="0">
                  <c:v>8.4000000000000033E-2</c:v>
                </c:pt>
                <c:pt idx="1">
                  <c:v>9.4000000000000028E-2</c:v>
                </c:pt>
                <c:pt idx="2">
                  <c:v>0.10400000000000002</c:v>
                </c:pt>
                <c:pt idx="3">
                  <c:v>0.11400000000000002</c:v>
                </c:pt>
                <c:pt idx="4">
                  <c:v>0.12400000000000001</c:v>
                </c:pt>
                <c:pt idx="5" formatCode="0.0%">
                  <c:v>0.13400000000000001</c:v>
                </c:pt>
                <c:pt idx="6" formatCode="0.00%">
                  <c:v>0.14400000000000002</c:v>
                </c:pt>
                <c:pt idx="7" formatCode="0.00%">
                  <c:v>0.15400000000000003</c:v>
                </c:pt>
                <c:pt idx="8" formatCode="0.00%">
                  <c:v>0.16400000000000003</c:v>
                </c:pt>
                <c:pt idx="9" formatCode="0.00%">
                  <c:v>0.17400000000000004</c:v>
                </c:pt>
                <c:pt idx="10" formatCode="0.00%">
                  <c:v>0.18400000000000005</c:v>
                </c:pt>
              </c:numCache>
            </c:numRef>
          </c:cat>
          <c:val>
            <c:numRef>
              <c:f>'Bases para Graficos'!$O$27:$Y$27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0-4D0D-8383-5F82385B68CF}"/>
            </c:ext>
          </c:extLst>
        </c:ser>
        <c:ser>
          <c:idx val="2"/>
          <c:order val="2"/>
          <c:tx>
            <c:strRef>
              <c:f>'Bases para Graficos'!$N$28</c:f>
              <c:strCache>
                <c:ptCount val="1"/>
                <c:pt idx="0">
                  <c:v>Periodo de payback Descontado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'Bases para Graficos'!$O$25:$Y$25</c:f>
              <c:numCache>
                <c:formatCode>0.000%</c:formatCode>
                <c:ptCount val="11"/>
                <c:pt idx="0">
                  <c:v>8.4000000000000033E-2</c:v>
                </c:pt>
                <c:pt idx="1">
                  <c:v>9.4000000000000028E-2</c:v>
                </c:pt>
                <c:pt idx="2">
                  <c:v>0.10400000000000002</c:v>
                </c:pt>
                <c:pt idx="3">
                  <c:v>0.11400000000000002</c:v>
                </c:pt>
                <c:pt idx="4">
                  <c:v>0.12400000000000001</c:v>
                </c:pt>
                <c:pt idx="5" formatCode="0.0%">
                  <c:v>0.13400000000000001</c:v>
                </c:pt>
                <c:pt idx="6" formatCode="0.00%">
                  <c:v>0.14400000000000002</c:v>
                </c:pt>
                <c:pt idx="7" formatCode="0.00%">
                  <c:v>0.15400000000000003</c:v>
                </c:pt>
                <c:pt idx="8" formatCode="0.00%">
                  <c:v>0.16400000000000003</c:v>
                </c:pt>
                <c:pt idx="9" formatCode="0.00%">
                  <c:v>0.17400000000000004</c:v>
                </c:pt>
                <c:pt idx="10" formatCode="0.00%">
                  <c:v>0.18400000000000005</c:v>
                </c:pt>
              </c:numCache>
            </c:numRef>
          </c:cat>
          <c:val>
            <c:numRef>
              <c:f>'Bases para Graficos'!$O$28:$Y$28</c:f>
              <c:numCache>
                <c:formatCode>0%</c:formatCode>
                <c:ptCount val="11"/>
                <c:pt idx="0">
                  <c:v>1.0262616594825538</c:v>
                </c:pt>
                <c:pt idx="1">
                  <c:v>1.0213024636045061</c:v>
                </c:pt>
                <c:pt idx="2">
                  <c:v>1.0161975685297553</c:v>
                </c:pt>
                <c:pt idx="3">
                  <c:v>1.0109458905950053</c:v>
                </c:pt>
                <c:pt idx="4">
                  <c:v>1.0055467657051098</c:v>
                </c:pt>
                <c:pt idx="5">
                  <c:v>1</c:v>
                </c:pt>
                <c:pt idx="6">
                  <c:v>0.99430592297658593</c:v>
                </c:pt>
                <c:pt idx="7">
                  <c:v>0.98846544274836379</c:v>
                </c:pt>
                <c:pt idx="8">
                  <c:v>0.98248010302901678</c:v>
                </c:pt>
                <c:pt idx="9">
                  <c:v>0.97635214131980641</c:v>
                </c:pt>
                <c:pt idx="10">
                  <c:v>0.97008454766489727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70-4D0D-8383-5F82385B68CF}"/>
            </c:ext>
          </c:extLst>
        </c:ser>
        <c:ser>
          <c:idx val="3"/>
          <c:order val="3"/>
          <c:tx>
            <c:strRef>
              <c:f>'Bases para Graficos'!$N$29</c:f>
              <c:strCache>
                <c:ptCount val="1"/>
                <c:pt idx="0">
                  <c:v>TIR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'Bases para Graficos'!$O$25:$Y$25</c:f>
              <c:numCache>
                <c:formatCode>0.000%</c:formatCode>
                <c:ptCount val="11"/>
                <c:pt idx="0">
                  <c:v>8.4000000000000033E-2</c:v>
                </c:pt>
                <c:pt idx="1">
                  <c:v>9.4000000000000028E-2</c:v>
                </c:pt>
                <c:pt idx="2">
                  <c:v>0.10400000000000002</c:v>
                </c:pt>
                <c:pt idx="3">
                  <c:v>0.11400000000000002</c:v>
                </c:pt>
                <c:pt idx="4">
                  <c:v>0.12400000000000001</c:v>
                </c:pt>
                <c:pt idx="5" formatCode="0.0%">
                  <c:v>0.13400000000000001</c:v>
                </c:pt>
                <c:pt idx="6" formatCode="0.00%">
                  <c:v>0.14400000000000002</c:v>
                </c:pt>
                <c:pt idx="7" formatCode="0.00%">
                  <c:v>0.15400000000000003</c:v>
                </c:pt>
                <c:pt idx="8" formatCode="0.00%">
                  <c:v>0.16400000000000003</c:v>
                </c:pt>
                <c:pt idx="9" formatCode="0.00%">
                  <c:v>0.17400000000000004</c:v>
                </c:pt>
                <c:pt idx="10" formatCode="0.00%">
                  <c:v>0.18400000000000005</c:v>
                </c:pt>
              </c:numCache>
            </c:numRef>
          </c:cat>
          <c:val>
            <c:numRef>
              <c:f>'Bases para Graficos'!$O$29:$Y$29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70-4D0D-8383-5F82385B68CF}"/>
            </c:ext>
          </c:extLst>
        </c:ser>
        <c:ser>
          <c:idx val="4"/>
          <c:order val="4"/>
          <c:tx>
            <c:strRef>
              <c:f>'Bases para Graficos'!$N$30</c:f>
              <c:strCache>
                <c:ptCount val="1"/>
                <c:pt idx="0">
                  <c:v>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'Bases para Graficos'!$O$25:$Y$25</c:f>
              <c:numCache>
                <c:formatCode>0.000%</c:formatCode>
                <c:ptCount val="11"/>
                <c:pt idx="0">
                  <c:v>8.4000000000000033E-2</c:v>
                </c:pt>
                <c:pt idx="1">
                  <c:v>9.4000000000000028E-2</c:v>
                </c:pt>
                <c:pt idx="2">
                  <c:v>0.10400000000000002</c:v>
                </c:pt>
                <c:pt idx="3">
                  <c:v>0.11400000000000002</c:v>
                </c:pt>
                <c:pt idx="4">
                  <c:v>0.12400000000000001</c:v>
                </c:pt>
                <c:pt idx="5" formatCode="0.0%">
                  <c:v>0.13400000000000001</c:v>
                </c:pt>
                <c:pt idx="6" formatCode="0.00%">
                  <c:v>0.14400000000000002</c:v>
                </c:pt>
                <c:pt idx="7" formatCode="0.00%">
                  <c:v>0.15400000000000003</c:v>
                </c:pt>
                <c:pt idx="8" formatCode="0.00%">
                  <c:v>0.16400000000000003</c:v>
                </c:pt>
                <c:pt idx="9" formatCode="0.00%">
                  <c:v>0.17400000000000004</c:v>
                </c:pt>
                <c:pt idx="10" formatCode="0.00%">
                  <c:v>0.18400000000000005</c:v>
                </c:pt>
              </c:numCache>
            </c:numRef>
          </c:cat>
          <c:val>
            <c:numRef>
              <c:f>'Bases para Graficos'!$O$30:$Y$30</c:f>
              <c:numCache>
                <c:formatCode>0%</c:formatCode>
                <c:ptCount val="11"/>
                <c:pt idx="0">
                  <c:v>0.89013968522654563</c:v>
                </c:pt>
                <c:pt idx="1">
                  <c:v>0.91054807991507591</c:v>
                </c:pt>
                <c:pt idx="2">
                  <c:v>0.93170166435734902</c:v>
                </c:pt>
                <c:pt idx="3">
                  <c:v>0.9536360321880073</c:v>
                </c:pt>
                <c:pt idx="4">
                  <c:v>0.97638885014828813</c:v>
                </c:pt>
                <c:pt idx="5">
                  <c:v>1</c:v>
                </c:pt>
                <c:pt idx="6">
                  <c:v>1.0245117315944117</c:v>
                </c:pt>
                <c:pt idx="7">
                  <c:v>1.0499688280864825</c:v>
                </c:pt>
                <c:pt idx="8">
                  <c:v>1.0764187843829951</c:v>
                </c:pt>
                <c:pt idx="9">
                  <c:v>1.103912000022002</c:v>
                </c:pt>
                <c:pt idx="10">
                  <c:v>1.1325019878018918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70-4D0D-8383-5F82385B6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453592"/>
        <c:axId val="700445392"/>
      </c:lineChart>
      <c:catAx>
        <c:axId val="700453592"/>
        <c:scaling>
          <c:orientation val="minMax"/>
        </c:scaling>
        <c:delete val="0"/>
        <c:axPos val="b"/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45392"/>
        <c:crosses val="autoZero"/>
        <c:auto val="1"/>
        <c:lblAlgn val="ctr"/>
        <c:lblOffset val="100"/>
        <c:noMultiLvlLbl val="0"/>
      </c:catAx>
      <c:valAx>
        <c:axId val="700445392"/>
        <c:scaling>
          <c:orientation val="minMax"/>
          <c:max val="2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5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Variando o market das novas rodas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'Bases para Graficos'!$N$38</c:f>
              <c:strCache>
                <c:ptCount val="1"/>
                <c:pt idx="0">
                  <c:v>VPL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'Bases para Graficos'!$O$37:$Y$37</c:f>
              <c:numCache>
                <c:formatCode>0%</c:formatCode>
                <c:ptCount val="11"/>
                <c:pt idx="0">
                  <c:v>6.0000000000000019E-2</c:v>
                </c:pt>
                <c:pt idx="1">
                  <c:v>7.0000000000000021E-2</c:v>
                </c:pt>
                <c:pt idx="2">
                  <c:v>8.0000000000000016E-2</c:v>
                </c:pt>
                <c:pt idx="3">
                  <c:v>9.0000000000000011E-2</c:v>
                </c:pt>
                <c:pt idx="4">
                  <c:v>0.1</c:v>
                </c:pt>
                <c:pt idx="5">
                  <c:v>0.11</c:v>
                </c:pt>
                <c:pt idx="6">
                  <c:v>0.12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0.15000000000000002</c:v>
                </c:pt>
                <c:pt idx="10">
                  <c:v>0.16000000000000003</c:v>
                </c:pt>
              </c:numCache>
            </c:numRef>
          </c:cat>
          <c:val>
            <c:numRef>
              <c:f>'Bases para Graficos'!$O$38:$Y$38</c:f>
              <c:numCache>
                <c:formatCode>0%</c:formatCode>
                <c:ptCount val="11"/>
                <c:pt idx="0">
                  <c:v>5.1522530991475655E-2</c:v>
                </c:pt>
                <c:pt idx="1">
                  <c:v>0.24121802479318111</c:v>
                </c:pt>
                <c:pt idx="2">
                  <c:v>0.43091351859488525</c:v>
                </c:pt>
                <c:pt idx="3">
                  <c:v>0.62060901239658883</c:v>
                </c:pt>
                <c:pt idx="4">
                  <c:v>0.81030450619829564</c:v>
                </c:pt>
                <c:pt idx="5">
                  <c:v>1</c:v>
                </c:pt>
                <c:pt idx="6">
                  <c:v>1.1896954938017059</c:v>
                </c:pt>
                <c:pt idx="7">
                  <c:v>1.3793909876034123</c:v>
                </c:pt>
                <c:pt idx="8">
                  <c:v>1.5690864814051166</c:v>
                </c:pt>
                <c:pt idx="9">
                  <c:v>1.758781975206821</c:v>
                </c:pt>
                <c:pt idx="10">
                  <c:v>1.9484774690085254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1-4C20-B2E1-6D70EBCA80FD}"/>
            </c:ext>
          </c:extLst>
        </c:ser>
        <c:ser>
          <c:idx val="1"/>
          <c:order val="1"/>
          <c:tx>
            <c:strRef>
              <c:f>'Bases para Graficos'!$N$39</c:f>
              <c:strCache>
                <c:ptCount val="1"/>
                <c:pt idx="0">
                  <c:v>Periodo de Payback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'Bases para Graficos'!$O$37:$Y$37</c:f>
              <c:numCache>
                <c:formatCode>0%</c:formatCode>
                <c:ptCount val="11"/>
                <c:pt idx="0">
                  <c:v>6.0000000000000019E-2</c:v>
                </c:pt>
                <c:pt idx="1">
                  <c:v>7.0000000000000021E-2</c:v>
                </c:pt>
                <c:pt idx="2">
                  <c:v>8.0000000000000016E-2</c:v>
                </c:pt>
                <c:pt idx="3">
                  <c:v>9.0000000000000011E-2</c:v>
                </c:pt>
                <c:pt idx="4">
                  <c:v>0.1</c:v>
                </c:pt>
                <c:pt idx="5">
                  <c:v>0.11</c:v>
                </c:pt>
                <c:pt idx="6">
                  <c:v>0.12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0.15000000000000002</c:v>
                </c:pt>
                <c:pt idx="10">
                  <c:v>0.16000000000000003</c:v>
                </c:pt>
              </c:numCache>
            </c:numRef>
          </c:cat>
          <c:val>
            <c:numRef>
              <c:f>'Bases para Graficos'!$O$39:$Y$39</c:f>
              <c:numCache>
                <c:formatCode>0%</c:formatCode>
                <c:ptCount val="11"/>
                <c:pt idx="0">
                  <c:v>1.0557107526406853</c:v>
                </c:pt>
                <c:pt idx="1">
                  <c:v>1.0456469440794931</c:v>
                </c:pt>
                <c:pt idx="2">
                  <c:v>1.0350840708043858</c:v>
                </c:pt>
                <c:pt idx="3">
                  <c:v>1.0239840659854473</c:v>
                </c:pt>
                <c:pt idx="4">
                  <c:v>1.0123048903264034</c:v>
                </c:pt>
                <c:pt idx="5">
                  <c:v>1</c:v>
                </c:pt>
                <c:pt idx="6">
                  <c:v>0.98701772671307386</c:v>
                </c:pt>
                <c:pt idx="7">
                  <c:v>0.97330055249173375</c:v>
                </c:pt>
                <c:pt idx="8">
                  <c:v>0.80299196753340862</c:v>
                </c:pt>
                <c:pt idx="9">
                  <c:v>0.79481325309265505</c:v>
                </c:pt>
                <c:pt idx="10">
                  <c:v>0.78637281569139006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1-4C20-B2E1-6D70EBCA80FD}"/>
            </c:ext>
          </c:extLst>
        </c:ser>
        <c:ser>
          <c:idx val="2"/>
          <c:order val="2"/>
          <c:tx>
            <c:strRef>
              <c:f>'Bases para Graficos'!$N$40</c:f>
              <c:strCache>
                <c:ptCount val="1"/>
                <c:pt idx="0">
                  <c:v>Periodo de payback Descontado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'Bases para Graficos'!$O$37:$Y$37</c:f>
              <c:numCache>
                <c:formatCode>0%</c:formatCode>
                <c:ptCount val="11"/>
                <c:pt idx="0">
                  <c:v>6.0000000000000019E-2</c:v>
                </c:pt>
                <c:pt idx="1">
                  <c:v>7.0000000000000021E-2</c:v>
                </c:pt>
                <c:pt idx="2">
                  <c:v>8.0000000000000016E-2</c:v>
                </c:pt>
                <c:pt idx="3">
                  <c:v>9.0000000000000011E-2</c:v>
                </c:pt>
                <c:pt idx="4">
                  <c:v>0.1</c:v>
                </c:pt>
                <c:pt idx="5">
                  <c:v>0.11</c:v>
                </c:pt>
                <c:pt idx="6">
                  <c:v>0.12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0.15000000000000002</c:v>
                </c:pt>
                <c:pt idx="10">
                  <c:v>0.16000000000000003</c:v>
                </c:pt>
              </c:numCache>
            </c:numRef>
          </c:cat>
          <c:val>
            <c:numRef>
              <c:f>'Bases para Graficos'!$O$40:$Y$40</c:f>
              <c:numCache>
                <c:formatCode>0%</c:formatCode>
                <c:ptCount val="11"/>
                <c:pt idx="0">
                  <c:v>1.0341180568680985</c:v>
                </c:pt>
                <c:pt idx="1">
                  <c:v>1.0279431122269815</c:v>
                </c:pt>
                <c:pt idx="2">
                  <c:v>1.0214675210031907</c:v>
                </c:pt>
                <c:pt idx="3">
                  <c:v>1.0146687784543296</c:v>
                </c:pt>
                <c:pt idx="4">
                  <c:v>1.007522076252509</c:v>
                </c:pt>
                <c:pt idx="5">
                  <c:v>1</c:v>
                </c:pt>
                <c:pt idx="6">
                  <c:v>0.99207217779624834</c:v>
                </c:pt>
                <c:pt idx="7">
                  <c:v>0.9837048703589738</c:v>
                </c:pt>
                <c:pt idx="8">
                  <c:v>0.97486049103608563</c:v>
                </c:pt>
                <c:pt idx="9">
                  <c:v>0.96549704130710623</c:v>
                </c:pt>
                <c:pt idx="10">
                  <c:v>0.95556744388978399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1-4C20-B2E1-6D70EBCA80FD}"/>
            </c:ext>
          </c:extLst>
        </c:ser>
        <c:ser>
          <c:idx val="3"/>
          <c:order val="3"/>
          <c:tx>
            <c:strRef>
              <c:f>'Bases para Graficos'!$N$41</c:f>
              <c:strCache>
                <c:ptCount val="1"/>
                <c:pt idx="0">
                  <c:v>TIR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'Bases para Graficos'!$O$37:$Y$37</c:f>
              <c:numCache>
                <c:formatCode>0%</c:formatCode>
                <c:ptCount val="11"/>
                <c:pt idx="0">
                  <c:v>6.0000000000000019E-2</c:v>
                </c:pt>
                <c:pt idx="1">
                  <c:v>7.0000000000000021E-2</c:v>
                </c:pt>
                <c:pt idx="2">
                  <c:v>8.0000000000000016E-2</c:v>
                </c:pt>
                <c:pt idx="3">
                  <c:v>9.0000000000000011E-2</c:v>
                </c:pt>
                <c:pt idx="4">
                  <c:v>0.1</c:v>
                </c:pt>
                <c:pt idx="5">
                  <c:v>0.11</c:v>
                </c:pt>
                <c:pt idx="6">
                  <c:v>0.12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0.15000000000000002</c:v>
                </c:pt>
                <c:pt idx="10">
                  <c:v>0.16000000000000003</c:v>
                </c:pt>
              </c:numCache>
            </c:numRef>
          </c:cat>
          <c:val>
            <c:numRef>
              <c:f>'Bases para Graficos'!$O$41:$Y$41</c:f>
              <c:numCache>
                <c:formatCode>0%</c:formatCode>
                <c:ptCount val="11"/>
                <c:pt idx="0">
                  <c:v>0.67478681088020787</c:v>
                </c:pt>
                <c:pt idx="1">
                  <c:v>0.74047961975066356</c:v>
                </c:pt>
                <c:pt idx="2">
                  <c:v>0.80583537112654413</c:v>
                </c:pt>
                <c:pt idx="3">
                  <c:v>0.87086632375930151</c:v>
                </c:pt>
                <c:pt idx="4">
                  <c:v>0.93558415600043743</c:v>
                </c:pt>
                <c:pt idx="5">
                  <c:v>1</c:v>
                </c:pt>
                <c:pt idx="6">
                  <c:v>1.0641244735143549</c:v>
                </c:pt>
                <c:pt idx="7">
                  <c:v>1.1279677095128906</c:v>
                </c:pt>
                <c:pt idx="8">
                  <c:v>1.1915393837569273</c:v>
                </c:pt>
                <c:pt idx="9">
                  <c:v>1.2548487405092217</c:v>
                </c:pt>
                <c:pt idx="10">
                  <c:v>1.3179046165188795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B1-4C20-B2E1-6D70EBCA80FD}"/>
            </c:ext>
          </c:extLst>
        </c:ser>
        <c:ser>
          <c:idx val="4"/>
          <c:order val="4"/>
          <c:tx>
            <c:strRef>
              <c:f>'Bases para Graficos'!$N$42</c:f>
              <c:strCache>
                <c:ptCount val="1"/>
                <c:pt idx="0">
                  <c:v>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'Bases para Graficos'!$O$37:$Y$37</c:f>
              <c:numCache>
                <c:formatCode>0%</c:formatCode>
                <c:ptCount val="11"/>
                <c:pt idx="0">
                  <c:v>6.0000000000000019E-2</c:v>
                </c:pt>
                <c:pt idx="1">
                  <c:v>7.0000000000000021E-2</c:v>
                </c:pt>
                <c:pt idx="2">
                  <c:v>8.0000000000000016E-2</c:v>
                </c:pt>
                <c:pt idx="3">
                  <c:v>9.0000000000000011E-2</c:v>
                </c:pt>
                <c:pt idx="4">
                  <c:v>0.1</c:v>
                </c:pt>
                <c:pt idx="5">
                  <c:v>0.11</c:v>
                </c:pt>
                <c:pt idx="6">
                  <c:v>0.12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0.15000000000000002</c:v>
                </c:pt>
                <c:pt idx="10">
                  <c:v>0.16000000000000003</c:v>
                </c:pt>
              </c:numCache>
            </c:numRef>
          </c:cat>
          <c:val>
            <c:numRef>
              <c:f>'Bases para Graficos'!$O$42:$Y$42</c:f>
              <c:numCache>
                <c:formatCode>0%</c:formatCode>
                <c:ptCount val="11"/>
                <c:pt idx="0">
                  <c:v>0.85909248904466784</c:v>
                </c:pt>
                <c:pt idx="1">
                  <c:v>0.88727399123573436</c:v>
                </c:pt>
                <c:pt idx="2">
                  <c:v>0.91545549342680055</c:v>
                </c:pt>
                <c:pt idx="3">
                  <c:v>0.94363699561786707</c:v>
                </c:pt>
                <c:pt idx="4">
                  <c:v>0.97181849780893348</c:v>
                </c:pt>
                <c:pt idx="5">
                  <c:v>1</c:v>
                </c:pt>
                <c:pt idx="6">
                  <c:v>1.0281815021910665</c:v>
                </c:pt>
                <c:pt idx="7">
                  <c:v>1.056363004382133</c:v>
                </c:pt>
                <c:pt idx="8">
                  <c:v>1.0845445065731993</c:v>
                </c:pt>
                <c:pt idx="9">
                  <c:v>1.1127260087642659</c:v>
                </c:pt>
                <c:pt idx="10">
                  <c:v>1.1409075109553322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B1-4C20-B2E1-6D70EBCA8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431528"/>
        <c:axId val="657430216"/>
      </c:lineChart>
      <c:catAx>
        <c:axId val="65743152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30216"/>
        <c:crosses val="autoZero"/>
        <c:auto val="1"/>
        <c:lblAlgn val="ctr"/>
        <c:lblOffset val="100"/>
        <c:noMultiLvlLbl val="0"/>
      </c:catAx>
      <c:valAx>
        <c:axId val="65743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3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172182</xdr:colOff>
      <xdr:row>1</xdr:row>
      <xdr:rowOff>159727</xdr:rowOff>
    </xdr:from>
    <xdr:to>
      <xdr:col>34</xdr:col>
      <xdr:colOff>490904</xdr:colOff>
      <xdr:row>19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C749342-4DCF-48D4-9161-5FEBE3DA0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128221</xdr:colOff>
      <xdr:row>19</xdr:row>
      <xdr:rowOff>36634</xdr:rowOff>
    </xdr:from>
    <xdr:to>
      <xdr:col>34</xdr:col>
      <xdr:colOff>498231</xdr:colOff>
      <xdr:row>37</xdr:row>
      <xdr:rowOff>146539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AE67389-74AC-40EB-98A9-16DC52B27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62279</xdr:colOff>
      <xdr:row>1</xdr:row>
      <xdr:rowOff>64477</xdr:rowOff>
    </xdr:from>
    <xdr:to>
      <xdr:col>42</xdr:col>
      <xdr:colOff>498231</xdr:colOff>
      <xdr:row>18</xdr:row>
      <xdr:rowOff>58615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C86E2C3-CCDA-4479-B1F0-D645D625A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611798</xdr:colOff>
      <xdr:row>19</xdr:row>
      <xdr:rowOff>49822</xdr:rowOff>
    </xdr:from>
    <xdr:to>
      <xdr:col>42</xdr:col>
      <xdr:colOff>498231</xdr:colOff>
      <xdr:row>37</xdr:row>
      <xdr:rowOff>131885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01E9F42-4DF0-4A25-A3A7-9FC715683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48B07-7B8D-4591-95B4-688590FB5222}">
  <dimension ref="A1:F25"/>
  <sheetViews>
    <sheetView showGridLines="0" workbookViewId="0">
      <selection activeCell="D8" sqref="D8"/>
    </sheetView>
  </sheetViews>
  <sheetFormatPr defaultRowHeight="14.4" x14ac:dyDescent="0.55000000000000004"/>
  <cols>
    <col min="1" max="1" width="16.47265625" bestFit="1" customWidth="1"/>
    <col min="2" max="2" width="16.7890625" style="1" bestFit="1" customWidth="1"/>
    <col min="3" max="3" width="17.47265625" bestFit="1" customWidth="1"/>
    <col min="4" max="4" width="17.5234375" style="2" customWidth="1"/>
    <col min="5" max="5" width="18" style="2" bestFit="1" customWidth="1"/>
    <col min="6" max="6" width="14.15625" bestFit="1" customWidth="1"/>
  </cols>
  <sheetData>
    <row r="1" spans="1:6" x14ac:dyDescent="0.55000000000000004">
      <c r="A1" s="63" t="s">
        <v>2</v>
      </c>
      <c r="B1" s="63"/>
      <c r="D1" s="63" t="s">
        <v>25</v>
      </c>
      <c r="E1" s="63"/>
      <c r="F1" s="3" t="s">
        <v>5</v>
      </c>
    </row>
    <row r="2" spans="1:6" x14ac:dyDescent="0.55000000000000004">
      <c r="A2" s="3" t="s">
        <v>0</v>
      </c>
      <c r="B2" s="4">
        <v>-10000000</v>
      </c>
      <c r="D2" s="3" t="s">
        <v>3</v>
      </c>
      <c r="E2" s="5">
        <v>160000000</v>
      </c>
      <c r="F2" s="3" t="s">
        <v>20</v>
      </c>
    </row>
    <row r="3" spans="1:6" x14ac:dyDescent="0.55000000000000004">
      <c r="A3" s="3" t="s">
        <v>1</v>
      </c>
      <c r="B3" s="4">
        <v>-5000000</v>
      </c>
      <c r="D3" s="3" t="s">
        <v>4</v>
      </c>
      <c r="E3" s="5">
        <v>65000000</v>
      </c>
      <c r="F3" s="3" t="s">
        <v>19</v>
      </c>
    </row>
    <row r="4" spans="1:6" x14ac:dyDescent="0.55000000000000004">
      <c r="D4" s="5" t="s">
        <v>9</v>
      </c>
      <c r="E4" s="5">
        <v>43000000</v>
      </c>
      <c r="F4" s="3" t="s">
        <v>10</v>
      </c>
    </row>
    <row r="6" spans="1:6" x14ac:dyDescent="0.55000000000000004">
      <c r="A6" s="63" t="s">
        <v>7</v>
      </c>
      <c r="B6" s="63"/>
    </row>
    <row r="7" spans="1:6" x14ac:dyDescent="0.55000000000000004">
      <c r="A7" s="3" t="s">
        <v>21</v>
      </c>
      <c r="B7" s="4">
        <v>34</v>
      </c>
      <c r="D7" s="5" t="s">
        <v>11</v>
      </c>
    </row>
    <row r="8" spans="1:6" x14ac:dyDescent="0.55000000000000004">
      <c r="A8" s="3" t="s">
        <v>6</v>
      </c>
      <c r="B8" s="4">
        <v>41</v>
      </c>
      <c r="D8" s="7">
        <v>0.13400000000000001</v>
      </c>
    </row>
    <row r="11" spans="1:6" x14ac:dyDescent="0.55000000000000004">
      <c r="A11" s="63" t="s">
        <v>8</v>
      </c>
      <c r="B11" s="63"/>
    </row>
    <row r="12" spans="1:6" x14ac:dyDescent="0.55000000000000004">
      <c r="A12" s="3" t="s">
        <v>21</v>
      </c>
      <c r="B12" s="4">
        <v>34</v>
      </c>
    </row>
    <row r="13" spans="1:6" x14ac:dyDescent="0.55000000000000004">
      <c r="A13" s="3" t="s">
        <v>6</v>
      </c>
      <c r="B13" s="4">
        <v>62</v>
      </c>
    </row>
    <row r="16" spans="1:6" x14ac:dyDescent="0.55000000000000004">
      <c r="A16" s="63" t="s">
        <v>15</v>
      </c>
      <c r="B16" s="63"/>
      <c r="C16" s="63"/>
      <c r="D16" s="63"/>
      <c r="E16" s="63"/>
    </row>
    <row r="17" spans="1:6" x14ac:dyDescent="0.55000000000000004">
      <c r="A17" s="3" t="s">
        <v>22</v>
      </c>
      <c r="B17" s="3">
        <v>1</v>
      </c>
      <c r="C17" s="3">
        <v>2</v>
      </c>
      <c r="D17" s="3">
        <v>3</v>
      </c>
      <c r="E17" s="3">
        <v>4</v>
      </c>
      <c r="F17" s="9"/>
    </row>
    <row r="18" spans="1:6" x14ac:dyDescent="0.55000000000000004">
      <c r="A18" s="3" t="s">
        <v>12</v>
      </c>
      <c r="B18" s="3">
        <v>6200000</v>
      </c>
      <c r="C18" s="3">
        <f>B18*1.025</f>
        <v>6354999.9999999991</v>
      </c>
      <c r="D18" s="3">
        <f t="shared" ref="D18:E18" si="0">C18*1.025</f>
        <v>6513874.9999999981</v>
      </c>
      <c r="E18" s="3">
        <f t="shared" si="0"/>
        <v>6676721.8749999972</v>
      </c>
      <c r="F18" s="9"/>
    </row>
    <row r="19" spans="1:6" x14ac:dyDescent="0.55000000000000004">
      <c r="A19" s="3" t="s">
        <v>13</v>
      </c>
      <c r="B19" s="3">
        <f>B18*4</f>
        <v>24800000</v>
      </c>
      <c r="C19" s="3">
        <f t="shared" ref="C19:E19" si="1">C18*4</f>
        <v>25419999.999999996</v>
      </c>
      <c r="D19" s="3">
        <f t="shared" si="1"/>
        <v>26055499.999999993</v>
      </c>
      <c r="E19" s="3">
        <f t="shared" si="1"/>
        <v>26706887.499999989</v>
      </c>
      <c r="F19" s="9"/>
    </row>
    <row r="20" spans="1:6" x14ac:dyDescent="0.55000000000000004">
      <c r="A20" s="3" t="s">
        <v>14</v>
      </c>
      <c r="B20" s="3">
        <f>B19*0.11</f>
        <v>2728000</v>
      </c>
      <c r="C20" s="3">
        <f t="shared" ref="C20:E20" si="2">C19*0.11</f>
        <v>2796199.9999999995</v>
      </c>
      <c r="D20" s="3">
        <f t="shared" si="2"/>
        <v>2866104.9999999991</v>
      </c>
      <c r="E20" s="3">
        <f t="shared" si="2"/>
        <v>2937757.6249999986</v>
      </c>
      <c r="F20" s="9"/>
    </row>
    <row r="21" spans="1:6" x14ac:dyDescent="0.55000000000000004">
      <c r="F21" s="9"/>
    </row>
    <row r="22" spans="1:6" x14ac:dyDescent="0.55000000000000004">
      <c r="A22" s="63" t="s">
        <v>16</v>
      </c>
      <c r="B22" s="63"/>
      <c r="C22" s="63"/>
      <c r="D22" s="63"/>
      <c r="E22" s="63"/>
    </row>
    <row r="23" spans="1:6" x14ac:dyDescent="0.55000000000000004">
      <c r="A23" s="3" t="s">
        <v>22</v>
      </c>
      <c r="B23" s="3">
        <v>1</v>
      </c>
      <c r="C23" s="3">
        <v>2</v>
      </c>
      <c r="D23" s="3">
        <v>3</v>
      </c>
      <c r="E23" s="3">
        <v>4</v>
      </c>
      <c r="F23" s="9"/>
    </row>
    <row r="24" spans="1:6" x14ac:dyDescent="0.55000000000000004">
      <c r="A24" s="3" t="s">
        <v>13</v>
      </c>
      <c r="B24" s="3">
        <f>32000000</f>
        <v>32000000</v>
      </c>
      <c r="C24" s="3">
        <f>B24*1.02</f>
        <v>32640000</v>
      </c>
      <c r="D24" s="3">
        <f t="shared" ref="D24:E24" si="3">C24*1.02</f>
        <v>33292800</v>
      </c>
      <c r="E24" s="3">
        <f t="shared" si="3"/>
        <v>33958656</v>
      </c>
      <c r="F24" s="9"/>
    </row>
    <row r="25" spans="1:6" x14ac:dyDescent="0.55000000000000004">
      <c r="A25" s="3" t="s">
        <v>14</v>
      </c>
      <c r="B25" s="3">
        <f>B24*0.08</f>
        <v>2560000</v>
      </c>
      <c r="C25" s="3">
        <f t="shared" ref="C25:E25" si="4">C24*0.08</f>
        <v>2611200</v>
      </c>
      <c r="D25" s="3">
        <f t="shared" si="4"/>
        <v>2663424</v>
      </c>
      <c r="E25" s="3">
        <f t="shared" si="4"/>
        <v>2716692.48</v>
      </c>
      <c r="F25" s="9"/>
    </row>
  </sheetData>
  <mergeCells count="6">
    <mergeCell ref="A22:E22"/>
    <mergeCell ref="A1:B1"/>
    <mergeCell ref="D1:E1"/>
    <mergeCell ref="A6:B6"/>
    <mergeCell ref="A11:B11"/>
    <mergeCell ref="A16:E1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23E2E-4E44-480C-98E5-D8B0C012073B}">
  <dimension ref="A2:F18"/>
  <sheetViews>
    <sheetView showGridLines="0" zoomScale="70" zoomScaleNormal="70" workbookViewId="0">
      <selection activeCell="D23" sqref="D23"/>
    </sheetView>
  </sheetViews>
  <sheetFormatPr defaultRowHeight="14.4" x14ac:dyDescent="0.55000000000000004"/>
  <cols>
    <col min="1" max="1" width="26.15625" bestFit="1" customWidth="1"/>
    <col min="2" max="2" width="20.734375" bestFit="1" customWidth="1"/>
    <col min="3" max="6" width="19.26171875" bestFit="1" customWidth="1"/>
  </cols>
  <sheetData>
    <row r="2" spans="1:6" x14ac:dyDescent="0.55000000000000004">
      <c r="B2" s="63" t="s">
        <v>17</v>
      </c>
      <c r="C2" s="63"/>
      <c r="D2" s="63"/>
      <c r="E2" s="63"/>
      <c r="F2" s="63"/>
    </row>
    <row r="3" spans="1:6" x14ac:dyDescent="0.55000000000000004">
      <c r="A3" s="3"/>
      <c r="B3" s="3">
        <v>0</v>
      </c>
      <c r="C3" s="3">
        <v>1</v>
      </c>
      <c r="D3" s="3">
        <v>2</v>
      </c>
      <c r="E3" s="3">
        <v>3</v>
      </c>
      <c r="F3" s="3">
        <v>4</v>
      </c>
    </row>
    <row r="4" spans="1:6" x14ac:dyDescent="0.55000000000000004">
      <c r="A4" s="3" t="s">
        <v>23</v>
      </c>
      <c r="B4" s="10">
        <f>0</f>
        <v>0</v>
      </c>
      <c r="C4" s="10">
        <f>DADOS!B8*DADOS!B20+DADOS!B13*DADOS!B25</f>
        <v>270568000</v>
      </c>
      <c r="D4" s="10">
        <f>DADOS!B8*DADOS!C20+DADOS!B13*DADOS!C25</f>
        <v>276538600</v>
      </c>
      <c r="E4" s="10">
        <f>DADOS!B8*DADOS!D20+DADOS!B13*DADOS!D25</f>
        <v>282642592.99999994</v>
      </c>
      <c r="F4" s="10">
        <f>DADOS!B8*DADOS!E20+DADOS!B13*DADOS!E25+DADOS!E3</f>
        <v>353882996.38499993</v>
      </c>
    </row>
    <row r="5" spans="1:6" x14ac:dyDescent="0.55000000000000004">
      <c r="A5" s="3" t="s">
        <v>24</v>
      </c>
      <c r="B5" s="10">
        <f>DADOS!E2</f>
        <v>160000000</v>
      </c>
      <c r="C5" s="10">
        <f>DADOS!B7*DADOS!B20+DADOS!B12*DADOS!B25+DADOS!E4</f>
        <v>222792000</v>
      </c>
      <c r="D5" s="10">
        <f>DADOS!E4+DADOS!B7*DADOS!C20+DADOS!B12*DADOS!C25</f>
        <v>226851600</v>
      </c>
      <c r="E5" s="10">
        <f>DADOS!E4+DADOS!B7*DADOS!D20+DADOS!B12*DADOS!D25</f>
        <v>231003985.99999997</v>
      </c>
      <c r="F5" s="10">
        <f>DADOS!B7*DADOS!E20+DADOS!B12*DADOS!E25+DADOS!E4</f>
        <v>235251303.56999993</v>
      </c>
    </row>
    <row r="6" spans="1:6" x14ac:dyDescent="0.55000000000000004">
      <c r="A6" s="3" t="s">
        <v>18</v>
      </c>
      <c r="B6" s="10">
        <f>B4-B5</f>
        <v>-160000000</v>
      </c>
      <c r="C6" s="10">
        <f t="shared" ref="C6:F6" si="0">C4-C5</f>
        <v>47776000</v>
      </c>
      <c r="D6" s="10">
        <f t="shared" si="0"/>
        <v>49687000</v>
      </c>
      <c r="E6" s="10">
        <f t="shared" si="0"/>
        <v>51638606.99999997</v>
      </c>
      <c r="F6" s="10">
        <f t="shared" si="0"/>
        <v>118631692.815</v>
      </c>
    </row>
    <row r="7" spans="1:6" x14ac:dyDescent="0.55000000000000004">
      <c r="A7" s="12" t="s">
        <v>27</v>
      </c>
      <c r="B7" s="13">
        <f>B6/(1+DADOS!$D$8)^B3</f>
        <v>-160000000</v>
      </c>
      <c r="C7" s="13">
        <f>C6/(1+DADOS!$D$8)^C3</f>
        <v>42130511.463844799</v>
      </c>
      <c r="D7" s="13">
        <f>D6/(1+DADOS!$D$8)^D3</f>
        <v>38638180.466516741</v>
      </c>
      <c r="E7" s="13">
        <f>E6/(1+DADOS!$D$8)^E3</f>
        <v>35410768.701410048</v>
      </c>
      <c r="F7" s="13">
        <f>F6/(1+DADOS!$D$8)^F3</f>
        <v>71737875.232483208</v>
      </c>
    </row>
    <row r="8" spans="1:6" x14ac:dyDescent="0.55000000000000004">
      <c r="A8" s="12" t="s">
        <v>32</v>
      </c>
      <c r="B8" s="18">
        <f>B6/(1+$B$9)^B3</f>
        <v>-160000000</v>
      </c>
      <c r="C8" s="18">
        <f t="shared" ref="C8:E8" si="1">C6/(1+$B$9)^C3</f>
        <v>39681284.174679324</v>
      </c>
      <c r="D8" s="18">
        <f t="shared" si="1"/>
        <v>34276355.65931198</v>
      </c>
      <c r="E8" s="18">
        <f t="shared" si="1"/>
        <v>29587094.269087635</v>
      </c>
      <c r="F8" s="18">
        <f>F6/(1+$B$9)^F3</f>
        <v>56455265.896922022</v>
      </c>
    </row>
    <row r="9" spans="1:6" x14ac:dyDescent="0.55000000000000004">
      <c r="A9" s="14" t="s">
        <v>31</v>
      </c>
      <c r="B9" s="19">
        <v>0.20399329290068499</v>
      </c>
      <c r="C9" s="16"/>
    </row>
    <row r="10" spans="1:6" x14ac:dyDescent="0.55000000000000004">
      <c r="A10" s="11"/>
    </row>
    <row r="14" spans="1:6" x14ac:dyDescent="0.55000000000000004">
      <c r="A14" s="3" t="s">
        <v>26</v>
      </c>
      <c r="B14" s="14">
        <v>27917335.864</v>
      </c>
    </row>
    <row r="15" spans="1:6" x14ac:dyDescent="0.55000000000000004">
      <c r="A15" s="3" t="s">
        <v>28</v>
      </c>
      <c r="B15" s="3">
        <f>ABS(SUM(B6:E6))/ABS(F6-SUM(B6:E6))+3</f>
        <v>3.0841379277364607</v>
      </c>
    </row>
    <row r="16" spans="1:6" x14ac:dyDescent="0.55000000000000004">
      <c r="A16" s="3" t="s">
        <v>29</v>
      </c>
      <c r="B16" s="3">
        <f>ABS(SUM(B7:E7))/ABS(F7-SUM(B7:E7))+3</f>
        <v>3.3792068238357311</v>
      </c>
    </row>
    <row r="17" spans="1:3" x14ac:dyDescent="0.55000000000000004">
      <c r="A17" s="3" t="s">
        <v>31</v>
      </c>
      <c r="B17" s="19">
        <f>IRR(B6:F6,0)</f>
        <v>0.20399329290068779</v>
      </c>
      <c r="C17" s="17"/>
    </row>
    <row r="18" spans="1:3" x14ac:dyDescent="0.55000000000000004">
      <c r="A18" s="3" t="s">
        <v>30</v>
      </c>
      <c r="B18" s="15">
        <f>SUM(C7:F7)/ABS(B7)</f>
        <v>1.1744833491515925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E7C8-08BD-46F0-A50B-ED8669AACE96}">
  <dimension ref="A1:BL380"/>
  <sheetViews>
    <sheetView showGridLines="0" topLeftCell="AG1" zoomScale="85" zoomScaleNormal="85" workbookViewId="0">
      <selection activeCell="AS33" sqref="AS33"/>
    </sheetView>
  </sheetViews>
  <sheetFormatPr defaultRowHeight="14.4" x14ac:dyDescent="0.55000000000000004"/>
  <cols>
    <col min="1" max="1" width="19.7890625" bestFit="1" customWidth="1"/>
    <col min="2" max="2" width="19.26171875" customWidth="1"/>
    <col min="3" max="6" width="17.7890625" bestFit="1" customWidth="1"/>
    <col min="7" max="8" width="17.7890625" customWidth="1"/>
    <col min="10" max="10" width="31.3671875" style="9" customWidth="1"/>
    <col min="11" max="11" width="41.3671875" bestFit="1" customWidth="1"/>
    <col min="12" max="12" width="18.15625" bestFit="1" customWidth="1"/>
    <col min="13" max="13" width="16.26171875" bestFit="1" customWidth="1"/>
    <col min="14" max="22" width="15.7890625" bestFit="1" customWidth="1"/>
    <col min="24" max="24" width="13" style="26" customWidth="1"/>
    <col min="25" max="25" width="31.26171875" bestFit="1" customWidth="1"/>
    <col min="26" max="26" width="20.15625" bestFit="1" customWidth="1"/>
    <col min="27" max="33" width="17" bestFit="1" customWidth="1"/>
    <col min="34" max="36" width="16.26171875" bestFit="1" customWidth="1"/>
    <col min="38" max="38" width="29.7890625" bestFit="1" customWidth="1"/>
    <col min="39" max="39" width="31.26171875" bestFit="1" customWidth="1"/>
    <col min="40" max="40" width="19.47265625" bestFit="1" customWidth="1"/>
    <col min="41" max="47" width="17" bestFit="1" customWidth="1"/>
    <col min="48" max="50" width="16.26171875" bestFit="1" customWidth="1"/>
    <col min="52" max="52" width="29.7890625" bestFit="1" customWidth="1"/>
    <col min="53" max="53" width="42.62890625" bestFit="1" customWidth="1"/>
    <col min="54" max="54" width="19.47265625" bestFit="1" customWidth="1"/>
    <col min="55" max="61" width="17" bestFit="1" customWidth="1"/>
    <col min="62" max="64" width="16.26171875" bestFit="1" customWidth="1"/>
  </cols>
  <sheetData>
    <row r="1" spans="1:61" x14ac:dyDescent="0.55000000000000004">
      <c r="A1" s="63" t="s">
        <v>2</v>
      </c>
      <c r="B1" s="63"/>
      <c r="D1" s="63" t="s">
        <v>25</v>
      </c>
      <c r="E1" s="63"/>
      <c r="F1" s="3" t="s">
        <v>5</v>
      </c>
      <c r="G1" s="9"/>
      <c r="H1" s="9"/>
      <c r="I1" s="20"/>
      <c r="K1" s="62" t="s">
        <v>41</v>
      </c>
      <c r="Y1" s="62" t="s">
        <v>43</v>
      </c>
      <c r="AL1" s="26"/>
      <c r="AM1" s="62" t="s">
        <v>45</v>
      </c>
      <c r="AZ1" s="26"/>
      <c r="BA1" s="62" t="s">
        <v>47</v>
      </c>
    </row>
    <row r="2" spans="1:61" ht="14.7" thickBot="1" x14ac:dyDescent="0.6">
      <c r="A2" s="3" t="s">
        <v>0</v>
      </c>
      <c r="B2" s="4">
        <v>-10000000</v>
      </c>
      <c r="D2" s="3" t="s">
        <v>3</v>
      </c>
      <c r="E2" s="5">
        <v>160000000</v>
      </c>
      <c r="F2" s="3" t="s">
        <v>20</v>
      </c>
      <c r="G2" s="9"/>
      <c r="H2" s="9"/>
      <c r="I2" s="20"/>
      <c r="K2" s="61" t="s">
        <v>42</v>
      </c>
      <c r="Y2" s="61" t="s">
        <v>44</v>
      </c>
      <c r="AL2" s="26"/>
      <c r="AM2" s="61" t="s">
        <v>46</v>
      </c>
      <c r="AZ2" s="26"/>
      <c r="BA2" s="61" t="s">
        <v>48</v>
      </c>
    </row>
    <row r="3" spans="1:61" x14ac:dyDescent="0.55000000000000004">
      <c r="A3" s="3" t="s">
        <v>1</v>
      </c>
      <c r="B3" s="4">
        <v>-5000000</v>
      </c>
      <c r="D3" s="3" t="s">
        <v>4</v>
      </c>
      <c r="E3" s="5">
        <v>65000000</v>
      </c>
      <c r="F3" s="3" t="s">
        <v>19</v>
      </c>
      <c r="G3" s="9"/>
      <c r="H3" s="9"/>
      <c r="I3" s="20"/>
      <c r="AL3" s="26"/>
      <c r="AZ3" s="26"/>
    </row>
    <row r="4" spans="1:61" x14ac:dyDescent="0.55000000000000004">
      <c r="B4" s="1"/>
      <c r="D4" s="5" t="s">
        <v>9</v>
      </c>
      <c r="E4" s="5">
        <v>43000000</v>
      </c>
      <c r="F4" s="3" t="s">
        <v>10</v>
      </c>
      <c r="G4" s="9"/>
      <c r="H4" s="9"/>
      <c r="I4" s="20"/>
      <c r="AL4" s="26"/>
      <c r="AZ4" s="26"/>
    </row>
    <row r="5" spans="1:61" x14ac:dyDescent="0.55000000000000004">
      <c r="B5" s="1"/>
      <c r="D5" s="2"/>
      <c r="E5" s="2"/>
      <c r="I5" s="20"/>
      <c r="AL5" s="26"/>
      <c r="AZ5" s="26"/>
    </row>
    <row r="6" spans="1:61" x14ac:dyDescent="0.55000000000000004">
      <c r="A6" s="63" t="s">
        <v>7</v>
      </c>
      <c r="B6" s="63"/>
      <c r="D6" s="2"/>
      <c r="E6" s="2"/>
      <c r="I6" s="20"/>
      <c r="L6" s="63" t="s">
        <v>17</v>
      </c>
      <c r="M6" s="63"/>
      <c r="N6" s="63"/>
      <c r="O6" s="63"/>
      <c r="P6" s="63"/>
      <c r="AL6" s="26"/>
      <c r="AZ6" s="26"/>
    </row>
    <row r="7" spans="1:61" x14ac:dyDescent="0.55000000000000004">
      <c r="A7" s="3" t="s">
        <v>21</v>
      </c>
      <c r="B7" s="4">
        <v>34</v>
      </c>
      <c r="D7" s="5" t="s">
        <v>11</v>
      </c>
      <c r="E7" s="2"/>
      <c r="I7" s="20"/>
      <c r="K7" s="3"/>
      <c r="L7" s="3">
        <v>0</v>
      </c>
      <c r="M7" s="3">
        <v>1</v>
      </c>
      <c r="N7" s="3">
        <v>2</v>
      </c>
      <c r="O7" s="3">
        <v>3</v>
      </c>
      <c r="P7" s="8">
        <v>4</v>
      </c>
      <c r="Q7" s="36">
        <v>5</v>
      </c>
      <c r="R7" s="37">
        <v>6</v>
      </c>
      <c r="S7" s="38">
        <v>7</v>
      </c>
      <c r="Z7" s="63" t="s">
        <v>17</v>
      </c>
      <c r="AA7" s="63"/>
      <c r="AB7" s="63"/>
      <c r="AC7" s="63"/>
      <c r="AD7" s="63"/>
      <c r="AL7" s="26"/>
      <c r="AN7" s="63" t="s">
        <v>17</v>
      </c>
      <c r="AO7" s="63"/>
      <c r="AP7" s="63"/>
      <c r="AQ7" s="63"/>
      <c r="AR7" s="63"/>
      <c r="AZ7" s="26"/>
      <c r="BB7" s="63" t="s">
        <v>17</v>
      </c>
      <c r="BC7" s="63"/>
      <c r="BD7" s="63"/>
      <c r="BE7" s="63"/>
      <c r="BF7" s="63"/>
    </row>
    <row r="8" spans="1:61" x14ac:dyDescent="0.55000000000000004">
      <c r="A8" s="3" t="s">
        <v>6</v>
      </c>
      <c r="B8" s="4">
        <v>41</v>
      </c>
      <c r="D8" s="7">
        <v>0.13400000000000001</v>
      </c>
      <c r="E8" s="2"/>
      <c r="I8" s="20"/>
      <c r="K8" s="3" t="s">
        <v>23</v>
      </c>
      <c r="L8" s="10">
        <f>0</f>
        <v>0</v>
      </c>
      <c r="M8" s="10">
        <f>$L$26*B20+$B$13*B25</f>
        <v>321408000</v>
      </c>
      <c r="N8" s="10">
        <f>$L$26*C20+$B$13*C25</f>
        <v>328649600</v>
      </c>
      <c r="O8" s="10">
        <f>$L$26*D20+$B$13*D25</f>
        <v>336056368</v>
      </c>
      <c r="P8" s="27">
        <f>$L$26*E20+$B$13*E25+E3</f>
        <v>408632115.75999987</v>
      </c>
      <c r="Q8" s="32">
        <f>$L$26*F20+$B$13*F25</f>
        <v>351380743.98519993</v>
      </c>
      <c r="R8" s="10">
        <f>$L$26*G20+$B$13*G25</f>
        <v>359306244.42265391</v>
      </c>
      <c r="S8" s="33">
        <f>$L$26*H20+$B$13*H25</f>
        <v>367412702.0078007</v>
      </c>
      <c r="Y8" s="3"/>
      <c r="Z8" s="3">
        <v>0</v>
      </c>
      <c r="AA8" s="3">
        <v>1</v>
      </c>
      <c r="AB8" s="3">
        <v>2</v>
      </c>
      <c r="AC8" s="3">
        <v>3</v>
      </c>
      <c r="AD8" s="8">
        <v>4</v>
      </c>
      <c r="AE8" s="29">
        <v>5</v>
      </c>
      <c r="AF8" s="30">
        <v>6</v>
      </c>
      <c r="AG8" s="31">
        <v>7</v>
      </c>
      <c r="AL8" s="26"/>
      <c r="AM8" s="3"/>
      <c r="AN8" s="3">
        <v>0</v>
      </c>
      <c r="AO8" s="3">
        <v>1</v>
      </c>
      <c r="AP8" s="3">
        <v>2</v>
      </c>
      <c r="AQ8" s="3">
        <v>3</v>
      </c>
      <c r="AR8" s="8">
        <v>4</v>
      </c>
      <c r="AS8" s="29">
        <v>5</v>
      </c>
      <c r="AT8" s="30">
        <v>6</v>
      </c>
      <c r="AU8" s="31">
        <v>7</v>
      </c>
      <c r="AZ8" s="26"/>
      <c r="BA8" s="3"/>
      <c r="BB8" s="3">
        <v>0</v>
      </c>
      <c r="BC8" s="3">
        <v>1</v>
      </c>
      <c r="BD8" s="3">
        <v>2</v>
      </c>
      <c r="BE8" s="3">
        <v>3</v>
      </c>
      <c r="BF8" s="8">
        <v>4</v>
      </c>
      <c r="BG8" s="29">
        <v>5</v>
      </c>
      <c r="BH8" s="30">
        <v>6</v>
      </c>
      <c r="BI8" s="31">
        <v>7</v>
      </c>
    </row>
    <row r="9" spans="1:61" x14ac:dyDescent="0.55000000000000004">
      <c r="B9" s="1"/>
      <c r="D9" s="2"/>
      <c r="E9" s="2"/>
      <c r="I9" s="20"/>
      <c r="K9" s="3" t="s">
        <v>24</v>
      </c>
      <c r="L9" s="10">
        <f>'Analise de Sensibilidade'!E2</f>
        <v>160000000</v>
      </c>
      <c r="M9" s="10">
        <f>$B$7*B20+$B$12*B25+$E$4</f>
        <v>264952000</v>
      </c>
      <c r="N9" s="10">
        <f>$B$7*C20+$B$12*C25+$E$4</f>
        <v>270065600</v>
      </c>
      <c r="O9" s="10">
        <f>$B$7*D20+$B$12*D25+$E$4</f>
        <v>275298336</v>
      </c>
      <c r="P9" s="27">
        <f>$B$7*E20+$B$12*E25+$E$4</f>
        <v>280653012.31999993</v>
      </c>
      <c r="Q9" s="32">
        <f>$B$7*F20+$B$12*F25+$E$4</f>
        <v>286132499.90639991</v>
      </c>
      <c r="R9" s="10">
        <f t="shared" ref="R9:S9" si="0">$B$7*G20+$B$12*G25+$E$4</f>
        <v>291739737.92802787</v>
      </c>
      <c r="S9" s="33">
        <f t="shared" si="0"/>
        <v>297477735.41067594</v>
      </c>
      <c r="Y9" s="3" t="s">
        <v>23</v>
      </c>
      <c r="Z9" s="10">
        <f>0</f>
        <v>0</v>
      </c>
      <c r="AA9" s="10">
        <f>$B$8*B20+$B$13*B25</f>
        <v>321408000</v>
      </c>
      <c r="AB9" s="10">
        <f t="shared" ref="AB9:AG9" si="1">$B$8*C20+$B$13*C25</f>
        <v>328649600</v>
      </c>
      <c r="AC9" s="10">
        <f t="shared" si="1"/>
        <v>336056368</v>
      </c>
      <c r="AD9" s="10">
        <f>$B$8*E20+$B$13*E25+E3</f>
        <v>408632115.75999987</v>
      </c>
      <c r="AE9" s="10">
        <f t="shared" si="1"/>
        <v>351380743.98519993</v>
      </c>
      <c r="AF9" s="10">
        <f t="shared" si="1"/>
        <v>359306244.42265391</v>
      </c>
      <c r="AG9" s="10">
        <f t="shared" si="1"/>
        <v>367412702.0078007</v>
      </c>
      <c r="AL9" s="26"/>
      <c r="AM9" s="3" t="s">
        <v>23</v>
      </c>
      <c r="AN9" s="10">
        <f>0</f>
        <v>0</v>
      </c>
      <c r="AO9" s="10">
        <f>$B$8*B20+$B$13*B25</f>
        <v>321408000</v>
      </c>
      <c r="AP9" s="10">
        <f t="shared" ref="AP9:AU9" si="2">$B$8*C20+$B$13*C25</f>
        <v>328649600</v>
      </c>
      <c r="AQ9" s="10">
        <f t="shared" si="2"/>
        <v>336056368</v>
      </c>
      <c r="AR9" s="10">
        <f>$B$8*E20+$B$13*E25+$E$3</f>
        <v>408632115.75999987</v>
      </c>
      <c r="AS9" s="10">
        <f t="shared" si="2"/>
        <v>351380743.98519993</v>
      </c>
      <c r="AT9" s="10">
        <f t="shared" si="2"/>
        <v>359306244.42265391</v>
      </c>
      <c r="AU9" s="10">
        <f t="shared" si="2"/>
        <v>367412702.0078007</v>
      </c>
      <c r="AZ9" s="26"/>
      <c r="BA9" s="3" t="s">
        <v>23</v>
      </c>
      <c r="BB9" s="10">
        <f>0</f>
        <v>0</v>
      </c>
      <c r="BC9" s="10">
        <f>$B$8*B20+$B$13*B25</f>
        <v>321408000</v>
      </c>
      <c r="BD9" s="10">
        <f t="shared" ref="BD9:BI9" si="3">$B$8*C20+$B$13*C25</f>
        <v>328649600</v>
      </c>
      <c r="BE9" s="10">
        <f t="shared" si="3"/>
        <v>336056368</v>
      </c>
      <c r="BF9" s="10">
        <f>$B$8*E20+$B$13*E25+$E$3</f>
        <v>408632115.75999987</v>
      </c>
      <c r="BG9" s="10">
        <f t="shared" si="3"/>
        <v>351380743.98519993</v>
      </c>
      <c r="BH9" s="10">
        <f t="shared" si="3"/>
        <v>359306244.42265391</v>
      </c>
      <c r="BI9" s="10">
        <f t="shared" si="3"/>
        <v>367412702.0078007</v>
      </c>
    </row>
    <row r="10" spans="1:61" x14ac:dyDescent="0.55000000000000004">
      <c r="B10" s="1"/>
      <c r="D10" s="2"/>
      <c r="E10" s="2"/>
      <c r="I10" s="20"/>
      <c r="K10" s="3" t="s">
        <v>18</v>
      </c>
      <c r="L10" s="10">
        <f>L8-L9</f>
        <v>-160000000</v>
      </c>
      <c r="M10" s="10">
        <f t="shared" ref="M10" si="4">M8-M9</f>
        <v>56456000</v>
      </c>
      <c r="N10" s="10">
        <f t="shared" ref="N10" si="5">N8-N9</f>
        <v>58584000</v>
      </c>
      <c r="O10" s="10">
        <f t="shared" ref="O10" si="6">O8-O9</f>
        <v>60758032</v>
      </c>
      <c r="P10" s="27">
        <f t="shared" ref="P10:Q10" si="7">P8-P9</f>
        <v>127979103.43999994</v>
      </c>
      <c r="Q10" s="32">
        <f t="shared" si="7"/>
        <v>65248244.078800023</v>
      </c>
      <c r="R10" s="10">
        <f t="shared" ref="R10" si="8">R8-R9</f>
        <v>67566506.494626045</v>
      </c>
      <c r="S10" s="33">
        <f t="shared" ref="S10" si="9">S8-S9</f>
        <v>69934966.597124755</v>
      </c>
      <c r="Y10" s="3" t="s">
        <v>24</v>
      </c>
      <c r="Z10" s="10">
        <f>$E$2-Z27</f>
        <v>140000000</v>
      </c>
      <c r="AA10" s="10">
        <f>$B$7*B20+$B$12*B25+$E$4</f>
        <v>264952000</v>
      </c>
      <c r="AB10" s="10">
        <f t="shared" ref="AB10:AG10" si="10">$B$7*C20+$B$12*C25+$E$4</f>
        <v>270065600</v>
      </c>
      <c r="AC10" s="10">
        <f t="shared" si="10"/>
        <v>275298336</v>
      </c>
      <c r="AD10" s="10">
        <f t="shared" si="10"/>
        <v>280653012.31999993</v>
      </c>
      <c r="AE10" s="10">
        <f t="shared" si="10"/>
        <v>286132499.90639991</v>
      </c>
      <c r="AF10" s="10">
        <f t="shared" si="10"/>
        <v>291739737.92802787</v>
      </c>
      <c r="AG10" s="10">
        <f t="shared" si="10"/>
        <v>297477735.41067594</v>
      </c>
      <c r="AL10" s="26"/>
      <c r="AM10" s="3" t="s">
        <v>24</v>
      </c>
      <c r="AN10" s="10">
        <f>$E$2</f>
        <v>160000000</v>
      </c>
      <c r="AO10" s="10">
        <f>$B$7*B20+$B$12*B25+$E$4</f>
        <v>264952000</v>
      </c>
      <c r="AP10" s="10">
        <f t="shared" ref="AP10:AU10" si="11">$B$7*C20+$B$12*C25+$E$4</f>
        <v>270065600</v>
      </c>
      <c r="AQ10" s="10">
        <f t="shared" si="11"/>
        <v>275298336</v>
      </c>
      <c r="AR10" s="10">
        <f t="shared" si="11"/>
        <v>280653012.31999993</v>
      </c>
      <c r="AS10" s="10">
        <f t="shared" si="11"/>
        <v>286132499.90639991</v>
      </c>
      <c r="AT10" s="10">
        <f t="shared" si="11"/>
        <v>291739737.92802787</v>
      </c>
      <c r="AU10" s="10">
        <f t="shared" si="11"/>
        <v>297477735.41067594</v>
      </c>
      <c r="AZ10" s="26"/>
      <c r="BA10" s="3" t="s">
        <v>24</v>
      </c>
      <c r="BB10" s="10">
        <f>$E$2</f>
        <v>160000000</v>
      </c>
      <c r="BC10" s="10">
        <f>$B$7*B20+$B$12*B25+$E$4</f>
        <v>264952000</v>
      </c>
      <c r="BD10" s="10">
        <f t="shared" ref="BD10:BI10" si="12">$B$7*C20+$B$12*C25+$E$4</f>
        <v>270065600</v>
      </c>
      <c r="BE10" s="10">
        <f t="shared" si="12"/>
        <v>275298336</v>
      </c>
      <c r="BF10" s="10">
        <f t="shared" si="12"/>
        <v>280653012.31999993</v>
      </c>
      <c r="BG10" s="10">
        <f t="shared" si="12"/>
        <v>286132499.90639991</v>
      </c>
      <c r="BH10" s="10">
        <f t="shared" si="12"/>
        <v>291739737.92802787</v>
      </c>
      <c r="BI10" s="10">
        <f t="shared" si="12"/>
        <v>297477735.41067594</v>
      </c>
    </row>
    <row r="11" spans="1:61" x14ac:dyDescent="0.55000000000000004">
      <c r="A11" s="63" t="s">
        <v>8</v>
      </c>
      <c r="B11" s="63"/>
      <c r="D11" s="2"/>
      <c r="E11" s="2"/>
      <c r="I11" s="20"/>
      <c r="K11" s="12" t="s">
        <v>27</v>
      </c>
      <c r="L11" s="13">
        <f>L10/(1+DADOS!$D$8)^L7</f>
        <v>-160000000</v>
      </c>
      <c r="M11" s="13">
        <f>M10/(1+DADOS!$D$8)^M7</f>
        <v>49784832.451499119</v>
      </c>
      <c r="N11" s="13">
        <f>N10/(1+DADOS!$D$8)^N7</f>
        <v>45556768.660825104</v>
      </c>
      <c r="O11" s="13">
        <f>O10/(1+DADOS!$D$8)^O7</f>
        <v>41664342.686565332</v>
      </c>
      <c r="P11" s="28">
        <f>P10/(1+DADOS!$D$8)^P7</f>
        <v>77390356.127354562</v>
      </c>
      <c r="Q11" s="34">
        <f>Q10/(1+DADOS!$D$8)^Q7</f>
        <v>34793935.649280667</v>
      </c>
      <c r="R11" s="13">
        <f>R10/(1+DADOS!$D$8)^R7</f>
        <v>31772627.935462497</v>
      </c>
      <c r="S11" s="35">
        <f>S10/(1+DADOS!$D$8)^S7</f>
        <v>29000333.341786899</v>
      </c>
      <c r="Y11" s="3" t="s">
        <v>18</v>
      </c>
      <c r="Z11" s="10">
        <f>Z9-Z10</f>
        <v>-140000000</v>
      </c>
      <c r="AA11" s="10">
        <f t="shared" ref="AA11:AG11" si="13">AA9-AA10</f>
        <v>56456000</v>
      </c>
      <c r="AB11" s="10">
        <f t="shared" si="13"/>
        <v>58584000</v>
      </c>
      <c r="AC11" s="10">
        <f t="shared" si="13"/>
        <v>60758032</v>
      </c>
      <c r="AD11" s="27">
        <f t="shared" si="13"/>
        <v>127979103.43999994</v>
      </c>
      <c r="AE11" s="32">
        <f t="shared" si="13"/>
        <v>65248244.078800023</v>
      </c>
      <c r="AF11" s="10">
        <f t="shared" si="13"/>
        <v>67566506.494626045</v>
      </c>
      <c r="AG11" s="33">
        <f t="shared" si="13"/>
        <v>69934966.597124755</v>
      </c>
      <c r="AL11" s="26"/>
      <c r="AM11" s="3" t="s">
        <v>18</v>
      </c>
      <c r="AN11" s="10">
        <f>AN9-AN10</f>
        <v>-160000000</v>
      </c>
      <c r="AO11" s="10">
        <f t="shared" ref="AO11:AU11" si="14">AO9-AO10</f>
        <v>56456000</v>
      </c>
      <c r="AP11" s="10">
        <f t="shared" si="14"/>
        <v>58584000</v>
      </c>
      <c r="AQ11" s="10">
        <f t="shared" si="14"/>
        <v>60758032</v>
      </c>
      <c r="AR11" s="27">
        <f t="shared" si="14"/>
        <v>127979103.43999994</v>
      </c>
      <c r="AS11" s="32">
        <f t="shared" si="14"/>
        <v>65248244.078800023</v>
      </c>
      <c r="AT11" s="10">
        <f t="shared" si="14"/>
        <v>67566506.494626045</v>
      </c>
      <c r="AU11" s="33">
        <f t="shared" si="14"/>
        <v>69934966.597124755</v>
      </c>
      <c r="AZ11" s="26"/>
      <c r="BA11" s="3" t="s">
        <v>18</v>
      </c>
      <c r="BB11" s="10">
        <f>BB9-BB10</f>
        <v>-160000000</v>
      </c>
      <c r="BC11" s="10">
        <f t="shared" ref="BC11:BI11" si="15">BC9-BC10</f>
        <v>56456000</v>
      </c>
      <c r="BD11" s="10">
        <f t="shared" si="15"/>
        <v>58584000</v>
      </c>
      <c r="BE11" s="10">
        <f t="shared" si="15"/>
        <v>60758032</v>
      </c>
      <c r="BF11" s="27">
        <f t="shared" si="15"/>
        <v>127979103.43999994</v>
      </c>
      <c r="BG11" s="32">
        <f t="shared" si="15"/>
        <v>65248244.078800023</v>
      </c>
      <c r="BH11" s="10">
        <f t="shared" si="15"/>
        <v>67566506.494626045</v>
      </c>
      <c r="BI11" s="33">
        <f t="shared" si="15"/>
        <v>69934966.597124755</v>
      </c>
    </row>
    <row r="12" spans="1:61" x14ac:dyDescent="0.55000000000000004">
      <c r="A12" s="3" t="s">
        <v>21</v>
      </c>
      <c r="B12" s="4">
        <v>34</v>
      </c>
      <c r="D12" s="2"/>
      <c r="E12" s="2"/>
      <c r="I12" s="20"/>
      <c r="K12" s="12" t="s">
        <v>32</v>
      </c>
      <c r="L12" s="18">
        <f>L10/(1+$L$13)^L7</f>
        <v>-160000000</v>
      </c>
      <c r="M12" s="18">
        <f t="shared" ref="M12:S12" si="16">M10/(1+$L$13)^M7</f>
        <v>44494053.830955885</v>
      </c>
      <c r="N12" s="18">
        <f t="shared" si="16"/>
        <v>36388383.580205932</v>
      </c>
      <c r="O12" s="18">
        <f t="shared" si="16"/>
        <v>29742626.18020682</v>
      </c>
      <c r="P12" s="18">
        <f t="shared" si="16"/>
        <v>49374936.408631392</v>
      </c>
      <c r="Q12" s="18">
        <f t="shared" si="16"/>
        <v>19839384.119619485</v>
      </c>
      <c r="R12" s="18">
        <f t="shared" si="16"/>
        <v>16191336.298979593</v>
      </c>
      <c r="S12" s="18">
        <f t="shared" si="16"/>
        <v>13208012.5260814</v>
      </c>
      <c r="Y12" s="12" t="s">
        <v>27</v>
      </c>
      <c r="Z12" s="13">
        <f>Z11/(1+DADOS!$D$8)^Z8</f>
        <v>-140000000</v>
      </c>
      <c r="AA12" s="13">
        <f>AA11/(1+DADOS!$D$8)^AA8</f>
        <v>49784832.451499119</v>
      </c>
      <c r="AB12" s="13">
        <f>AB11/(1+DADOS!$D$8)^AB8</f>
        <v>45556768.660825104</v>
      </c>
      <c r="AC12" s="13">
        <f>AC11/(1+DADOS!$D$8)^AC8</f>
        <v>41664342.686565332</v>
      </c>
      <c r="AD12" s="28">
        <f>AD11/(1+DADOS!$D$8)^AD8</f>
        <v>77390356.127354562</v>
      </c>
      <c r="AE12" s="34">
        <f>AE11/(1+DADOS!$D$8)^AE8</f>
        <v>34793935.649280667</v>
      </c>
      <c r="AF12" s="13">
        <f>AF11/(1+DADOS!$D$8)^AF8</f>
        <v>31772627.935462497</v>
      </c>
      <c r="AG12" s="35">
        <f>AG11/(1+DADOS!$D$8)^AG8</f>
        <v>29000333.341786899</v>
      </c>
      <c r="AL12" s="26"/>
      <c r="AM12" s="12" t="s">
        <v>27</v>
      </c>
      <c r="AN12" s="13">
        <f>AN11/(1+DADOS!$D$8)^AN8</f>
        <v>-160000000</v>
      </c>
      <c r="AO12" s="13">
        <f>AO11/(1+DADOS!$D$8-$AN$27)^AO8</f>
        <v>52081180.811808124</v>
      </c>
      <c r="AP12" s="13">
        <f>AP11/(1+DADOS!$D$8-$AN$27)^AP8</f>
        <v>49856347.271959819</v>
      </c>
      <c r="AQ12" s="13">
        <f>AQ11/(1+DADOS!$D$8-$AN$27)^AQ8</f>
        <v>47699722.411910757</v>
      </c>
      <c r="AR12" s="13">
        <f>AR11/(1+DADOS!$D$8-$AN$27)^AR8</f>
        <v>92687663.523992211</v>
      </c>
      <c r="AS12" s="13">
        <f>AS11/(1+DADOS!$D$8-$AN$27)^AS8</f>
        <v>43593568.154629476</v>
      </c>
      <c r="AT12" s="13">
        <f>AT11/(1+DADOS!$D$8-$AN$27)^AT8</f>
        <v>41644319.639415272</v>
      </c>
      <c r="AU12" s="13">
        <f>AU11/(1+DADOS!$D$8-$AN$27)^AU8</f>
        <v>39763938.76872132</v>
      </c>
      <c r="AZ12" s="26"/>
      <c r="BA12" s="12" t="s">
        <v>27</v>
      </c>
      <c r="BB12" s="13">
        <f>BB11/(1+$D$8)^BB8</f>
        <v>-160000000</v>
      </c>
      <c r="BC12" s="13">
        <f>BC11/(1+DADOS!$D$8)^BC8</f>
        <v>49784832.451499119</v>
      </c>
      <c r="BD12" s="13">
        <f>BD11/(1+DADOS!$D$8)^BD8</f>
        <v>45556768.660825104</v>
      </c>
      <c r="BE12" s="13">
        <f>BE11/(1+DADOS!$D$8)^BE8</f>
        <v>41664342.686565332</v>
      </c>
      <c r="BF12" s="28">
        <f>BF11/(1+DADOS!$D$8)^BF8</f>
        <v>77390356.127354562</v>
      </c>
      <c r="BG12" s="34">
        <f>BG11/(1+DADOS!$D$8)^BG8</f>
        <v>34793935.649280667</v>
      </c>
      <c r="BH12" s="13">
        <f>BH11/(1+DADOS!$D$8)^BH8</f>
        <v>31772627.935462497</v>
      </c>
      <c r="BI12" s="35">
        <f>BI11/(1+DADOS!$D$8)^BI8</f>
        <v>29000333.341786899</v>
      </c>
    </row>
    <row r="13" spans="1:61" x14ac:dyDescent="0.55000000000000004">
      <c r="A13" s="3" t="s">
        <v>6</v>
      </c>
      <c r="B13" s="4">
        <v>62</v>
      </c>
      <c r="D13" s="2"/>
      <c r="E13" s="2"/>
      <c r="I13" s="20"/>
      <c r="K13" s="14" t="s">
        <v>31</v>
      </c>
      <c r="L13" s="19">
        <f>IRR(L10:P10,0)</f>
        <v>0.26884370245270439</v>
      </c>
      <c r="M13" s="16"/>
      <c r="Y13" s="12" t="s">
        <v>32</v>
      </c>
      <c r="Z13" s="18">
        <f>Z11/(1+Z14)^Z8</f>
        <v>-140000000</v>
      </c>
      <c r="AA13" s="18">
        <f t="shared" ref="AA13:AG13" si="17">AA11/(1+AA14)^AA8</f>
        <v>56456000</v>
      </c>
      <c r="AB13" s="18">
        <f t="shared" si="17"/>
        <v>58584000</v>
      </c>
      <c r="AC13" s="18">
        <f t="shared" si="17"/>
        <v>60758032</v>
      </c>
      <c r="AD13" s="18">
        <f t="shared" si="17"/>
        <v>127979103.43999994</v>
      </c>
      <c r="AE13" s="18">
        <f t="shared" si="17"/>
        <v>65248244.078800023</v>
      </c>
      <c r="AF13" s="18">
        <f t="shared" si="17"/>
        <v>67566506.494626045</v>
      </c>
      <c r="AG13" s="18">
        <f t="shared" si="17"/>
        <v>69934966.597124755</v>
      </c>
      <c r="AL13" s="26"/>
      <c r="AM13" s="12" t="s">
        <v>32</v>
      </c>
      <c r="AN13" s="18">
        <f>AN11/(1+AN14)^AN8</f>
        <v>-160000000</v>
      </c>
      <c r="AO13" s="18">
        <f t="shared" ref="AO13:AU13" si="18">AO11/(1+AO14)^AO8</f>
        <v>56456000</v>
      </c>
      <c r="AP13" s="18">
        <f t="shared" si="18"/>
        <v>58584000</v>
      </c>
      <c r="AQ13" s="18">
        <f t="shared" si="18"/>
        <v>60758032</v>
      </c>
      <c r="AR13" s="18">
        <f t="shared" si="18"/>
        <v>127979103.43999994</v>
      </c>
      <c r="AS13" s="18">
        <f t="shared" si="18"/>
        <v>65248244.078800023</v>
      </c>
      <c r="AT13" s="18">
        <f t="shared" si="18"/>
        <v>67566506.494626045</v>
      </c>
      <c r="AU13" s="18">
        <f t="shared" si="18"/>
        <v>69934966.597124755</v>
      </c>
      <c r="AZ13" s="26"/>
      <c r="BA13" s="12" t="s">
        <v>32</v>
      </c>
      <c r="BB13" s="18">
        <f>BB11/(1+BB14)^BB8</f>
        <v>-160000000</v>
      </c>
      <c r="BC13" s="18">
        <f t="shared" ref="BC13" si="19">BC11/(1+BC14)^BC8</f>
        <v>56456000</v>
      </c>
      <c r="BD13" s="18">
        <f t="shared" ref="BD13" si="20">BD11/(1+BD14)^BD8</f>
        <v>58584000</v>
      </c>
      <c r="BE13" s="18">
        <f t="shared" ref="BE13" si="21">BE11/(1+BE14)^BE8</f>
        <v>60758032</v>
      </c>
      <c r="BF13" s="18">
        <f t="shared" ref="BF13" si="22">BF11/(1+BF14)^BF8</f>
        <v>127979103.43999994</v>
      </c>
      <c r="BG13" s="18">
        <f t="shared" ref="BG13" si="23">BG11/(1+BG14)^BG8</f>
        <v>65248244.078800023</v>
      </c>
      <c r="BH13" s="18">
        <f t="shared" ref="BH13" si="24">BH11/(1+BH14)^BH8</f>
        <v>67566506.494626045</v>
      </c>
      <c r="BI13" s="18">
        <f t="shared" ref="BI13" si="25">BI11/(1+BI14)^BI8</f>
        <v>69934966.597124755</v>
      </c>
    </row>
    <row r="14" spans="1:61" x14ac:dyDescent="0.55000000000000004">
      <c r="B14" s="1"/>
      <c r="I14" s="20"/>
      <c r="K14" s="11"/>
      <c r="Y14" s="14" t="s">
        <v>31</v>
      </c>
      <c r="Z14" s="19">
        <f>IRR(Z11:AD11,0)</f>
        <v>0.33883777980646257</v>
      </c>
      <c r="AA14" s="16"/>
      <c r="AL14" s="26"/>
      <c r="AM14" s="14" t="s">
        <v>31</v>
      </c>
      <c r="AN14" s="19">
        <f>IRR(AN11:AR11,0)</f>
        <v>0.26884370245270439</v>
      </c>
      <c r="AO14" s="16"/>
      <c r="AZ14" s="26"/>
      <c r="BA14" s="14" t="s">
        <v>31</v>
      </c>
      <c r="BB14" s="19">
        <f>IRR(BB11:BF11,0)</f>
        <v>0.26884370245270439</v>
      </c>
      <c r="BC14" s="16"/>
    </row>
    <row r="15" spans="1:61" x14ac:dyDescent="0.55000000000000004">
      <c r="B15" s="1"/>
      <c r="D15" s="2"/>
      <c r="E15" s="2"/>
      <c r="I15" s="20"/>
      <c r="Y15" s="11"/>
      <c r="AB15" s="9"/>
      <c r="AL15" s="26"/>
      <c r="AM15" s="11"/>
      <c r="AP15" s="9"/>
      <c r="AZ15" s="26"/>
      <c r="BA15" s="11"/>
      <c r="BD15" s="9"/>
    </row>
    <row r="16" spans="1:61" ht="14.7" thickBot="1" x14ac:dyDescent="0.6">
      <c r="B16" s="64" t="s">
        <v>15</v>
      </c>
      <c r="C16" s="65"/>
      <c r="D16" s="65"/>
      <c r="E16" s="65"/>
      <c r="F16" s="65"/>
      <c r="I16" s="20"/>
      <c r="AB16" s="9"/>
      <c r="AL16" s="26"/>
      <c r="AP16" s="9"/>
      <c r="AZ16" s="26"/>
      <c r="BD16" s="9"/>
    </row>
    <row r="17" spans="1:64" ht="15" thickTop="1" thickBot="1" x14ac:dyDescent="0.6">
      <c r="A17" t="s">
        <v>22</v>
      </c>
      <c r="B17" s="3">
        <v>1</v>
      </c>
      <c r="C17" s="3">
        <v>2</v>
      </c>
      <c r="D17" s="3">
        <v>3</v>
      </c>
      <c r="E17" s="8">
        <v>4</v>
      </c>
      <c r="F17" s="39">
        <v>5</v>
      </c>
      <c r="G17" s="40">
        <v>6</v>
      </c>
      <c r="H17" s="41">
        <v>7</v>
      </c>
      <c r="I17" s="20"/>
      <c r="K17" s="21" t="s">
        <v>33</v>
      </c>
      <c r="L17" s="21">
        <f t="shared" ref="L17:O17" si="26">M17-0.5</f>
        <v>38.5</v>
      </c>
      <c r="M17" s="21">
        <f t="shared" si="26"/>
        <v>39</v>
      </c>
      <c r="N17" s="21">
        <f t="shared" si="26"/>
        <v>39.5</v>
      </c>
      <c r="O17" s="21">
        <f t="shared" si="26"/>
        <v>40</v>
      </c>
      <c r="P17" s="21">
        <f>Q17-0.5</f>
        <v>40.5</v>
      </c>
      <c r="Q17" s="21">
        <v>41</v>
      </c>
      <c r="R17" s="21">
        <f>Q17+0.5</f>
        <v>41.5</v>
      </c>
      <c r="S17" s="21">
        <f t="shared" ref="S17:V17" si="27">R17+0.5</f>
        <v>42</v>
      </c>
      <c r="T17" s="21">
        <f t="shared" si="27"/>
        <v>42.5</v>
      </c>
      <c r="U17" s="21">
        <f t="shared" si="27"/>
        <v>43</v>
      </c>
      <c r="V17" s="21">
        <f t="shared" si="27"/>
        <v>43.5</v>
      </c>
      <c r="AL17" s="26"/>
      <c r="AZ17" s="26"/>
    </row>
    <row r="18" spans="1:64" ht="15" thickTop="1" thickBot="1" x14ac:dyDescent="0.6">
      <c r="A18" s="3" t="s">
        <v>12</v>
      </c>
      <c r="B18" s="3">
        <v>6200000</v>
      </c>
      <c r="C18" s="3">
        <f>B18*1.025</f>
        <v>6354999.9999999991</v>
      </c>
      <c r="D18" s="3">
        <f t="shared" ref="D18:E18" si="28">C18*1.025</f>
        <v>6513874.9999999981</v>
      </c>
      <c r="E18" s="8">
        <f t="shared" si="28"/>
        <v>6676721.8749999972</v>
      </c>
      <c r="F18" s="42">
        <f t="shared" ref="F18:H18" si="29">E18*1.025</f>
        <v>6843639.9218749963</v>
      </c>
      <c r="G18" s="8">
        <f t="shared" si="29"/>
        <v>7014730.9199218703</v>
      </c>
      <c r="H18" s="43">
        <f t="shared" si="29"/>
        <v>7190099.1929199165</v>
      </c>
      <c r="I18" s="20"/>
      <c r="K18" s="21" t="s">
        <v>26</v>
      </c>
      <c r="L18" s="22">
        <v>7112435.5298346505</v>
      </c>
      <c r="M18" s="22">
        <v>11273415.596718691</v>
      </c>
      <c r="N18" s="22">
        <v>15434395.66360274</v>
      </c>
      <c r="O18" s="22">
        <v>19595375.730486766</v>
      </c>
      <c r="P18" s="22">
        <v>23756355.797370762</v>
      </c>
      <c r="Q18" s="22">
        <v>27917335.864254795</v>
      </c>
      <c r="R18" s="22">
        <v>32078315.931138851</v>
      </c>
      <c r="S18" s="22">
        <v>36239295.998022877</v>
      </c>
      <c r="T18" s="22">
        <v>40400276.064906918</v>
      </c>
      <c r="U18" s="22">
        <v>44561256.131790966</v>
      </c>
      <c r="V18" s="22">
        <v>48722236.198674992</v>
      </c>
      <c r="Y18" s="21" t="s">
        <v>33</v>
      </c>
      <c r="Z18" s="47">
        <f t="shared" ref="Z18:AC18" si="30">AA18-4000000</f>
        <v>-20000000</v>
      </c>
      <c r="AA18" s="47">
        <f t="shared" si="30"/>
        <v>-16000000</v>
      </c>
      <c r="AB18" s="47">
        <f t="shared" si="30"/>
        <v>-12000000</v>
      </c>
      <c r="AC18" s="47">
        <f t="shared" si="30"/>
        <v>-8000000</v>
      </c>
      <c r="AD18" s="47">
        <f>AE18-4000000</f>
        <v>-4000000</v>
      </c>
      <c r="AE18" s="47">
        <v>0</v>
      </c>
      <c r="AF18" s="47">
        <f>AE18+4000000</f>
        <v>4000000</v>
      </c>
      <c r="AG18" s="47">
        <f t="shared" ref="AG18:AJ18" si="31">AF18+4000000</f>
        <v>8000000</v>
      </c>
      <c r="AH18" s="47">
        <f t="shared" si="31"/>
        <v>12000000</v>
      </c>
      <c r="AI18" s="47">
        <f t="shared" si="31"/>
        <v>16000000</v>
      </c>
      <c r="AJ18" s="47">
        <f t="shared" si="31"/>
        <v>20000000</v>
      </c>
      <c r="AL18" s="26"/>
      <c r="AM18" s="21" t="s">
        <v>33</v>
      </c>
      <c r="AN18" s="51">
        <f t="shared" ref="AN18:AQ18" si="32">AO18-0.01</f>
        <v>-0.05</v>
      </c>
      <c r="AO18" s="51">
        <f t="shared" si="32"/>
        <v>-0.04</v>
      </c>
      <c r="AP18" s="51">
        <f t="shared" si="32"/>
        <v>-0.03</v>
      </c>
      <c r="AQ18" s="51">
        <f t="shared" si="32"/>
        <v>-0.02</v>
      </c>
      <c r="AR18" s="51">
        <f>AS18-0.01</f>
        <v>-0.01</v>
      </c>
      <c r="AS18" s="47">
        <v>0</v>
      </c>
      <c r="AT18" s="50">
        <f>AS18+0.01</f>
        <v>0.01</v>
      </c>
      <c r="AU18" s="50">
        <f t="shared" ref="AU18:AX18" si="33">AT18+0.01</f>
        <v>0.02</v>
      </c>
      <c r="AV18" s="50">
        <f t="shared" si="33"/>
        <v>0.03</v>
      </c>
      <c r="AW18" s="50">
        <f t="shared" si="33"/>
        <v>0.04</v>
      </c>
      <c r="AX18" s="50">
        <f t="shared" si="33"/>
        <v>0.05</v>
      </c>
      <c r="AZ18" s="26"/>
      <c r="BA18" s="21" t="s">
        <v>33</v>
      </c>
      <c r="BB18" s="49">
        <f t="shared" ref="BB18:BE18" si="34">BC18-0.01</f>
        <v>-0.05</v>
      </c>
      <c r="BC18" s="49">
        <f t="shared" si="34"/>
        <v>-0.04</v>
      </c>
      <c r="BD18" s="49">
        <f t="shared" si="34"/>
        <v>-0.03</v>
      </c>
      <c r="BE18" s="49">
        <f t="shared" si="34"/>
        <v>-0.02</v>
      </c>
      <c r="BF18" s="49">
        <f>BG18-0.01</f>
        <v>-0.01</v>
      </c>
      <c r="BG18" s="49">
        <v>0</v>
      </c>
      <c r="BH18" s="49">
        <f>BG18+0.01</f>
        <v>0.01</v>
      </c>
      <c r="BI18" s="49">
        <f t="shared" ref="BI18:BL18" si="35">BH18+0.01</f>
        <v>0.02</v>
      </c>
      <c r="BJ18" s="49">
        <f t="shared" si="35"/>
        <v>0.03</v>
      </c>
      <c r="BK18" s="49">
        <f t="shared" si="35"/>
        <v>0.04</v>
      </c>
      <c r="BL18" s="49">
        <f t="shared" si="35"/>
        <v>0.05</v>
      </c>
    </row>
    <row r="19" spans="1:64" ht="15" thickTop="1" thickBot="1" x14ac:dyDescent="0.6">
      <c r="A19" s="3" t="s">
        <v>13</v>
      </c>
      <c r="B19" s="3">
        <f>B18*4</f>
        <v>24800000</v>
      </c>
      <c r="C19" s="3">
        <f t="shared" ref="C19:F19" si="36">C18*4</f>
        <v>25419999.999999996</v>
      </c>
      <c r="D19" s="3">
        <f t="shared" si="36"/>
        <v>26055499.999999993</v>
      </c>
      <c r="E19" s="8">
        <f t="shared" si="36"/>
        <v>26706887.499999989</v>
      </c>
      <c r="F19" s="42">
        <f t="shared" si="36"/>
        <v>27374559.687499985</v>
      </c>
      <c r="G19" s="8">
        <f t="shared" ref="G19" si="37">G18*4</f>
        <v>28058923.679687481</v>
      </c>
      <c r="H19" s="43">
        <f t="shared" ref="H19" si="38">H18*4</f>
        <v>28760396.771679666</v>
      </c>
      <c r="I19" s="20"/>
      <c r="K19" s="21" t="s">
        <v>28</v>
      </c>
      <c r="L19" s="21">
        <v>3.2226448150197062</v>
      </c>
      <c r="M19" s="21">
        <v>3.1970945092863596</v>
      </c>
      <c r="N19" s="21">
        <v>3.1705325460239853</v>
      </c>
      <c r="O19" s="21">
        <v>3.1428976272291962</v>
      </c>
      <c r="P19" s="21">
        <v>3.1141234006196483</v>
      </c>
      <c r="Q19" s="21">
        <v>3.0841379277364607</v>
      </c>
      <c r="R19" s="21">
        <v>3.0528630834320656</v>
      </c>
      <c r="S19" s="21">
        <v>3.0202138761901121</v>
      </c>
      <c r="T19" s="21">
        <v>2.4923446410309129</v>
      </c>
      <c r="U19" s="21">
        <v>2.4729825073378815</v>
      </c>
      <c r="V19" s="21">
        <v>2.4531417517355414</v>
      </c>
      <c r="Y19" s="21" t="s">
        <v>26</v>
      </c>
      <c r="Z19" s="22">
        <v>7917335.864254795</v>
      </c>
      <c r="AA19" s="22">
        <v>11917335.864254795</v>
      </c>
      <c r="AB19" s="22">
        <v>15917335.864254795</v>
      </c>
      <c r="AC19" s="22">
        <v>19917335.864254795</v>
      </c>
      <c r="AD19" s="22">
        <v>23917335.864254795</v>
      </c>
      <c r="AE19" s="22">
        <v>27917335.864254795</v>
      </c>
      <c r="AF19" s="22">
        <v>31917335.864254795</v>
      </c>
      <c r="AG19" s="22">
        <v>35917335.864254795</v>
      </c>
      <c r="AH19" s="22">
        <v>39917335.864254795</v>
      </c>
      <c r="AI19" s="22">
        <v>43917335.864254802</v>
      </c>
      <c r="AJ19" s="22">
        <v>47917335.864254802</v>
      </c>
      <c r="AL19" s="26"/>
      <c r="AM19" s="21" t="s">
        <v>26</v>
      </c>
      <c r="AN19" s="22">
        <v>7272678.1948187798</v>
      </c>
      <c r="AO19" s="22">
        <v>11107769.353953622</v>
      </c>
      <c r="AP19" s="22">
        <v>15082894.586325139</v>
      </c>
      <c r="AQ19" s="22">
        <v>19204742.552929074</v>
      </c>
      <c r="AR19" s="22">
        <v>23480391.487429395</v>
      </c>
      <c r="AS19" s="22">
        <v>27917335.864254795</v>
      </c>
      <c r="AT19" s="22">
        <v>32523515.162896343</v>
      </c>
      <c r="AU19" s="22">
        <v>37307344.914525568</v>
      </c>
      <c r="AV19" s="22">
        <v>42277750.235492192</v>
      </c>
      <c r="AW19" s="22">
        <v>47444202.072715744</v>
      </c>
      <c r="AX19" s="22">
        <v>52816756.408704296</v>
      </c>
      <c r="AZ19" s="26"/>
      <c r="BA19" s="21" t="s">
        <v>26</v>
      </c>
      <c r="BB19" s="22">
        <v>1438371.8022655025</v>
      </c>
      <c r="BC19" s="22">
        <v>6734164.6146633774</v>
      </c>
      <c r="BD19" s="22">
        <v>12029957.427061215</v>
      </c>
      <c r="BE19" s="22">
        <v>17325750.239459038</v>
      </c>
      <c r="BF19" s="22">
        <v>22621543.05185695</v>
      </c>
      <c r="BG19" s="22">
        <v>27917335.864254795</v>
      </c>
      <c r="BH19" s="22">
        <v>33213128.676652685</v>
      </c>
      <c r="BI19" s="22">
        <v>38508921.489050582</v>
      </c>
      <c r="BJ19" s="22">
        <v>43804714.301448427</v>
      </c>
      <c r="BK19" s="22">
        <v>49100507.113846272</v>
      </c>
      <c r="BL19" s="22">
        <v>54396299.926244117</v>
      </c>
    </row>
    <row r="20" spans="1:64" ht="15" thickTop="1" thickBot="1" x14ac:dyDescent="0.6">
      <c r="A20" s="3" t="s">
        <v>14</v>
      </c>
      <c r="B20" s="3">
        <f>B19*(0.11+$BB$27)</f>
        <v>3968000</v>
      </c>
      <c r="C20" s="3">
        <f t="shared" ref="C20:H20" si="39">C19*(0.11+$BB$27)</f>
        <v>4067199.9999999995</v>
      </c>
      <c r="D20" s="3">
        <f t="shared" si="39"/>
        <v>4168879.9999999991</v>
      </c>
      <c r="E20" s="3">
        <f t="shared" si="39"/>
        <v>4273101.9999999981</v>
      </c>
      <c r="F20" s="3">
        <f t="shared" si="39"/>
        <v>4379929.549999998</v>
      </c>
      <c r="G20" s="3">
        <f t="shared" si="39"/>
        <v>4489427.7887499975</v>
      </c>
      <c r="H20" s="3">
        <f t="shared" si="39"/>
        <v>4601663.4834687468</v>
      </c>
      <c r="I20" s="20"/>
      <c r="K20" s="21" t="s">
        <v>29</v>
      </c>
      <c r="L20" s="21">
        <v>3.4721039049740883</v>
      </c>
      <c r="M20" s="21">
        <v>3.4549410722378378</v>
      </c>
      <c r="N20" s="21">
        <v>3.4371112374476573</v>
      </c>
      <c r="O20" s="21">
        <v>3.4185747473587567</v>
      </c>
      <c r="P20" s="21">
        <v>3.3992887420014184</v>
      </c>
      <c r="Q20" s="21">
        <v>3.3792068238357311</v>
      </c>
      <c r="R20" s="21">
        <v>3.3582786850824156</v>
      </c>
      <c r="S20" s="21">
        <v>3.3364496869286109</v>
      </c>
      <c r="T20" s="21">
        <v>3.3136603831986724</v>
      </c>
      <c r="U20" s="21">
        <v>3.2898459797467976</v>
      </c>
      <c r="V20" s="21">
        <v>3.2649357192189692</v>
      </c>
      <c r="Y20" s="21" t="s">
        <v>28</v>
      </c>
      <c r="Z20" s="21">
        <v>3.2066366298901734</v>
      </c>
      <c r="AA20" s="21">
        <v>3.1848304620268943</v>
      </c>
      <c r="AB20" s="21">
        <v>3.1617916986917645</v>
      </c>
      <c r="AC20" s="21">
        <v>3.1374127914485666</v>
      </c>
      <c r="AD20" s="21">
        <v>3.1115733050650554</v>
      </c>
      <c r="AE20" s="21">
        <v>3.0841379277364607</v>
      </c>
      <c r="AF20" s="21">
        <v>3.054954100885158</v>
      </c>
      <c r="AG20" s="21">
        <v>3.0238491808885262</v>
      </c>
      <c r="AH20" s="21">
        <v>2.494609246608146</v>
      </c>
      <c r="AI20" s="21">
        <v>2.4740179503040913</v>
      </c>
      <c r="AJ20" s="21">
        <v>2.4516774710037179</v>
      </c>
      <c r="AL20" s="26"/>
      <c r="AM20" s="21" t="s">
        <v>28</v>
      </c>
      <c r="AN20" s="21">
        <v>3.0841379277364607</v>
      </c>
      <c r="AO20" s="21">
        <v>3.0841379277364607</v>
      </c>
      <c r="AP20" s="21">
        <v>3.0841379277364607</v>
      </c>
      <c r="AQ20" s="21">
        <v>3.0841379277364607</v>
      </c>
      <c r="AR20" s="21">
        <v>3.0841379277364607</v>
      </c>
      <c r="AS20" s="21">
        <v>3.0841379277364607</v>
      </c>
      <c r="AT20" s="21">
        <v>3.0841379277364607</v>
      </c>
      <c r="AU20" s="21">
        <v>3.0841379277364607</v>
      </c>
      <c r="AV20" s="21">
        <v>3.0841379277364607</v>
      </c>
      <c r="AW20" s="21">
        <v>3.0841379277364607</v>
      </c>
      <c r="AX20" s="21">
        <v>3.0841379277364607</v>
      </c>
      <c r="AZ20" s="26"/>
      <c r="BA20" s="21" t="s">
        <v>28</v>
      </c>
      <c r="BB20" s="21">
        <v>3.2559575729383425</v>
      </c>
      <c r="BC20" s="21">
        <v>3.2249193992572907</v>
      </c>
      <c r="BD20" s="21">
        <v>3.1923420411636583</v>
      </c>
      <c r="BE20" s="21">
        <v>3.158108095303513</v>
      </c>
      <c r="BF20" s="21">
        <v>3.1220879066887588</v>
      </c>
      <c r="BG20" s="21">
        <v>3.0841379277364607</v>
      </c>
      <c r="BH20" s="21">
        <v>3.044098806304012</v>
      </c>
      <c r="BI20" s="21">
        <v>3.0017931490266081</v>
      </c>
      <c r="BJ20" s="21">
        <v>2.47653798273751</v>
      </c>
      <c r="BK20" s="21">
        <v>2.4513136993306563</v>
      </c>
      <c r="BL20" s="21">
        <v>2.4252822262147293</v>
      </c>
    </row>
    <row r="21" spans="1:64" ht="15" thickTop="1" thickBot="1" x14ac:dyDescent="0.6">
      <c r="B21" s="1"/>
      <c r="D21" s="2"/>
      <c r="E21" s="2"/>
      <c r="F21" s="9"/>
      <c r="G21" s="9"/>
      <c r="H21" s="9"/>
      <c r="I21" s="20"/>
      <c r="K21" s="21" t="s">
        <v>31</v>
      </c>
      <c r="L21" s="23">
        <v>0.15200742121435362</v>
      </c>
      <c r="M21" s="23">
        <v>0.16248453373356275</v>
      </c>
      <c r="N21" s="23">
        <v>0.17292052922805912</v>
      </c>
      <c r="O21" s="23">
        <v>0.18331657712067484</v>
      </c>
      <c r="P21" s="23">
        <v>0.19367380345439456</v>
      </c>
      <c r="Q21" s="23">
        <v>0.20399329290068779</v>
      </c>
      <c r="R21" s="23">
        <v>0.21427609065718189</v>
      </c>
      <c r="S21" s="23">
        <v>0.22452320424161099</v>
      </c>
      <c r="T21" s="23">
        <v>0.23473560518850523</v>
      </c>
      <c r="U21" s="23">
        <v>0.24491423065465079</v>
      </c>
      <c r="V21" s="23">
        <v>0.25505998493893256</v>
      </c>
      <c r="Y21" s="21" t="s">
        <v>29</v>
      </c>
      <c r="Z21" s="21">
        <v>3.4707973278989157</v>
      </c>
      <c r="AA21" s="21">
        <v>3.4547070557956148</v>
      </c>
      <c r="AB21" s="21">
        <v>3.4376076603253503</v>
      </c>
      <c r="AC21" s="21">
        <v>3.4194011353713982</v>
      </c>
      <c r="AD21" s="21">
        <v>3.3999763590704539</v>
      </c>
      <c r="AE21" s="21">
        <v>3.3792068238357311</v>
      </c>
      <c r="AF21" s="21">
        <v>3.3569478780310167</v>
      </c>
      <c r="AG21" s="21">
        <v>3.3330333521668645</v>
      </c>
      <c r="AH21" s="21">
        <v>3.3072714032067632</v>
      </c>
      <c r="AI21" s="21">
        <v>3.279439357083028</v>
      </c>
      <c r="AJ21" s="21">
        <v>3.2492772558833454</v>
      </c>
      <c r="AL21" s="26"/>
      <c r="AM21" s="21" t="s">
        <v>29</v>
      </c>
      <c r="AN21" s="21">
        <v>3.4679504027644272</v>
      </c>
      <c r="AO21" s="21">
        <v>3.4511922542125903</v>
      </c>
      <c r="AP21" s="21">
        <v>3.4339417579410272</v>
      </c>
      <c r="AQ21" s="21">
        <v>3.4161952520273324</v>
      </c>
      <c r="AR21" s="21">
        <v>3.3979504923566561</v>
      </c>
      <c r="AS21" s="21">
        <v>3.3792068238357311</v>
      </c>
      <c r="AT21" s="21">
        <v>3.3599653599027639</v>
      </c>
      <c r="AU21" s="21">
        <v>3.3402291692610779</v>
      </c>
      <c r="AV21" s="21">
        <v>3.3200034684384856</v>
      </c>
      <c r="AW21" s="21">
        <v>3.2992958184145178</v>
      </c>
      <c r="AX21" s="21">
        <v>3.2781163231668193</v>
      </c>
      <c r="AZ21" s="26"/>
      <c r="BA21" s="21" t="s">
        <v>29</v>
      </c>
      <c r="BB21" s="21">
        <v>3.4944987944204255</v>
      </c>
      <c r="BC21" s="21">
        <v>3.4736323793523551</v>
      </c>
      <c r="BD21" s="21">
        <v>3.45175001730055</v>
      </c>
      <c r="BE21" s="21">
        <v>3.428775660085936</v>
      </c>
      <c r="BF21" s="21">
        <v>3.4046254752376219</v>
      </c>
      <c r="BG21" s="21">
        <v>3.3792068238357311</v>
      </c>
      <c r="BH21" s="21">
        <v>3.3524170729466571</v>
      </c>
      <c r="BI21" s="21">
        <v>3.3241422105574876</v>
      </c>
      <c r="BJ21" s="21">
        <v>3.2942552235969922</v>
      </c>
      <c r="BK21" s="21">
        <v>3.2626141903781822</v>
      </c>
      <c r="BL21" s="21">
        <v>3.2290600270276251</v>
      </c>
    </row>
    <row r="22" spans="1:64" ht="15" thickTop="1" thickBot="1" x14ac:dyDescent="0.6">
      <c r="B22" s="64" t="s">
        <v>16</v>
      </c>
      <c r="C22" s="65"/>
      <c r="D22" s="65"/>
      <c r="E22" s="65"/>
      <c r="F22" s="65"/>
      <c r="G22" s="6"/>
      <c r="H22" s="6"/>
      <c r="I22" s="20"/>
      <c r="K22" s="21" t="s">
        <v>30</v>
      </c>
      <c r="L22" s="24">
        <v>1.0444527220614663</v>
      </c>
      <c r="M22" s="24">
        <v>1.0704588474794918</v>
      </c>
      <c r="N22" s="24">
        <v>1.0964649728975171</v>
      </c>
      <c r="O22" s="24">
        <v>1.1224710983155421</v>
      </c>
      <c r="P22" s="24">
        <v>1.1484772237335672</v>
      </c>
      <c r="Q22" s="24">
        <v>1.1744833491515925</v>
      </c>
      <c r="R22" s="24">
        <v>1.2004894745696177</v>
      </c>
      <c r="S22" s="24">
        <v>1.2264955999876428</v>
      </c>
      <c r="T22" s="24">
        <v>1.2525017254056681</v>
      </c>
      <c r="U22" s="24">
        <v>1.2785078508236933</v>
      </c>
      <c r="V22" s="24">
        <v>1.3045139762417186</v>
      </c>
      <c r="Y22" s="21" t="s">
        <v>31</v>
      </c>
      <c r="Z22" s="23">
        <v>0.15211196658879822</v>
      </c>
      <c r="AA22" s="23">
        <v>0.16174331546742371</v>
      </c>
      <c r="AB22" s="23">
        <v>0.171723909527008</v>
      </c>
      <c r="AC22" s="23">
        <v>0.18207592424018149</v>
      </c>
      <c r="AD22" s="23">
        <v>0.19282356141996071</v>
      </c>
      <c r="AE22" s="23">
        <v>0.20399329290068779</v>
      </c>
      <c r="AF22" s="23">
        <v>0.2156141408531933</v>
      </c>
      <c r="AG22" s="23">
        <v>0.22771800139362508</v>
      </c>
      <c r="AH22" s="23">
        <v>0.24034001957545437</v>
      </c>
      <c r="AI22" s="23">
        <v>0.25351902564088458</v>
      </c>
      <c r="AJ22" s="23">
        <v>0.26729804465318829</v>
      </c>
      <c r="AL22" s="26"/>
      <c r="AM22" s="21" t="s">
        <v>31</v>
      </c>
      <c r="AN22" s="23">
        <v>0.20399329290068779</v>
      </c>
      <c r="AO22" s="23">
        <v>0.20399329290068779</v>
      </c>
      <c r="AP22" s="23">
        <v>0.20399329290068779</v>
      </c>
      <c r="AQ22" s="23">
        <v>0.20399329290068779</v>
      </c>
      <c r="AR22" s="23">
        <v>0.20399329290068779</v>
      </c>
      <c r="AS22" s="23">
        <v>0.20399329290068779</v>
      </c>
      <c r="AT22" s="23">
        <v>0.20399329290068779</v>
      </c>
      <c r="AU22" s="23">
        <v>0.20399329290068779</v>
      </c>
      <c r="AV22" s="23">
        <v>0.20399329290068779</v>
      </c>
      <c r="AW22" s="23">
        <v>0.20399329290068779</v>
      </c>
      <c r="AX22" s="23">
        <v>0.20399329290068779</v>
      </c>
      <c r="AZ22" s="26"/>
      <c r="BA22" s="21" t="s">
        <v>31</v>
      </c>
      <c r="BB22" s="23">
        <v>0.13765198355740726</v>
      </c>
      <c r="BC22" s="23">
        <v>0.15105287595878703</v>
      </c>
      <c r="BD22" s="23">
        <v>0.16438501089195157</v>
      </c>
      <c r="BE22" s="23">
        <v>0.17765088905997639</v>
      </c>
      <c r="BF22" s="23">
        <v>0.19085289276824002</v>
      </c>
      <c r="BG22" s="23">
        <v>0.20399329290068779</v>
      </c>
      <c r="BH22" s="23">
        <v>0.21707425540840397</v>
      </c>
      <c r="BI22" s="23">
        <v>0.23009784734918104</v>
      </c>
      <c r="BJ22" s="23">
        <v>0.24306604251343189</v>
      </c>
      <c r="BK22" s="23">
        <v>0.25598072666875682</v>
      </c>
      <c r="BL22" s="23">
        <v>0.26884370245270439</v>
      </c>
    </row>
    <row r="23" spans="1:64" ht="15" thickTop="1" thickBot="1" x14ac:dyDescent="0.6">
      <c r="A23" t="s">
        <v>22</v>
      </c>
      <c r="B23" s="3">
        <v>1</v>
      </c>
      <c r="C23" s="3">
        <v>2</v>
      </c>
      <c r="D23" s="3">
        <v>3</v>
      </c>
      <c r="E23" s="8">
        <v>4</v>
      </c>
      <c r="F23" s="39">
        <v>5</v>
      </c>
      <c r="G23" s="40">
        <v>6</v>
      </c>
      <c r="H23" s="41">
        <v>7</v>
      </c>
      <c r="I23" s="20"/>
      <c r="Y23" s="21" t="s">
        <v>30</v>
      </c>
      <c r="Z23" s="24">
        <v>1.04398519924586</v>
      </c>
      <c r="AA23" s="24">
        <v>1.0677121355923569</v>
      </c>
      <c r="AB23" s="24">
        <v>1.0925426503735745</v>
      </c>
      <c r="AC23" s="24">
        <v>1.1185555706205643</v>
      </c>
      <c r="AD23" s="24">
        <v>1.1458374138064318</v>
      </c>
      <c r="AE23" s="24">
        <v>1.1744833491515925</v>
      </c>
      <c r="AF23" s="24">
        <v>1.2045983068221462</v>
      </c>
      <c r="AG23" s="24">
        <v>1.2362982622648342</v>
      </c>
      <c r="AH23" s="24">
        <v>1.2697117288125324</v>
      </c>
      <c r="AI23" s="24">
        <v>1.304981499057325</v>
      </c>
      <c r="AJ23" s="24">
        <v>1.3422666847446771</v>
      </c>
      <c r="AL23" s="26"/>
      <c r="AM23" s="21" t="s">
        <v>30</v>
      </c>
      <c r="AN23" s="24">
        <v>1.0454542387176176</v>
      </c>
      <c r="AO23" s="24">
        <v>1.0694235584622103</v>
      </c>
      <c r="AP23" s="24">
        <v>1.0942680911645322</v>
      </c>
      <c r="AQ23" s="24">
        <v>1.1200296409558066</v>
      </c>
      <c r="AR23" s="24">
        <v>1.1467524467964338</v>
      </c>
      <c r="AS23" s="24">
        <v>1.1744833491515925</v>
      </c>
      <c r="AT23" s="24">
        <v>1.203271969768102</v>
      </c>
      <c r="AU23" s="24">
        <v>1.2331709057157847</v>
      </c>
      <c r="AV23" s="24">
        <v>1.2642359389718261</v>
      </c>
      <c r="AW23" s="24">
        <v>1.2965262629544736</v>
      </c>
      <c r="AX23" s="24">
        <v>1.3301047275544018</v>
      </c>
      <c r="AZ23" s="26"/>
      <c r="BA23" s="21" t="s">
        <v>30</v>
      </c>
      <c r="BB23" s="24">
        <v>1.0089898237641592</v>
      </c>
      <c r="BC23" s="24">
        <v>1.0420885288416459</v>
      </c>
      <c r="BD23" s="24">
        <v>1.0751872339191324</v>
      </c>
      <c r="BE23" s="24">
        <v>1.1082859389966191</v>
      </c>
      <c r="BF23" s="24">
        <v>1.1413846440741058</v>
      </c>
      <c r="BG23" s="24">
        <v>1.1744833491515925</v>
      </c>
      <c r="BH23" s="24">
        <v>1.2075820542290792</v>
      </c>
      <c r="BI23" s="24">
        <v>1.2406807593065661</v>
      </c>
      <c r="BJ23" s="24">
        <v>1.2737794643840525</v>
      </c>
      <c r="BK23" s="24">
        <v>1.3068781694615392</v>
      </c>
      <c r="BL23" s="24">
        <v>1.3399768745390257</v>
      </c>
    </row>
    <row r="24" spans="1:64" ht="15" thickTop="1" thickBot="1" x14ac:dyDescent="0.6">
      <c r="A24" s="3" t="s">
        <v>13</v>
      </c>
      <c r="B24" s="3">
        <f>32000000</f>
        <v>32000000</v>
      </c>
      <c r="C24" s="3">
        <f>B24*1.02</f>
        <v>32640000</v>
      </c>
      <c r="D24" s="3">
        <f t="shared" ref="D24:E24" si="40">C24*1.02</f>
        <v>33292800</v>
      </c>
      <c r="E24" s="8">
        <f t="shared" si="40"/>
        <v>33958656</v>
      </c>
      <c r="F24" s="42">
        <f t="shared" ref="F24:H24" si="41">E24*1.02</f>
        <v>34637829.119999997</v>
      </c>
      <c r="G24" s="8">
        <f t="shared" si="41"/>
        <v>35330585.702399999</v>
      </c>
      <c r="H24" s="43">
        <f t="shared" si="41"/>
        <v>36037197.416447997</v>
      </c>
      <c r="I24" s="20"/>
      <c r="AL24" s="26"/>
      <c r="AZ24" s="26"/>
    </row>
    <row r="25" spans="1:64" ht="15" thickTop="1" thickBot="1" x14ac:dyDescent="0.6">
      <c r="A25" s="3" t="s">
        <v>14</v>
      </c>
      <c r="B25" s="3">
        <f>B24*0.08</f>
        <v>2560000</v>
      </c>
      <c r="C25" s="3">
        <f t="shared" ref="C25:F25" si="42">C24*0.08</f>
        <v>2611200</v>
      </c>
      <c r="D25" s="3">
        <f t="shared" si="42"/>
        <v>2663424</v>
      </c>
      <c r="E25" s="8">
        <f t="shared" si="42"/>
        <v>2716692.48</v>
      </c>
      <c r="F25" s="44">
        <f t="shared" si="42"/>
        <v>2771026.3295999998</v>
      </c>
      <c r="G25" s="45">
        <f t="shared" ref="G25" si="43">G24*0.08</f>
        <v>2826446.8561919997</v>
      </c>
      <c r="H25" s="46">
        <f t="shared" ref="H25" si="44">H24*0.08</f>
        <v>2882975.79331584</v>
      </c>
      <c r="I25" s="20"/>
      <c r="L25" s="21" t="s">
        <v>35</v>
      </c>
      <c r="AL25" s="26"/>
      <c r="AZ25" s="26"/>
    </row>
    <row r="26" spans="1:64" ht="15" thickTop="1" thickBot="1" x14ac:dyDescent="0.6">
      <c r="I26" s="20"/>
      <c r="J26" s="21" t="s">
        <v>33</v>
      </c>
      <c r="K26" s="25" t="s">
        <v>34</v>
      </c>
      <c r="L26" s="21">
        <v>41</v>
      </c>
      <c r="Z26" s="21" t="s">
        <v>36</v>
      </c>
      <c r="AL26" s="26"/>
      <c r="AN26" s="21" t="s">
        <v>36</v>
      </c>
      <c r="AZ26" s="26"/>
      <c r="BB26" s="21" t="s">
        <v>36</v>
      </c>
    </row>
    <row r="27" spans="1:64" ht="15" thickTop="1" thickBot="1" x14ac:dyDescent="0.6">
      <c r="I27" s="20"/>
      <c r="J27" s="21" t="s">
        <v>26</v>
      </c>
      <c r="K27" s="22">
        <f>SUM($L$11:$P$11)</f>
        <v>54396299.926244117</v>
      </c>
      <c r="X27" s="21" t="s">
        <v>33</v>
      </c>
      <c r="Y27" s="25" t="s">
        <v>34</v>
      </c>
      <c r="Z27" s="48">
        <f>AJ18</f>
        <v>20000000</v>
      </c>
      <c r="AL27" s="21" t="s">
        <v>33</v>
      </c>
      <c r="AM27" s="25" t="s">
        <v>34</v>
      </c>
      <c r="AN27" s="51">
        <f>AX18</f>
        <v>0.05</v>
      </c>
      <c r="AZ27" s="21" t="s">
        <v>33</v>
      </c>
      <c r="BA27" s="25" t="s">
        <v>34</v>
      </c>
      <c r="BB27" s="49">
        <f>BL18</f>
        <v>0.05</v>
      </c>
    </row>
    <row r="28" spans="1:64" ht="15" thickTop="1" thickBot="1" x14ac:dyDescent="0.6">
      <c r="J28" s="21" t="s">
        <v>28</v>
      </c>
      <c r="K28" s="21">
        <f>ABS(SUM($L$10:$N$10))/ABS($O$10-SUM($L$10:$N$10))+2</f>
        <v>2.4252822262147293</v>
      </c>
      <c r="X28" s="21" t="s">
        <v>26</v>
      </c>
      <c r="Y28" s="22">
        <f>SUM(Z12:AD12)</f>
        <v>74396299.92624411</v>
      </c>
      <c r="AL28" s="21" t="s">
        <v>26</v>
      </c>
      <c r="AM28" s="22">
        <f>SUM(AN12:AR12)</f>
        <v>82324914.019670904</v>
      </c>
      <c r="AZ28" s="21" t="s">
        <v>26</v>
      </c>
      <c r="BA28" s="22">
        <f>SUM(BB12:BF12)</f>
        <v>54396299.926244117</v>
      </c>
    </row>
    <row r="29" spans="1:64" ht="15" thickTop="1" thickBot="1" x14ac:dyDescent="0.6">
      <c r="J29" s="21" t="s">
        <v>29</v>
      </c>
      <c r="K29" s="21">
        <f>ABS(SUM($L$11:$O$11))/ABS($P$11-SUM($L$11:$O$11))+3</f>
        <v>3.2290600270276251</v>
      </c>
      <c r="X29" s="21" t="s">
        <v>28</v>
      </c>
      <c r="Y29" s="21">
        <f>ABS(SUM($Z$11:$AB$11))/ABS($AC$11-SUM($Z$11:$AB$11))+2</f>
        <v>2.2911872731749137</v>
      </c>
      <c r="AL29" s="21" t="s">
        <v>28</v>
      </c>
      <c r="AM29" s="21">
        <f>ABS(SUM($AN$11:$AQ$11))/ABS($AR$11-SUM(AN11:AQ11))+3</f>
        <v>3.1408261821465091</v>
      </c>
      <c r="AZ29" s="21" t="s">
        <v>28</v>
      </c>
      <c r="BA29" s="21">
        <f>ABS(SUM($BB$11:$BD$11))/ABS($BE$11-SUM(BB11:BD11))+2</f>
        <v>2.4252822262147293</v>
      </c>
    </row>
    <row r="30" spans="1:64" ht="15" thickTop="1" thickBot="1" x14ac:dyDescent="0.6">
      <c r="J30" s="21" t="s">
        <v>31</v>
      </c>
      <c r="K30" s="59">
        <f>IRR($L$10:$P$10,0)</f>
        <v>0.26884370245270439</v>
      </c>
      <c r="X30" s="21" t="s">
        <v>29</v>
      </c>
      <c r="Y30" s="21">
        <f>ABS(SUM($Z$12:$AC$12))/ABS($AD$12-SUM(Z12:AC12))+3</f>
        <v>3.0372467262542915</v>
      </c>
      <c r="AL30" s="21" t="s">
        <v>29</v>
      </c>
      <c r="AM30" s="21">
        <f>ABS(SUM($AN$12:$AQ$12))/ABS($AR$12-SUM(AN12:AQ12))+3</f>
        <v>3.100559999710764</v>
      </c>
      <c r="AZ30" s="21" t="s">
        <v>29</v>
      </c>
      <c r="BA30" s="21">
        <f>ABS(SUM($BB$12:$BE$12))/ABS($BF$12-SUM(BB12:BE12))+3</f>
        <v>3.2290600270276251</v>
      </c>
    </row>
    <row r="31" spans="1:64" ht="15" thickTop="1" thickBot="1" x14ac:dyDescent="0.6">
      <c r="J31" s="58" t="s">
        <v>30</v>
      </c>
      <c r="K31" s="60">
        <f>SUM($M$11:$P$11)/ABS($L$11)</f>
        <v>1.3399768745390257</v>
      </c>
      <c r="X31" s="21" t="s">
        <v>31</v>
      </c>
      <c r="Y31" s="23">
        <f>IRR($Z$11:$AD$11,0)</f>
        <v>0.33883777980646257</v>
      </c>
      <c r="AL31" s="21" t="s">
        <v>31</v>
      </c>
      <c r="AM31" s="23">
        <f>IRR($AN$11:$AR$11,0)</f>
        <v>0.26884370245270439</v>
      </c>
      <c r="AZ31" s="21" t="s">
        <v>31</v>
      </c>
      <c r="BA31" s="23">
        <f>IRR($BB$11:$BF$11,0)</f>
        <v>0.26884370245270439</v>
      </c>
    </row>
    <row r="32" spans="1:64" ht="15" thickTop="1" thickBot="1" x14ac:dyDescent="0.6">
      <c r="J32" s="57"/>
      <c r="K32" s="9"/>
      <c r="X32" s="21" t="s">
        <v>30</v>
      </c>
      <c r="Y32" s="24">
        <f>SUM($AA$12:$AD$12)/ABS($Z$12)</f>
        <v>1.531402142330315</v>
      </c>
      <c r="AL32" s="21" t="s">
        <v>30</v>
      </c>
      <c r="AM32" s="24">
        <f>SUM($AO$12:$AR$12)/ABS($AN$12)</f>
        <v>1.5145307126229433</v>
      </c>
      <c r="AZ32" s="21" t="s">
        <v>30</v>
      </c>
      <c r="BA32" s="24">
        <f>SUM($BC$12:$BF$12)/ABS($BB$12)</f>
        <v>1.3399768745390257</v>
      </c>
    </row>
    <row r="33" spans="10:52" ht="14.7" thickTop="1" x14ac:dyDescent="0.55000000000000004">
      <c r="J33" s="56"/>
      <c r="K33" s="9"/>
      <c r="AL33" s="26"/>
      <c r="AZ33" s="26"/>
    </row>
    <row r="34" spans="10:52" x14ac:dyDescent="0.55000000000000004">
      <c r="J34" s="56"/>
      <c r="K34" s="9"/>
      <c r="AL34" s="26"/>
      <c r="AZ34" s="26"/>
    </row>
    <row r="35" spans="10:52" x14ac:dyDescent="0.55000000000000004">
      <c r="J35" s="56"/>
      <c r="K35" s="9"/>
      <c r="AL35" s="26"/>
      <c r="AZ35" s="26"/>
    </row>
    <row r="36" spans="10:52" x14ac:dyDescent="0.55000000000000004">
      <c r="J36" s="56"/>
      <c r="K36" s="9"/>
      <c r="AL36" s="26"/>
      <c r="AZ36" s="26"/>
    </row>
    <row r="37" spans="10:52" x14ac:dyDescent="0.55000000000000004">
      <c r="J37" s="56"/>
      <c r="K37" s="9"/>
      <c r="AL37" s="26"/>
      <c r="AZ37" s="26"/>
    </row>
    <row r="38" spans="10:52" x14ac:dyDescent="0.55000000000000004">
      <c r="J38" s="56"/>
      <c r="K38" s="9"/>
      <c r="AL38" s="26"/>
      <c r="AZ38" s="26"/>
    </row>
    <row r="39" spans="10:52" x14ac:dyDescent="0.55000000000000004">
      <c r="J39" s="56"/>
      <c r="K39" s="9"/>
      <c r="AL39" s="26"/>
      <c r="AZ39" s="26"/>
    </row>
    <row r="40" spans="10:52" x14ac:dyDescent="0.55000000000000004">
      <c r="J40" s="56"/>
      <c r="K40" s="9"/>
      <c r="AZ40" s="26"/>
    </row>
    <row r="41" spans="10:52" x14ac:dyDescent="0.55000000000000004">
      <c r="J41" s="56"/>
      <c r="K41" s="9"/>
      <c r="AZ41" s="26"/>
    </row>
    <row r="42" spans="10:52" x14ac:dyDescent="0.55000000000000004">
      <c r="J42" s="56"/>
      <c r="K42" s="9"/>
      <c r="AZ42" s="26"/>
    </row>
    <row r="43" spans="10:52" x14ac:dyDescent="0.55000000000000004">
      <c r="J43" s="56"/>
      <c r="K43" s="9"/>
      <c r="AZ43" s="26"/>
    </row>
    <row r="44" spans="10:52" x14ac:dyDescent="0.55000000000000004">
      <c r="J44" s="56"/>
      <c r="K44" s="9"/>
    </row>
    <row r="45" spans="10:52" x14ac:dyDescent="0.55000000000000004">
      <c r="J45" s="56"/>
      <c r="K45" s="9"/>
    </row>
    <row r="46" spans="10:52" x14ac:dyDescent="0.55000000000000004">
      <c r="J46" s="56"/>
      <c r="K46" s="9"/>
    </row>
    <row r="47" spans="10:52" x14ac:dyDescent="0.55000000000000004">
      <c r="J47" s="56"/>
      <c r="K47" s="9"/>
    </row>
    <row r="48" spans="10:52" x14ac:dyDescent="0.55000000000000004">
      <c r="J48" s="56"/>
      <c r="K48" s="9"/>
    </row>
    <row r="49" spans="10:11" x14ac:dyDescent="0.55000000000000004">
      <c r="J49" s="56"/>
      <c r="K49" s="9"/>
    </row>
    <row r="50" spans="10:11" x14ac:dyDescent="0.55000000000000004">
      <c r="J50" s="56"/>
      <c r="K50" s="9"/>
    </row>
    <row r="51" spans="10:11" x14ac:dyDescent="0.55000000000000004">
      <c r="J51" s="56"/>
      <c r="K51" s="9"/>
    </row>
    <row r="52" spans="10:11" x14ac:dyDescent="0.55000000000000004">
      <c r="J52" s="56"/>
      <c r="K52" s="9"/>
    </row>
    <row r="53" spans="10:11" x14ac:dyDescent="0.55000000000000004">
      <c r="J53" s="56"/>
      <c r="K53" s="9"/>
    </row>
    <row r="54" spans="10:11" x14ac:dyDescent="0.55000000000000004">
      <c r="J54" s="56"/>
      <c r="K54" s="9"/>
    </row>
    <row r="55" spans="10:11" x14ac:dyDescent="0.55000000000000004">
      <c r="J55" s="56"/>
      <c r="K55" s="9"/>
    </row>
    <row r="56" spans="10:11" x14ac:dyDescent="0.55000000000000004">
      <c r="J56" s="56"/>
      <c r="K56" s="9"/>
    </row>
    <row r="57" spans="10:11" x14ac:dyDescent="0.55000000000000004">
      <c r="J57" s="56"/>
      <c r="K57" s="9"/>
    </row>
    <row r="58" spans="10:11" x14ac:dyDescent="0.55000000000000004">
      <c r="J58" s="56"/>
      <c r="K58" s="9"/>
    </row>
    <row r="59" spans="10:11" x14ac:dyDescent="0.55000000000000004">
      <c r="J59" s="56"/>
      <c r="K59" s="9"/>
    </row>
    <row r="60" spans="10:11" x14ac:dyDescent="0.55000000000000004">
      <c r="J60" s="56"/>
      <c r="K60" s="9"/>
    </row>
    <row r="61" spans="10:11" x14ac:dyDescent="0.55000000000000004">
      <c r="J61" s="56"/>
      <c r="K61" s="9"/>
    </row>
    <row r="62" spans="10:11" x14ac:dyDescent="0.55000000000000004">
      <c r="J62" s="56"/>
      <c r="K62" s="9"/>
    </row>
    <row r="63" spans="10:11" x14ac:dyDescent="0.55000000000000004">
      <c r="J63" s="56"/>
      <c r="K63" s="9"/>
    </row>
    <row r="64" spans="10:11" x14ac:dyDescent="0.55000000000000004">
      <c r="J64" s="56"/>
      <c r="K64" s="9"/>
    </row>
    <row r="65" spans="10:11" x14ac:dyDescent="0.55000000000000004">
      <c r="J65" s="56"/>
      <c r="K65" s="9"/>
    </row>
    <row r="66" spans="10:11" x14ac:dyDescent="0.55000000000000004">
      <c r="J66" s="56"/>
      <c r="K66" s="9"/>
    </row>
    <row r="67" spans="10:11" x14ac:dyDescent="0.55000000000000004">
      <c r="J67" s="56"/>
      <c r="K67" s="9"/>
    </row>
    <row r="68" spans="10:11" x14ac:dyDescent="0.55000000000000004">
      <c r="J68" s="56"/>
      <c r="K68" s="9"/>
    </row>
    <row r="69" spans="10:11" x14ac:dyDescent="0.55000000000000004">
      <c r="J69" s="56"/>
      <c r="K69" s="9"/>
    </row>
    <row r="70" spans="10:11" x14ac:dyDescent="0.55000000000000004">
      <c r="J70" s="56"/>
      <c r="K70" s="9"/>
    </row>
    <row r="71" spans="10:11" x14ac:dyDescent="0.55000000000000004">
      <c r="J71" s="56"/>
      <c r="K71" s="9"/>
    </row>
    <row r="72" spans="10:11" x14ac:dyDescent="0.55000000000000004">
      <c r="J72" s="56"/>
      <c r="K72" s="9"/>
    </row>
    <row r="73" spans="10:11" x14ac:dyDescent="0.55000000000000004">
      <c r="J73" s="56"/>
      <c r="K73" s="9"/>
    </row>
    <row r="74" spans="10:11" x14ac:dyDescent="0.55000000000000004">
      <c r="J74" s="56"/>
      <c r="K74" s="9"/>
    </row>
    <row r="75" spans="10:11" x14ac:dyDescent="0.55000000000000004">
      <c r="J75" s="56"/>
      <c r="K75" s="9"/>
    </row>
    <row r="76" spans="10:11" x14ac:dyDescent="0.55000000000000004">
      <c r="J76" s="56"/>
      <c r="K76" s="9"/>
    </row>
    <row r="77" spans="10:11" x14ac:dyDescent="0.55000000000000004">
      <c r="J77" s="56"/>
      <c r="K77" s="9"/>
    </row>
    <row r="78" spans="10:11" x14ac:dyDescent="0.55000000000000004">
      <c r="J78" s="56"/>
      <c r="K78" s="9"/>
    </row>
    <row r="79" spans="10:11" x14ac:dyDescent="0.55000000000000004">
      <c r="J79" s="56"/>
      <c r="K79" s="9"/>
    </row>
    <row r="80" spans="10:11" x14ac:dyDescent="0.55000000000000004">
      <c r="J80" s="56"/>
      <c r="K80" s="9"/>
    </row>
    <row r="81" spans="10:11" x14ac:dyDescent="0.55000000000000004">
      <c r="J81" s="56"/>
      <c r="K81" s="9"/>
    </row>
    <row r="82" spans="10:11" x14ac:dyDescent="0.55000000000000004">
      <c r="J82" s="56"/>
      <c r="K82" s="9"/>
    </row>
    <row r="83" spans="10:11" x14ac:dyDescent="0.55000000000000004">
      <c r="J83" s="56"/>
      <c r="K83" s="9"/>
    </row>
    <row r="84" spans="10:11" x14ac:dyDescent="0.55000000000000004">
      <c r="J84" s="56"/>
      <c r="K84" s="9"/>
    </row>
    <row r="85" spans="10:11" x14ac:dyDescent="0.55000000000000004">
      <c r="J85" s="56"/>
      <c r="K85" s="9"/>
    </row>
    <row r="86" spans="10:11" x14ac:dyDescent="0.55000000000000004">
      <c r="J86" s="56"/>
      <c r="K86" s="9"/>
    </row>
    <row r="87" spans="10:11" x14ac:dyDescent="0.55000000000000004">
      <c r="J87" s="56"/>
      <c r="K87" s="9"/>
    </row>
    <row r="88" spans="10:11" x14ac:dyDescent="0.55000000000000004">
      <c r="J88" s="56"/>
      <c r="K88" s="9"/>
    </row>
    <row r="89" spans="10:11" x14ac:dyDescent="0.55000000000000004">
      <c r="J89" s="56"/>
      <c r="K89" s="9"/>
    </row>
    <row r="90" spans="10:11" x14ac:dyDescent="0.55000000000000004">
      <c r="J90" s="56"/>
      <c r="K90" s="9"/>
    </row>
    <row r="91" spans="10:11" x14ac:dyDescent="0.55000000000000004">
      <c r="J91" s="56"/>
      <c r="K91" s="9"/>
    </row>
    <row r="92" spans="10:11" x14ac:dyDescent="0.55000000000000004">
      <c r="J92" s="56"/>
      <c r="K92" s="9"/>
    </row>
    <row r="93" spans="10:11" x14ac:dyDescent="0.55000000000000004">
      <c r="J93" s="56"/>
      <c r="K93" s="9"/>
    </row>
    <row r="94" spans="10:11" x14ac:dyDescent="0.55000000000000004">
      <c r="J94" s="56"/>
      <c r="K94" s="9"/>
    </row>
    <row r="95" spans="10:11" x14ac:dyDescent="0.55000000000000004">
      <c r="J95" s="56"/>
      <c r="K95" s="9"/>
    </row>
    <row r="96" spans="10:11" x14ac:dyDescent="0.55000000000000004">
      <c r="J96" s="56"/>
      <c r="K96" s="9"/>
    </row>
    <row r="97" spans="10:11" x14ac:dyDescent="0.55000000000000004">
      <c r="J97" s="56"/>
      <c r="K97" s="9"/>
    </row>
    <row r="98" spans="10:11" x14ac:dyDescent="0.55000000000000004">
      <c r="J98" s="56"/>
      <c r="K98" s="9"/>
    </row>
    <row r="99" spans="10:11" x14ac:dyDescent="0.55000000000000004">
      <c r="J99" s="56"/>
      <c r="K99" s="9"/>
    </row>
    <row r="100" spans="10:11" x14ac:dyDescent="0.55000000000000004">
      <c r="J100" s="56"/>
      <c r="K100" s="9"/>
    </row>
    <row r="101" spans="10:11" x14ac:dyDescent="0.55000000000000004">
      <c r="J101" s="56"/>
      <c r="K101" s="9"/>
    </row>
    <row r="102" spans="10:11" x14ac:dyDescent="0.55000000000000004">
      <c r="J102" s="56"/>
      <c r="K102" s="9"/>
    </row>
    <row r="103" spans="10:11" x14ac:dyDescent="0.55000000000000004">
      <c r="J103" s="56"/>
      <c r="K103" s="9"/>
    </row>
    <row r="104" spans="10:11" x14ac:dyDescent="0.55000000000000004">
      <c r="J104" s="56"/>
      <c r="K104" s="9"/>
    </row>
    <row r="105" spans="10:11" x14ac:dyDescent="0.55000000000000004">
      <c r="J105" s="56"/>
      <c r="K105" s="9"/>
    </row>
    <row r="106" spans="10:11" x14ac:dyDescent="0.55000000000000004">
      <c r="J106" s="56"/>
      <c r="K106" s="9"/>
    </row>
    <row r="107" spans="10:11" x14ac:dyDescent="0.55000000000000004">
      <c r="J107" s="56"/>
      <c r="K107" s="9"/>
    </row>
    <row r="108" spans="10:11" x14ac:dyDescent="0.55000000000000004">
      <c r="J108" s="56"/>
      <c r="K108" s="9"/>
    </row>
    <row r="109" spans="10:11" x14ac:dyDescent="0.55000000000000004">
      <c r="J109" s="56"/>
      <c r="K109" s="9"/>
    </row>
    <row r="110" spans="10:11" x14ac:dyDescent="0.55000000000000004">
      <c r="J110" s="56"/>
      <c r="K110" s="9"/>
    </row>
    <row r="111" spans="10:11" x14ac:dyDescent="0.55000000000000004">
      <c r="J111" s="56"/>
      <c r="K111" s="9"/>
    </row>
    <row r="112" spans="10:11" x14ac:dyDescent="0.55000000000000004">
      <c r="J112" s="56"/>
      <c r="K112" s="9"/>
    </row>
    <row r="113" spans="10:11" x14ac:dyDescent="0.55000000000000004">
      <c r="J113" s="56"/>
      <c r="K113" s="9"/>
    </row>
    <row r="114" spans="10:11" x14ac:dyDescent="0.55000000000000004">
      <c r="J114" s="56"/>
      <c r="K114" s="9"/>
    </row>
    <row r="115" spans="10:11" x14ac:dyDescent="0.55000000000000004">
      <c r="J115" s="56"/>
      <c r="K115" s="9"/>
    </row>
    <row r="116" spans="10:11" x14ac:dyDescent="0.55000000000000004">
      <c r="J116" s="56"/>
      <c r="K116" s="9"/>
    </row>
    <row r="117" spans="10:11" x14ac:dyDescent="0.55000000000000004">
      <c r="J117" s="56"/>
      <c r="K117" s="9"/>
    </row>
    <row r="118" spans="10:11" x14ac:dyDescent="0.55000000000000004">
      <c r="J118" s="56"/>
      <c r="K118" s="9"/>
    </row>
    <row r="119" spans="10:11" x14ac:dyDescent="0.55000000000000004">
      <c r="J119" s="56"/>
      <c r="K119" s="9"/>
    </row>
    <row r="120" spans="10:11" x14ac:dyDescent="0.55000000000000004">
      <c r="J120" s="56"/>
      <c r="K120" s="9"/>
    </row>
    <row r="121" spans="10:11" x14ac:dyDescent="0.55000000000000004">
      <c r="J121" s="56"/>
      <c r="K121" s="9"/>
    </row>
    <row r="122" spans="10:11" x14ac:dyDescent="0.55000000000000004">
      <c r="J122" s="56"/>
      <c r="K122" s="9"/>
    </row>
    <row r="123" spans="10:11" x14ac:dyDescent="0.55000000000000004">
      <c r="J123" s="56"/>
      <c r="K123" s="9"/>
    </row>
    <row r="124" spans="10:11" x14ac:dyDescent="0.55000000000000004">
      <c r="J124" s="56"/>
      <c r="K124" s="9"/>
    </row>
    <row r="125" spans="10:11" x14ac:dyDescent="0.55000000000000004">
      <c r="J125" s="56"/>
      <c r="K125" s="9"/>
    </row>
    <row r="126" spans="10:11" x14ac:dyDescent="0.55000000000000004">
      <c r="J126" s="56"/>
      <c r="K126" s="9"/>
    </row>
    <row r="127" spans="10:11" x14ac:dyDescent="0.55000000000000004">
      <c r="J127" s="56"/>
      <c r="K127" s="9"/>
    </row>
    <row r="128" spans="10:11" x14ac:dyDescent="0.55000000000000004">
      <c r="J128" s="56"/>
      <c r="K128" s="9"/>
    </row>
    <row r="129" spans="10:11" x14ac:dyDescent="0.55000000000000004">
      <c r="J129" s="56"/>
      <c r="K129" s="9"/>
    </row>
    <row r="130" spans="10:11" x14ac:dyDescent="0.55000000000000004">
      <c r="J130" s="56"/>
      <c r="K130" s="9"/>
    </row>
    <row r="131" spans="10:11" x14ac:dyDescent="0.55000000000000004">
      <c r="J131" s="56"/>
      <c r="K131" s="9"/>
    </row>
    <row r="132" spans="10:11" x14ac:dyDescent="0.55000000000000004">
      <c r="J132" s="56"/>
      <c r="K132" s="9"/>
    </row>
    <row r="133" spans="10:11" x14ac:dyDescent="0.55000000000000004">
      <c r="J133" s="56"/>
      <c r="K133" s="9"/>
    </row>
    <row r="134" spans="10:11" x14ac:dyDescent="0.55000000000000004">
      <c r="J134" s="56"/>
      <c r="K134" s="9"/>
    </row>
    <row r="135" spans="10:11" x14ac:dyDescent="0.55000000000000004">
      <c r="J135" s="56"/>
      <c r="K135" s="9"/>
    </row>
    <row r="136" spans="10:11" x14ac:dyDescent="0.55000000000000004">
      <c r="J136" s="56"/>
      <c r="K136" s="9"/>
    </row>
    <row r="137" spans="10:11" x14ac:dyDescent="0.55000000000000004">
      <c r="J137" s="56"/>
      <c r="K137" s="9"/>
    </row>
    <row r="138" spans="10:11" x14ac:dyDescent="0.55000000000000004">
      <c r="J138" s="56"/>
      <c r="K138" s="9"/>
    </row>
    <row r="139" spans="10:11" x14ac:dyDescent="0.55000000000000004">
      <c r="J139" s="56"/>
      <c r="K139" s="9"/>
    </row>
    <row r="140" spans="10:11" x14ac:dyDescent="0.55000000000000004">
      <c r="J140" s="56"/>
      <c r="K140" s="9"/>
    </row>
    <row r="141" spans="10:11" x14ac:dyDescent="0.55000000000000004">
      <c r="J141" s="56"/>
      <c r="K141" s="9"/>
    </row>
    <row r="142" spans="10:11" x14ac:dyDescent="0.55000000000000004">
      <c r="J142" s="56"/>
      <c r="K142" s="9"/>
    </row>
    <row r="143" spans="10:11" x14ac:dyDescent="0.55000000000000004">
      <c r="J143" s="56"/>
      <c r="K143" s="9"/>
    </row>
    <row r="144" spans="10:11" x14ac:dyDescent="0.55000000000000004">
      <c r="J144" s="56"/>
      <c r="K144" s="9"/>
    </row>
    <row r="145" spans="10:11" x14ac:dyDescent="0.55000000000000004">
      <c r="J145" s="56"/>
      <c r="K145" s="9"/>
    </row>
    <row r="146" spans="10:11" x14ac:dyDescent="0.55000000000000004">
      <c r="J146" s="56"/>
      <c r="K146" s="9"/>
    </row>
    <row r="147" spans="10:11" x14ac:dyDescent="0.55000000000000004">
      <c r="J147" s="56"/>
      <c r="K147" s="9"/>
    </row>
    <row r="148" spans="10:11" x14ac:dyDescent="0.55000000000000004">
      <c r="J148" s="56"/>
      <c r="K148" s="9"/>
    </row>
    <row r="149" spans="10:11" x14ac:dyDescent="0.55000000000000004">
      <c r="J149" s="56"/>
      <c r="K149" s="9"/>
    </row>
    <row r="150" spans="10:11" x14ac:dyDescent="0.55000000000000004">
      <c r="J150" s="56"/>
      <c r="K150" s="9"/>
    </row>
    <row r="151" spans="10:11" x14ac:dyDescent="0.55000000000000004">
      <c r="J151" s="56"/>
      <c r="K151" s="9"/>
    </row>
    <row r="152" spans="10:11" x14ac:dyDescent="0.55000000000000004">
      <c r="J152" s="56"/>
      <c r="K152" s="9"/>
    </row>
    <row r="153" spans="10:11" x14ac:dyDescent="0.55000000000000004">
      <c r="J153" s="56"/>
      <c r="K153" s="9"/>
    </row>
    <row r="154" spans="10:11" x14ac:dyDescent="0.55000000000000004">
      <c r="J154" s="56"/>
      <c r="K154" s="9"/>
    </row>
    <row r="155" spans="10:11" x14ac:dyDescent="0.55000000000000004">
      <c r="J155" s="56"/>
      <c r="K155" s="9"/>
    </row>
    <row r="156" spans="10:11" x14ac:dyDescent="0.55000000000000004">
      <c r="J156" s="56"/>
      <c r="K156" s="9"/>
    </row>
    <row r="157" spans="10:11" x14ac:dyDescent="0.55000000000000004">
      <c r="J157" s="56"/>
      <c r="K157" s="9"/>
    </row>
    <row r="158" spans="10:11" x14ac:dyDescent="0.55000000000000004">
      <c r="J158" s="56"/>
      <c r="K158" s="9"/>
    </row>
    <row r="159" spans="10:11" x14ac:dyDescent="0.55000000000000004">
      <c r="J159" s="56"/>
      <c r="K159" s="9"/>
    </row>
    <row r="160" spans="10:11" x14ac:dyDescent="0.55000000000000004">
      <c r="J160" s="56"/>
      <c r="K160" s="9"/>
    </row>
    <row r="161" spans="10:11" x14ac:dyDescent="0.55000000000000004">
      <c r="J161" s="56"/>
      <c r="K161" s="9"/>
    </row>
    <row r="162" spans="10:11" x14ac:dyDescent="0.55000000000000004">
      <c r="J162" s="56"/>
      <c r="K162" s="9"/>
    </row>
    <row r="163" spans="10:11" x14ac:dyDescent="0.55000000000000004">
      <c r="J163" s="56"/>
      <c r="K163" s="9"/>
    </row>
    <row r="164" spans="10:11" x14ac:dyDescent="0.55000000000000004">
      <c r="J164" s="56"/>
      <c r="K164" s="9"/>
    </row>
    <row r="165" spans="10:11" x14ac:dyDescent="0.55000000000000004">
      <c r="J165" s="56"/>
      <c r="K165" s="9"/>
    </row>
    <row r="166" spans="10:11" x14ac:dyDescent="0.55000000000000004">
      <c r="J166" s="56"/>
      <c r="K166" s="9"/>
    </row>
    <row r="167" spans="10:11" x14ac:dyDescent="0.55000000000000004">
      <c r="J167" s="56"/>
      <c r="K167" s="9"/>
    </row>
    <row r="168" spans="10:11" x14ac:dyDescent="0.55000000000000004">
      <c r="J168" s="56"/>
      <c r="K168" s="9"/>
    </row>
    <row r="169" spans="10:11" x14ac:dyDescent="0.55000000000000004">
      <c r="J169" s="56"/>
      <c r="K169" s="9"/>
    </row>
    <row r="170" spans="10:11" x14ac:dyDescent="0.55000000000000004">
      <c r="J170" s="56"/>
      <c r="K170" s="9"/>
    </row>
    <row r="171" spans="10:11" x14ac:dyDescent="0.55000000000000004">
      <c r="J171" s="56"/>
      <c r="K171" s="9"/>
    </row>
    <row r="172" spans="10:11" x14ac:dyDescent="0.55000000000000004">
      <c r="J172" s="56"/>
      <c r="K172" s="9"/>
    </row>
    <row r="173" spans="10:11" x14ac:dyDescent="0.55000000000000004">
      <c r="J173" s="56"/>
      <c r="K173" s="9"/>
    </row>
    <row r="174" spans="10:11" x14ac:dyDescent="0.55000000000000004">
      <c r="J174" s="56"/>
      <c r="K174" s="9"/>
    </row>
    <row r="175" spans="10:11" x14ac:dyDescent="0.55000000000000004">
      <c r="J175" s="56"/>
      <c r="K175" s="9"/>
    </row>
    <row r="176" spans="10:11" x14ac:dyDescent="0.55000000000000004">
      <c r="J176" s="56"/>
      <c r="K176" s="9"/>
    </row>
    <row r="177" spans="10:11" x14ac:dyDescent="0.55000000000000004">
      <c r="J177" s="56"/>
      <c r="K177" s="9"/>
    </row>
    <row r="178" spans="10:11" x14ac:dyDescent="0.55000000000000004">
      <c r="J178" s="56"/>
      <c r="K178" s="9"/>
    </row>
    <row r="179" spans="10:11" x14ac:dyDescent="0.55000000000000004">
      <c r="J179" s="56"/>
      <c r="K179" s="9"/>
    </row>
    <row r="180" spans="10:11" x14ac:dyDescent="0.55000000000000004">
      <c r="J180" s="56"/>
      <c r="K180" s="9"/>
    </row>
    <row r="181" spans="10:11" x14ac:dyDescent="0.55000000000000004">
      <c r="J181" s="56"/>
      <c r="K181" s="9"/>
    </row>
    <row r="182" spans="10:11" x14ac:dyDescent="0.55000000000000004">
      <c r="J182" s="56"/>
      <c r="K182" s="9"/>
    </row>
    <row r="183" spans="10:11" x14ac:dyDescent="0.55000000000000004">
      <c r="J183" s="56"/>
      <c r="K183" s="9"/>
    </row>
    <row r="184" spans="10:11" x14ac:dyDescent="0.55000000000000004">
      <c r="J184" s="56"/>
      <c r="K184" s="9"/>
    </row>
    <row r="185" spans="10:11" x14ac:dyDescent="0.55000000000000004">
      <c r="J185" s="56"/>
      <c r="K185" s="9"/>
    </row>
    <row r="186" spans="10:11" x14ac:dyDescent="0.55000000000000004">
      <c r="J186" s="56"/>
      <c r="K186" s="9"/>
    </row>
    <row r="187" spans="10:11" x14ac:dyDescent="0.55000000000000004">
      <c r="J187" s="56"/>
      <c r="K187" s="9"/>
    </row>
    <row r="188" spans="10:11" x14ac:dyDescent="0.55000000000000004">
      <c r="J188" s="56"/>
      <c r="K188" s="9"/>
    </row>
    <row r="189" spans="10:11" x14ac:dyDescent="0.55000000000000004">
      <c r="J189" s="56"/>
      <c r="K189" s="9"/>
    </row>
    <row r="190" spans="10:11" x14ac:dyDescent="0.55000000000000004">
      <c r="J190" s="56"/>
      <c r="K190" s="9"/>
    </row>
    <row r="191" spans="10:11" x14ac:dyDescent="0.55000000000000004">
      <c r="J191" s="56"/>
      <c r="K191" s="9"/>
    </row>
    <row r="192" spans="10:11" x14ac:dyDescent="0.55000000000000004">
      <c r="J192" s="56"/>
      <c r="K192" s="9"/>
    </row>
    <row r="193" spans="10:11" x14ac:dyDescent="0.55000000000000004">
      <c r="J193" s="56"/>
      <c r="K193" s="9"/>
    </row>
    <row r="194" spans="10:11" x14ac:dyDescent="0.55000000000000004">
      <c r="J194" s="56"/>
      <c r="K194" s="9"/>
    </row>
    <row r="195" spans="10:11" x14ac:dyDescent="0.55000000000000004">
      <c r="J195" s="56"/>
      <c r="K195" s="9"/>
    </row>
    <row r="196" spans="10:11" x14ac:dyDescent="0.55000000000000004">
      <c r="J196" s="56"/>
      <c r="K196" s="9"/>
    </row>
    <row r="197" spans="10:11" x14ac:dyDescent="0.55000000000000004">
      <c r="J197" s="56"/>
      <c r="K197" s="9"/>
    </row>
    <row r="198" spans="10:11" x14ac:dyDescent="0.55000000000000004">
      <c r="J198" s="56"/>
      <c r="K198" s="9"/>
    </row>
    <row r="199" spans="10:11" x14ac:dyDescent="0.55000000000000004">
      <c r="J199" s="56"/>
      <c r="K199" s="9"/>
    </row>
    <row r="200" spans="10:11" x14ac:dyDescent="0.55000000000000004">
      <c r="J200" s="56"/>
      <c r="K200" s="9"/>
    </row>
    <row r="201" spans="10:11" x14ac:dyDescent="0.55000000000000004">
      <c r="J201" s="56"/>
      <c r="K201" s="9"/>
    </row>
    <row r="202" spans="10:11" x14ac:dyDescent="0.55000000000000004">
      <c r="J202" s="56"/>
      <c r="K202" s="9"/>
    </row>
    <row r="203" spans="10:11" x14ac:dyDescent="0.55000000000000004">
      <c r="J203" s="56"/>
      <c r="K203" s="9"/>
    </row>
    <row r="204" spans="10:11" x14ac:dyDescent="0.55000000000000004">
      <c r="J204" s="56"/>
      <c r="K204" s="9"/>
    </row>
    <row r="205" spans="10:11" x14ac:dyDescent="0.55000000000000004">
      <c r="J205" s="56"/>
      <c r="K205" s="9"/>
    </row>
    <row r="206" spans="10:11" x14ac:dyDescent="0.55000000000000004">
      <c r="J206" s="56"/>
      <c r="K206" s="9"/>
    </row>
    <row r="207" spans="10:11" x14ac:dyDescent="0.55000000000000004">
      <c r="J207" s="56"/>
      <c r="K207" s="9"/>
    </row>
    <row r="208" spans="10:11" x14ac:dyDescent="0.55000000000000004">
      <c r="J208" s="56"/>
      <c r="K208" s="9"/>
    </row>
    <row r="209" spans="10:11" x14ac:dyDescent="0.55000000000000004">
      <c r="J209" s="56"/>
      <c r="K209" s="9"/>
    </row>
    <row r="210" spans="10:11" x14ac:dyDescent="0.55000000000000004">
      <c r="J210" s="56"/>
      <c r="K210" s="9"/>
    </row>
    <row r="211" spans="10:11" x14ac:dyDescent="0.55000000000000004">
      <c r="J211" s="56"/>
      <c r="K211" s="9"/>
    </row>
    <row r="212" spans="10:11" x14ac:dyDescent="0.55000000000000004">
      <c r="J212" s="56"/>
      <c r="K212" s="9"/>
    </row>
    <row r="213" spans="10:11" x14ac:dyDescent="0.55000000000000004">
      <c r="J213" s="56"/>
      <c r="K213" s="9"/>
    </row>
    <row r="214" spans="10:11" x14ac:dyDescent="0.55000000000000004">
      <c r="J214" s="56"/>
      <c r="K214" s="9"/>
    </row>
    <row r="215" spans="10:11" x14ac:dyDescent="0.55000000000000004">
      <c r="J215" s="56"/>
      <c r="K215" s="9"/>
    </row>
    <row r="216" spans="10:11" x14ac:dyDescent="0.55000000000000004">
      <c r="J216" s="56"/>
      <c r="K216" s="9"/>
    </row>
    <row r="217" spans="10:11" x14ac:dyDescent="0.55000000000000004">
      <c r="J217" s="56"/>
      <c r="K217" s="9"/>
    </row>
    <row r="218" spans="10:11" x14ac:dyDescent="0.55000000000000004">
      <c r="J218" s="56"/>
      <c r="K218" s="9"/>
    </row>
    <row r="219" spans="10:11" x14ac:dyDescent="0.55000000000000004">
      <c r="J219" s="56"/>
      <c r="K219" s="9"/>
    </row>
    <row r="220" spans="10:11" x14ac:dyDescent="0.55000000000000004">
      <c r="J220" s="56"/>
      <c r="K220" s="9"/>
    </row>
    <row r="221" spans="10:11" x14ac:dyDescent="0.55000000000000004">
      <c r="J221" s="56"/>
      <c r="K221" s="9"/>
    </row>
    <row r="222" spans="10:11" x14ac:dyDescent="0.55000000000000004">
      <c r="J222" s="56"/>
      <c r="K222" s="9"/>
    </row>
    <row r="223" spans="10:11" x14ac:dyDescent="0.55000000000000004">
      <c r="J223" s="56"/>
      <c r="K223" s="9"/>
    </row>
    <row r="224" spans="10:11" x14ac:dyDescent="0.55000000000000004">
      <c r="J224" s="56"/>
      <c r="K224" s="9"/>
    </row>
    <row r="225" spans="10:11" x14ac:dyDescent="0.55000000000000004">
      <c r="J225" s="56"/>
      <c r="K225" s="9"/>
    </row>
    <row r="226" spans="10:11" x14ac:dyDescent="0.55000000000000004">
      <c r="J226" s="56"/>
      <c r="K226" s="9"/>
    </row>
    <row r="227" spans="10:11" x14ac:dyDescent="0.55000000000000004">
      <c r="J227" s="56"/>
      <c r="K227" s="9"/>
    </row>
    <row r="228" spans="10:11" x14ac:dyDescent="0.55000000000000004">
      <c r="J228" s="56"/>
      <c r="K228" s="9"/>
    </row>
    <row r="229" spans="10:11" x14ac:dyDescent="0.55000000000000004">
      <c r="J229" s="56"/>
      <c r="K229" s="9"/>
    </row>
    <row r="230" spans="10:11" x14ac:dyDescent="0.55000000000000004">
      <c r="J230" s="56"/>
      <c r="K230" s="9"/>
    </row>
    <row r="231" spans="10:11" x14ac:dyDescent="0.55000000000000004">
      <c r="J231" s="56"/>
      <c r="K231" s="9"/>
    </row>
    <row r="232" spans="10:11" x14ac:dyDescent="0.55000000000000004">
      <c r="J232" s="56"/>
      <c r="K232" s="9"/>
    </row>
    <row r="233" spans="10:11" x14ac:dyDescent="0.55000000000000004">
      <c r="J233" s="56"/>
      <c r="K233" s="9"/>
    </row>
    <row r="234" spans="10:11" x14ac:dyDescent="0.55000000000000004">
      <c r="J234" s="56"/>
      <c r="K234" s="9"/>
    </row>
    <row r="235" spans="10:11" x14ac:dyDescent="0.55000000000000004">
      <c r="J235" s="56"/>
      <c r="K235" s="9"/>
    </row>
    <row r="236" spans="10:11" x14ac:dyDescent="0.55000000000000004">
      <c r="J236" s="56"/>
      <c r="K236" s="9"/>
    </row>
    <row r="237" spans="10:11" x14ac:dyDescent="0.55000000000000004">
      <c r="J237" s="56"/>
      <c r="K237" s="9"/>
    </row>
    <row r="238" spans="10:11" x14ac:dyDescent="0.55000000000000004">
      <c r="J238" s="56"/>
      <c r="K238" s="9"/>
    </row>
    <row r="239" spans="10:11" x14ac:dyDescent="0.55000000000000004">
      <c r="J239" s="56"/>
      <c r="K239" s="9"/>
    </row>
    <row r="240" spans="10:11" x14ac:dyDescent="0.55000000000000004">
      <c r="J240" s="56"/>
      <c r="K240" s="9"/>
    </row>
    <row r="241" spans="10:11" x14ac:dyDescent="0.55000000000000004">
      <c r="J241" s="56"/>
      <c r="K241" s="9"/>
    </row>
    <row r="242" spans="10:11" x14ac:dyDescent="0.55000000000000004">
      <c r="J242" s="56"/>
      <c r="K242" s="9"/>
    </row>
    <row r="243" spans="10:11" x14ac:dyDescent="0.55000000000000004">
      <c r="J243" s="56"/>
      <c r="K243" s="9"/>
    </row>
    <row r="244" spans="10:11" x14ac:dyDescent="0.55000000000000004">
      <c r="J244" s="56"/>
      <c r="K244" s="9"/>
    </row>
    <row r="245" spans="10:11" x14ac:dyDescent="0.55000000000000004">
      <c r="J245" s="56"/>
      <c r="K245" s="9"/>
    </row>
    <row r="246" spans="10:11" x14ac:dyDescent="0.55000000000000004">
      <c r="J246" s="56"/>
      <c r="K246" s="9"/>
    </row>
    <row r="247" spans="10:11" x14ac:dyDescent="0.55000000000000004">
      <c r="J247" s="56"/>
      <c r="K247" s="9"/>
    </row>
    <row r="248" spans="10:11" x14ac:dyDescent="0.55000000000000004">
      <c r="J248" s="56"/>
      <c r="K248" s="9"/>
    </row>
    <row r="249" spans="10:11" x14ac:dyDescent="0.55000000000000004">
      <c r="J249" s="56"/>
      <c r="K249" s="9"/>
    </row>
    <row r="250" spans="10:11" x14ac:dyDescent="0.55000000000000004">
      <c r="J250" s="56"/>
      <c r="K250" s="9"/>
    </row>
    <row r="251" spans="10:11" x14ac:dyDescent="0.55000000000000004">
      <c r="J251" s="56"/>
      <c r="K251" s="9"/>
    </row>
    <row r="252" spans="10:11" x14ac:dyDescent="0.55000000000000004">
      <c r="J252" s="56"/>
      <c r="K252" s="9"/>
    </row>
    <row r="253" spans="10:11" x14ac:dyDescent="0.55000000000000004">
      <c r="J253" s="56"/>
      <c r="K253" s="9"/>
    </row>
    <row r="254" spans="10:11" x14ac:dyDescent="0.55000000000000004">
      <c r="J254" s="56"/>
      <c r="K254" s="9"/>
    </row>
    <row r="255" spans="10:11" x14ac:dyDescent="0.55000000000000004">
      <c r="J255" s="56"/>
      <c r="K255" s="9"/>
    </row>
    <row r="256" spans="10:11" x14ac:dyDescent="0.55000000000000004">
      <c r="J256" s="56"/>
      <c r="K256" s="9"/>
    </row>
    <row r="257" spans="10:11" x14ac:dyDescent="0.55000000000000004">
      <c r="J257" s="56"/>
      <c r="K257" s="9"/>
    </row>
    <row r="258" spans="10:11" x14ac:dyDescent="0.55000000000000004">
      <c r="J258" s="56"/>
      <c r="K258" s="9"/>
    </row>
    <row r="259" spans="10:11" x14ac:dyDescent="0.55000000000000004">
      <c r="J259" s="56"/>
      <c r="K259" s="9"/>
    </row>
    <row r="260" spans="10:11" x14ac:dyDescent="0.55000000000000004">
      <c r="J260" s="56"/>
      <c r="K260" s="9"/>
    </row>
    <row r="261" spans="10:11" x14ac:dyDescent="0.55000000000000004">
      <c r="J261" s="56"/>
      <c r="K261" s="9"/>
    </row>
    <row r="262" spans="10:11" x14ac:dyDescent="0.55000000000000004">
      <c r="J262" s="56"/>
      <c r="K262" s="9"/>
    </row>
    <row r="263" spans="10:11" x14ac:dyDescent="0.55000000000000004">
      <c r="J263" s="56"/>
      <c r="K263" s="9"/>
    </row>
    <row r="264" spans="10:11" x14ac:dyDescent="0.55000000000000004">
      <c r="J264" s="56"/>
      <c r="K264" s="9"/>
    </row>
    <row r="265" spans="10:11" x14ac:dyDescent="0.55000000000000004">
      <c r="J265" s="56"/>
      <c r="K265" s="9"/>
    </row>
    <row r="266" spans="10:11" x14ac:dyDescent="0.55000000000000004">
      <c r="J266" s="56"/>
      <c r="K266" s="9"/>
    </row>
    <row r="267" spans="10:11" x14ac:dyDescent="0.55000000000000004">
      <c r="J267" s="56"/>
      <c r="K267" s="9"/>
    </row>
    <row r="268" spans="10:11" x14ac:dyDescent="0.55000000000000004">
      <c r="J268" s="56"/>
      <c r="K268" s="9"/>
    </row>
    <row r="269" spans="10:11" x14ac:dyDescent="0.55000000000000004">
      <c r="J269" s="56"/>
      <c r="K269" s="9"/>
    </row>
    <row r="270" spans="10:11" x14ac:dyDescent="0.55000000000000004">
      <c r="J270" s="56"/>
      <c r="K270" s="9"/>
    </row>
    <row r="271" spans="10:11" x14ac:dyDescent="0.55000000000000004">
      <c r="J271" s="56"/>
      <c r="K271" s="9"/>
    </row>
    <row r="272" spans="10:11" x14ac:dyDescent="0.55000000000000004">
      <c r="J272" s="56"/>
      <c r="K272" s="9"/>
    </row>
    <row r="273" spans="10:11" x14ac:dyDescent="0.55000000000000004">
      <c r="J273" s="56"/>
      <c r="K273" s="9"/>
    </row>
    <row r="274" spans="10:11" x14ac:dyDescent="0.55000000000000004">
      <c r="J274" s="56"/>
      <c r="K274" s="9"/>
    </row>
    <row r="275" spans="10:11" x14ac:dyDescent="0.55000000000000004">
      <c r="J275" s="56"/>
      <c r="K275" s="9"/>
    </row>
    <row r="276" spans="10:11" x14ac:dyDescent="0.55000000000000004">
      <c r="J276" s="56"/>
      <c r="K276" s="9"/>
    </row>
    <row r="277" spans="10:11" x14ac:dyDescent="0.55000000000000004">
      <c r="J277" s="56"/>
      <c r="K277" s="9"/>
    </row>
    <row r="278" spans="10:11" x14ac:dyDescent="0.55000000000000004">
      <c r="J278" s="56"/>
      <c r="K278" s="9"/>
    </row>
    <row r="279" spans="10:11" x14ac:dyDescent="0.55000000000000004">
      <c r="J279" s="56"/>
      <c r="K279" s="9"/>
    </row>
    <row r="280" spans="10:11" x14ac:dyDescent="0.55000000000000004">
      <c r="J280" s="56"/>
      <c r="K280" s="9"/>
    </row>
    <row r="281" spans="10:11" x14ac:dyDescent="0.55000000000000004">
      <c r="J281" s="56"/>
      <c r="K281" s="9"/>
    </row>
    <row r="282" spans="10:11" x14ac:dyDescent="0.55000000000000004">
      <c r="J282" s="56"/>
      <c r="K282" s="9"/>
    </row>
    <row r="283" spans="10:11" x14ac:dyDescent="0.55000000000000004">
      <c r="J283" s="56"/>
      <c r="K283" s="9"/>
    </row>
    <row r="284" spans="10:11" x14ac:dyDescent="0.55000000000000004">
      <c r="J284" s="56"/>
      <c r="K284" s="9"/>
    </row>
    <row r="285" spans="10:11" x14ac:dyDescent="0.55000000000000004">
      <c r="J285" s="56"/>
      <c r="K285" s="9"/>
    </row>
    <row r="286" spans="10:11" x14ac:dyDescent="0.55000000000000004">
      <c r="J286" s="56"/>
      <c r="K286" s="9"/>
    </row>
    <row r="287" spans="10:11" x14ac:dyDescent="0.55000000000000004">
      <c r="J287" s="56"/>
      <c r="K287" s="9"/>
    </row>
    <row r="288" spans="10:11" x14ac:dyDescent="0.55000000000000004">
      <c r="J288" s="56"/>
      <c r="K288" s="9"/>
    </row>
    <row r="289" spans="10:11" x14ac:dyDescent="0.55000000000000004">
      <c r="J289" s="56"/>
      <c r="K289" s="9"/>
    </row>
    <row r="290" spans="10:11" x14ac:dyDescent="0.55000000000000004">
      <c r="J290" s="56"/>
      <c r="K290" s="9"/>
    </row>
    <row r="291" spans="10:11" x14ac:dyDescent="0.55000000000000004">
      <c r="J291" s="56"/>
      <c r="K291" s="9"/>
    </row>
    <row r="292" spans="10:11" x14ac:dyDescent="0.55000000000000004">
      <c r="J292" s="56"/>
      <c r="K292" s="9"/>
    </row>
    <row r="293" spans="10:11" x14ac:dyDescent="0.55000000000000004">
      <c r="J293" s="56"/>
      <c r="K293" s="9"/>
    </row>
    <row r="294" spans="10:11" x14ac:dyDescent="0.55000000000000004">
      <c r="J294" s="56"/>
      <c r="K294" s="9"/>
    </row>
    <row r="295" spans="10:11" x14ac:dyDescent="0.55000000000000004">
      <c r="J295" s="56"/>
      <c r="K295" s="9"/>
    </row>
    <row r="296" spans="10:11" x14ac:dyDescent="0.55000000000000004">
      <c r="J296" s="56"/>
      <c r="K296" s="9"/>
    </row>
    <row r="297" spans="10:11" x14ac:dyDescent="0.55000000000000004">
      <c r="J297" s="56"/>
      <c r="K297" s="9"/>
    </row>
    <row r="298" spans="10:11" x14ac:dyDescent="0.55000000000000004">
      <c r="J298" s="56"/>
      <c r="K298" s="9"/>
    </row>
    <row r="299" spans="10:11" x14ac:dyDescent="0.55000000000000004">
      <c r="J299" s="56"/>
      <c r="K299" s="9"/>
    </row>
    <row r="300" spans="10:11" x14ac:dyDescent="0.55000000000000004">
      <c r="J300" s="56"/>
      <c r="K300" s="9"/>
    </row>
    <row r="301" spans="10:11" x14ac:dyDescent="0.55000000000000004">
      <c r="J301" s="56"/>
      <c r="K301" s="9"/>
    </row>
    <row r="302" spans="10:11" x14ac:dyDescent="0.55000000000000004">
      <c r="J302" s="56"/>
      <c r="K302" s="9"/>
    </row>
    <row r="303" spans="10:11" x14ac:dyDescent="0.55000000000000004">
      <c r="J303" s="56"/>
      <c r="K303" s="9"/>
    </row>
    <row r="304" spans="10:11" x14ac:dyDescent="0.55000000000000004">
      <c r="J304" s="56"/>
      <c r="K304" s="9"/>
    </row>
    <row r="305" spans="10:11" x14ac:dyDescent="0.55000000000000004">
      <c r="J305" s="56"/>
      <c r="K305" s="9"/>
    </row>
    <row r="306" spans="10:11" x14ac:dyDescent="0.55000000000000004">
      <c r="J306" s="56"/>
      <c r="K306" s="9"/>
    </row>
    <row r="307" spans="10:11" x14ac:dyDescent="0.55000000000000004">
      <c r="J307" s="56"/>
      <c r="K307" s="9"/>
    </row>
    <row r="308" spans="10:11" x14ac:dyDescent="0.55000000000000004">
      <c r="J308" s="56"/>
      <c r="K308" s="9"/>
    </row>
    <row r="309" spans="10:11" x14ac:dyDescent="0.55000000000000004">
      <c r="J309" s="56"/>
      <c r="K309" s="9"/>
    </row>
    <row r="310" spans="10:11" x14ac:dyDescent="0.55000000000000004">
      <c r="J310" s="56"/>
      <c r="K310" s="9"/>
    </row>
    <row r="311" spans="10:11" x14ac:dyDescent="0.55000000000000004">
      <c r="J311" s="56"/>
      <c r="K311" s="9"/>
    </row>
    <row r="312" spans="10:11" x14ac:dyDescent="0.55000000000000004">
      <c r="J312" s="56"/>
      <c r="K312" s="9"/>
    </row>
    <row r="313" spans="10:11" x14ac:dyDescent="0.55000000000000004">
      <c r="J313" s="56"/>
      <c r="K313" s="9"/>
    </row>
    <row r="314" spans="10:11" x14ac:dyDescent="0.55000000000000004">
      <c r="J314" s="56"/>
      <c r="K314" s="9"/>
    </row>
    <row r="315" spans="10:11" x14ac:dyDescent="0.55000000000000004">
      <c r="J315" s="56"/>
      <c r="K315" s="9"/>
    </row>
    <row r="316" spans="10:11" x14ac:dyDescent="0.55000000000000004">
      <c r="J316" s="56"/>
      <c r="K316" s="9"/>
    </row>
    <row r="317" spans="10:11" x14ac:dyDescent="0.55000000000000004">
      <c r="J317" s="56"/>
      <c r="K317" s="9"/>
    </row>
    <row r="318" spans="10:11" x14ac:dyDescent="0.55000000000000004">
      <c r="J318" s="56"/>
      <c r="K318" s="9"/>
    </row>
    <row r="319" spans="10:11" x14ac:dyDescent="0.55000000000000004">
      <c r="J319" s="56"/>
      <c r="K319" s="9"/>
    </row>
    <row r="320" spans="10:11" x14ac:dyDescent="0.55000000000000004">
      <c r="J320" s="56"/>
      <c r="K320" s="9"/>
    </row>
    <row r="321" spans="10:11" x14ac:dyDescent="0.55000000000000004">
      <c r="J321" s="56"/>
      <c r="K321" s="9"/>
    </row>
    <row r="322" spans="10:11" x14ac:dyDescent="0.55000000000000004">
      <c r="J322" s="56"/>
      <c r="K322" s="9"/>
    </row>
    <row r="323" spans="10:11" x14ac:dyDescent="0.55000000000000004">
      <c r="J323" s="56"/>
      <c r="K323" s="9"/>
    </row>
    <row r="324" spans="10:11" x14ac:dyDescent="0.55000000000000004">
      <c r="J324" s="56"/>
      <c r="K324" s="9"/>
    </row>
    <row r="325" spans="10:11" x14ac:dyDescent="0.55000000000000004">
      <c r="J325" s="56"/>
      <c r="K325" s="9"/>
    </row>
    <row r="326" spans="10:11" x14ac:dyDescent="0.55000000000000004">
      <c r="J326" s="56"/>
      <c r="K326" s="9"/>
    </row>
    <row r="327" spans="10:11" x14ac:dyDescent="0.55000000000000004">
      <c r="J327" s="56"/>
      <c r="K327" s="9"/>
    </row>
    <row r="328" spans="10:11" x14ac:dyDescent="0.55000000000000004">
      <c r="J328" s="56"/>
      <c r="K328" s="9"/>
    </row>
    <row r="329" spans="10:11" x14ac:dyDescent="0.55000000000000004">
      <c r="J329" s="56"/>
      <c r="K329" s="9"/>
    </row>
    <row r="330" spans="10:11" x14ac:dyDescent="0.55000000000000004">
      <c r="J330" s="56"/>
      <c r="K330" s="9"/>
    </row>
    <row r="331" spans="10:11" x14ac:dyDescent="0.55000000000000004">
      <c r="J331" s="56"/>
      <c r="K331" s="9"/>
    </row>
    <row r="332" spans="10:11" x14ac:dyDescent="0.55000000000000004">
      <c r="J332" s="56"/>
      <c r="K332" s="9"/>
    </row>
    <row r="333" spans="10:11" x14ac:dyDescent="0.55000000000000004">
      <c r="J333" s="56"/>
      <c r="K333" s="9"/>
    </row>
    <row r="334" spans="10:11" x14ac:dyDescent="0.55000000000000004">
      <c r="J334" s="56"/>
      <c r="K334" s="9"/>
    </row>
    <row r="335" spans="10:11" x14ac:dyDescent="0.55000000000000004">
      <c r="J335" s="56"/>
      <c r="K335" s="9"/>
    </row>
    <row r="336" spans="10:11" x14ac:dyDescent="0.55000000000000004">
      <c r="J336" s="56"/>
      <c r="K336" s="9"/>
    </row>
    <row r="337" spans="10:11" x14ac:dyDescent="0.55000000000000004">
      <c r="J337" s="56"/>
      <c r="K337" s="9"/>
    </row>
    <row r="338" spans="10:11" x14ac:dyDescent="0.55000000000000004">
      <c r="J338" s="56"/>
      <c r="K338" s="9"/>
    </row>
    <row r="339" spans="10:11" x14ac:dyDescent="0.55000000000000004">
      <c r="J339" s="56"/>
      <c r="K339" s="9"/>
    </row>
    <row r="340" spans="10:11" x14ac:dyDescent="0.55000000000000004">
      <c r="J340" s="56"/>
      <c r="K340" s="9"/>
    </row>
    <row r="341" spans="10:11" x14ac:dyDescent="0.55000000000000004">
      <c r="J341" s="56"/>
      <c r="K341" s="9"/>
    </row>
    <row r="342" spans="10:11" x14ac:dyDescent="0.55000000000000004">
      <c r="J342" s="56"/>
      <c r="K342" s="9"/>
    </row>
    <row r="343" spans="10:11" x14ac:dyDescent="0.55000000000000004">
      <c r="J343" s="56"/>
      <c r="K343" s="9"/>
    </row>
    <row r="344" spans="10:11" x14ac:dyDescent="0.55000000000000004">
      <c r="J344" s="56"/>
      <c r="K344" s="9"/>
    </row>
    <row r="345" spans="10:11" x14ac:dyDescent="0.55000000000000004">
      <c r="J345" s="56"/>
      <c r="K345" s="9"/>
    </row>
    <row r="346" spans="10:11" x14ac:dyDescent="0.55000000000000004">
      <c r="J346" s="56"/>
      <c r="K346" s="9"/>
    </row>
    <row r="347" spans="10:11" x14ac:dyDescent="0.55000000000000004">
      <c r="J347" s="56"/>
      <c r="K347" s="9"/>
    </row>
    <row r="348" spans="10:11" x14ac:dyDescent="0.55000000000000004">
      <c r="J348" s="56"/>
      <c r="K348" s="9"/>
    </row>
    <row r="349" spans="10:11" x14ac:dyDescent="0.55000000000000004">
      <c r="J349" s="56"/>
      <c r="K349" s="9"/>
    </row>
    <row r="350" spans="10:11" x14ac:dyDescent="0.55000000000000004">
      <c r="J350" s="56"/>
      <c r="K350" s="9"/>
    </row>
    <row r="351" spans="10:11" x14ac:dyDescent="0.55000000000000004">
      <c r="J351" s="56"/>
      <c r="K351" s="9"/>
    </row>
    <row r="352" spans="10:11" x14ac:dyDescent="0.55000000000000004">
      <c r="J352" s="56"/>
      <c r="K352" s="9"/>
    </row>
    <row r="353" spans="10:11" x14ac:dyDescent="0.55000000000000004">
      <c r="J353" s="56"/>
      <c r="K353" s="9"/>
    </row>
    <row r="354" spans="10:11" x14ac:dyDescent="0.55000000000000004">
      <c r="J354" s="56"/>
      <c r="K354" s="9"/>
    </row>
    <row r="355" spans="10:11" x14ac:dyDescent="0.55000000000000004">
      <c r="J355" s="56"/>
      <c r="K355" s="9"/>
    </row>
    <row r="356" spans="10:11" x14ac:dyDescent="0.55000000000000004">
      <c r="J356" s="56"/>
      <c r="K356" s="9"/>
    </row>
    <row r="357" spans="10:11" x14ac:dyDescent="0.55000000000000004">
      <c r="J357" s="56"/>
      <c r="K357" s="9"/>
    </row>
    <row r="358" spans="10:11" x14ac:dyDescent="0.55000000000000004">
      <c r="J358" s="56"/>
      <c r="K358" s="9"/>
    </row>
    <row r="359" spans="10:11" x14ac:dyDescent="0.55000000000000004">
      <c r="J359" s="56"/>
      <c r="K359" s="9"/>
    </row>
    <row r="360" spans="10:11" x14ac:dyDescent="0.55000000000000004">
      <c r="J360" s="56"/>
      <c r="K360" s="9"/>
    </row>
    <row r="361" spans="10:11" x14ac:dyDescent="0.55000000000000004">
      <c r="J361" s="56"/>
      <c r="K361" s="9"/>
    </row>
    <row r="362" spans="10:11" x14ac:dyDescent="0.55000000000000004">
      <c r="J362" s="56"/>
      <c r="K362" s="9"/>
    </row>
    <row r="363" spans="10:11" x14ac:dyDescent="0.55000000000000004">
      <c r="J363" s="56"/>
      <c r="K363" s="9"/>
    </row>
    <row r="364" spans="10:11" x14ac:dyDescent="0.55000000000000004">
      <c r="J364" s="56"/>
      <c r="K364" s="9"/>
    </row>
    <row r="365" spans="10:11" x14ac:dyDescent="0.55000000000000004">
      <c r="J365" s="56"/>
      <c r="K365" s="9"/>
    </row>
    <row r="366" spans="10:11" x14ac:dyDescent="0.55000000000000004">
      <c r="J366" s="56"/>
      <c r="K366" s="9"/>
    </row>
    <row r="367" spans="10:11" x14ac:dyDescent="0.55000000000000004">
      <c r="J367" s="56"/>
      <c r="K367" s="9"/>
    </row>
    <row r="368" spans="10:11" x14ac:dyDescent="0.55000000000000004">
      <c r="J368" s="56"/>
      <c r="K368" s="9"/>
    </row>
    <row r="369" spans="10:11" x14ac:dyDescent="0.55000000000000004">
      <c r="J369" s="56"/>
      <c r="K369" s="9"/>
    </row>
    <row r="370" spans="10:11" x14ac:dyDescent="0.55000000000000004">
      <c r="J370" s="56"/>
      <c r="K370" s="9"/>
    </row>
    <row r="371" spans="10:11" x14ac:dyDescent="0.55000000000000004">
      <c r="J371" s="56"/>
      <c r="K371" s="9"/>
    </row>
    <row r="372" spans="10:11" x14ac:dyDescent="0.55000000000000004">
      <c r="J372" s="56"/>
      <c r="K372" s="9"/>
    </row>
    <row r="373" spans="10:11" x14ac:dyDescent="0.55000000000000004">
      <c r="J373" s="56"/>
      <c r="K373" s="9"/>
    </row>
    <row r="374" spans="10:11" x14ac:dyDescent="0.55000000000000004">
      <c r="J374" s="56"/>
      <c r="K374" s="9"/>
    </row>
    <row r="375" spans="10:11" x14ac:dyDescent="0.55000000000000004">
      <c r="J375" s="56"/>
      <c r="K375" s="9"/>
    </row>
    <row r="376" spans="10:11" x14ac:dyDescent="0.55000000000000004">
      <c r="J376" s="56"/>
      <c r="K376" s="9"/>
    </row>
    <row r="377" spans="10:11" x14ac:dyDescent="0.55000000000000004">
      <c r="J377" s="56"/>
      <c r="K377" s="9"/>
    </row>
    <row r="378" spans="10:11" x14ac:dyDescent="0.55000000000000004">
      <c r="J378" s="56"/>
      <c r="K378" s="9"/>
    </row>
    <row r="379" spans="10:11" x14ac:dyDescent="0.55000000000000004">
      <c r="J379" s="56"/>
      <c r="K379" s="9"/>
    </row>
    <row r="380" spans="10:11" x14ac:dyDescent="0.55000000000000004">
      <c r="K380" s="9"/>
    </row>
  </sheetData>
  <mergeCells count="10">
    <mergeCell ref="A1:B1"/>
    <mergeCell ref="D1:E1"/>
    <mergeCell ref="A6:B6"/>
    <mergeCell ref="A11:B11"/>
    <mergeCell ref="B16:F16"/>
    <mergeCell ref="Z7:AD7"/>
    <mergeCell ref="AN7:AR7"/>
    <mergeCell ref="BB7:BF7"/>
    <mergeCell ref="B22:F22"/>
    <mergeCell ref="L6:P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BBB7-18E8-4A46-B9CD-57C9B401770F}">
  <dimension ref="A1:Y43"/>
  <sheetViews>
    <sheetView showGridLines="0" tabSelected="1" topLeftCell="AC1" zoomScale="52" zoomScaleNormal="52" workbookViewId="0">
      <selection activeCell="AS17" sqref="AS17:AS18"/>
    </sheetView>
  </sheetViews>
  <sheetFormatPr defaultRowHeight="14.4" x14ac:dyDescent="0.55000000000000004"/>
  <cols>
    <col min="1" max="1" width="47.47265625" bestFit="1" customWidth="1"/>
    <col min="2" max="2" width="18.734375" bestFit="1" customWidth="1"/>
    <col min="3" max="3" width="18.26171875" bestFit="1" customWidth="1"/>
    <col min="4" max="5" width="18.7890625" bestFit="1" customWidth="1"/>
    <col min="6" max="6" width="19.26171875" bestFit="1" customWidth="1"/>
    <col min="7" max="7" width="18.7890625" bestFit="1" customWidth="1"/>
    <col min="8" max="8" width="18.5234375" bestFit="1" customWidth="1"/>
    <col min="9" max="12" width="19.26171875" bestFit="1" customWidth="1"/>
    <col min="13" max="13" width="8.83984375" customWidth="1"/>
    <col min="15" max="17" width="15.83984375" bestFit="1" customWidth="1"/>
    <col min="18" max="18" width="15.83984375" customWidth="1"/>
    <col min="19" max="25" width="15.83984375" bestFit="1" customWidth="1"/>
  </cols>
  <sheetData>
    <row r="1" spans="1:25" ht="14.7" thickBot="1" x14ac:dyDescent="0.6">
      <c r="A1" s="53"/>
    </row>
    <row r="2" spans="1:25" ht="14.7" thickBot="1" x14ac:dyDescent="0.6">
      <c r="A2" s="55" t="s">
        <v>38</v>
      </c>
      <c r="N2" s="55" t="s">
        <v>38</v>
      </c>
    </row>
    <row r="3" spans="1:25" ht="15" thickTop="1" thickBot="1" x14ac:dyDescent="0.6">
      <c r="A3" s="54" t="s">
        <v>33</v>
      </c>
      <c r="B3" s="21">
        <f t="shared" ref="B3:E3" si="0">C3-0.5</f>
        <v>38.5</v>
      </c>
      <c r="C3" s="21">
        <f t="shared" si="0"/>
        <v>39</v>
      </c>
      <c r="D3" s="21">
        <f t="shared" si="0"/>
        <v>39.5</v>
      </c>
      <c r="E3" s="21">
        <f t="shared" si="0"/>
        <v>40</v>
      </c>
      <c r="F3" s="21">
        <f>G3-0.5</f>
        <v>40.5</v>
      </c>
      <c r="G3" s="21">
        <v>41</v>
      </c>
      <c r="H3" s="21">
        <f>G3+0.5</f>
        <v>41.5</v>
      </c>
      <c r="I3" s="21">
        <f t="shared" ref="I3:L3" si="1">H3+0.5</f>
        <v>42</v>
      </c>
      <c r="J3" s="21">
        <f t="shared" si="1"/>
        <v>42.5</v>
      </c>
      <c r="K3" s="21">
        <f t="shared" si="1"/>
        <v>43</v>
      </c>
      <c r="L3" s="21">
        <f t="shared" si="1"/>
        <v>43.5</v>
      </c>
      <c r="N3" s="54" t="s">
        <v>33</v>
      </c>
      <c r="O3" s="21">
        <f t="shared" ref="O3" si="2">P3-0.5</f>
        <v>38.5</v>
      </c>
      <c r="P3" s="21">
        <f t="shared" ref="P3" si="3">Q3-0.5</f>
        <v>39</v>
      </c>
      <c r="Q3" s="21">
        <f t="shared" ref="Q3" si="4">R3-0.5</f>
        <v>39.5</v>
      </c>
      <c r="R3" s="21">
        <f t="shared" ref="R3" si="5">S3-0.5</f>
        <v>40</v>
      </c>
      <c r="S3" s="21">
        <f>T3-0.5</f>
        <v>40.5</v>
      </c>
      <c r="T3" s="21">
        <v>41</v>
      </c>
      <c r="U3" s="21">
        <f>T3+0.5</f>
        <v>41.5</v>
      </c>
      <c r="V3" s="21">
        <f t="shared" ref="V3" si="6">U3+0.5</f>
        <v>42</v>
      </c>
      <c r="W3" s="21">
        <f t="shared" ref="W3" si="7">V3+0.5</f>
        <v>42.5</v>
      </c>
      <c r="X3" s="21">
        <f t="shared" ref="X3" si="8">W3+0.5</f>
        <v>43</v>
      </c>
      <c r="Y3" s="21">
        <f t="shared" ref="Y3" si="9">X3+0.5</f>
        <v>43.5</v>
      </c>
    </row>
    <row r="4" spans="1:25" ht="15" thickTop="1" thickBot="1" x14ac:dyDescent="0.6">
      <c r="A4" s="21" t="s">
        <v>26</v>
      </c>
      <c r="B4" s="22">
        <v>7112435.5298346505</v>
      </c>
      <c r="C4" s="22">
        <v>11273415.596718691</v>
      </c>
      <c r="D4" s="22">
        <v>15434395.66360274</v>
      </c>
      <c r="E4" s="22">
        <v>19595375.730486766</v>
      </c>
      <c r="F4" s="22">
        <v>23756355.797370762</v>
      </c>
      <c r="G4" s="22">
        <v>27917335.864254795</v>
      </c>
      <c r="H4" s="22">
        <v>32078315.931138851</v>
      </c>
      <c r="I4" s="22">
        <v>36239295.998022877</v>
      </c>
      <c r="J4" s="22">
        <v>40400276.064906918</v>
      </c>
      <c r="K4" s="22">
        <v>44561256.131790966</v>
      </c>
      <c r="L4" s="22">
        <v>48722236.198674992</v>
      </c>
      <c r="N4" s="21" t="s">
        <v>26</v>
      </c>
      <c r="O4" s="49">
        <f>B4/$G$4</f>
        <v>0.25476770292187423</v>
      </c>
      <c r="P4" s="49">
        <f t="shared" ref="P4:Y4" si="10">C4/$G$4</f>
        <v>0.40381416233749978</v>
      </c>
      <c r="Q4" s="49">
        <f t="shared" si="10"/>
        <v>0.55286062175312567</v>
      </c>
      <c r="R4" s="49">
        <f t="shared" si="10"/>
        <v>0.70190708116875067</v>
      </c>
      <c r="S4" s="49">
        <f t="shared" si="10"/>
        <v>0.85095354058437467</v>
      </c>
      <c r="T4" s="49">
        <f t="shared" si="10"/>
        <v>1</v>
      </c>
      <c r="U4" s="49">
        <f t="shared" si="10"/>
        <v>1.1490464594156262</v>
      </c>
      <c r="V4" s="49">
        <f t="shared" si="10"/>
        <v>1.2980929188312511</v>
      </c>
      <c r="W4" s="49">
        <f t="shared" si="10"/>
        <v>1.4471393782468767</v>
      </c>
      <c r="X4" s="49">
        <f t="shared" si="10"/>
        <v>1.5961858376625027</v>
      </c>
      <c r="Y4" s="49">
        <f t="shared" si="10"/>
        <v>1.7452322970781275</v>
      </c>
    </row>
    <row r="5" spans="1:25" ht="15" thickTop="1" thickBot="1" x14ac:dyDescent="0.6">
      <c r="A5" s="21" t="s">
        <v>28</v>
      </c>
      <c r="B5" s="21">
        <v>3.2226448150197062</v>
      </c>
      <c r="C5" s="21">
        <v>3.1970945092863596</v>
      </c>
      <c r="D5" s="21">
        <v>3.1705325460239853</v>
      </c>
      <c r="E5" s="21">
        <v>3.1428976272291962</v>
      </c>
      <c r="F5" s="21">
        <v>3.1141234006196483</v>
      </c>
      <c r="G5" s="21">
        <v>3.0841379277364607</v>
      </c>
      <c r="H5" s="21">
        <v>3.0528630834320656</v>
      </c>
      <c r="I5" s="21">
        <v>3.0202138761901121</v>
      </c>
      <c r="J5" s="21">
        <v>2.4923446410309129</v>
      </c>
      <c r="K5" s="21">
        <v>2.4729825073378815</v>
      </c>
      <c r="L5" s="21">
        <v>2.4531417517355414</v>
      </c>
      <c r="N5" s="21" t="s">
        <v>28</v>
      </c>
      <c r="O5" s="49">
        <f>B5/$G$5</f>
        <v>1.0449094335365539</v>
      </c>
      <c r="P5" s="49">
        <f t="shared" ref="P5:Y5" si="11">C5/$G$5</f>
        <v>1.0366250097098613</v>
      </c>
      <c r="Q5" s="49">
        <f t="shared" si="11"/>
        <v>1.0280125663351678</v>
      </c>
      <c r="R5" s="49">
        <f t="shared" si="11"/>
        <v>1.0190522281653793</v>
      </c>
      <c r="S5" s="49">
        <f t="shared" si="11"/>
        <v>1.0097224811554375</v>
      </c>
      <c r="T5" s="49">
        <f t="shared" si="11"/>
        <v>1</v>
      </c>
      <c r="U5" s="49">
        <f t="shared" si="11"/>
        <v>0.98985945342355408</v>
      </c>
      <c r="V5" s="49">
        <f t="shared" si="11"/>
        <v>0.97927328380113521</v>
      </c>
      <c r="W5" s="49">
        <f t="shared" si="11"/>
        <v>0.808117113899675</v>
      </c>
      <c r="X5" s="49">
        <f t="shared" si="11"/>
        <v>0.80183914120626765</v>
      </c>
      <c r="Y5" s="49">
        <f t="shared" si="11"/>
        <v>0.79540598028181386</v>
      </c>
    </row>
    <row r="6" spans="1:25" ht="15" thickTop="1" thickBot="1" x14ac:dyDescent="0.6">
      <c r="A6" s="21" t="s">
        <v>29</v>
      </c>
      <c r="B6" s="21">
        <v>3.4721039049740883</v>
      </c>
      <c r="C6" s="21">
        <v>3.4549410722378378</v>
      </c>
      <c r="D6" s="21">
        <v>3.4371112374476573</v>
      </c>
      <c r="E6" s="21">
        <v>3.4185747473587567</v>
      </c>
      <c r="F6" s="21">
        <v>3.3992887420014184</v>
      </c>
      <c r="G6" s="21">
        <v>3.3792068238357311</v>
      </c>
      <c r="H6" s="21">
        <v>3.3582786850824156</v>
      </c>
      <c r="I6" s="21">
        <v>3.3364496869286109</v>
      </c>
      <c r="J6" s="21">
        <v>3.3136603831986724</v>
      </c>
      <c r="K6" s="21">
        <v>3.2898459797467976</v>
      </c>
      <c r="L6" s="21">
        <v>3.2649357192189692</v>
      </c>
      <c r="N6" s="21" t="s">
        <v>29</v>
      </c>
      <c r="O6" s="49">
        <f>B6/$G$6</f>
        <v>1.0274907947282463</v>
      </c>
      <c r="P6" s="49">
        <f t="shared" ref="P6:Y6" si="12">C6/$G$6</f>
        <v>1.0224118416984436</v>
      </c>
      <c r="Q6" s="49">
        <f t="shared" si="12"/>
        <v>1.017135504463204</v>
      </c>
      <c r="R6" s="49">
        <f t="shared" si="12"/>
        <v>1.0116500485395976</v>
      </c>
      <c r="S6" s="49">
        <f t="shared" si="12"/>
        <v>1.0059427904868197</v>
      </c>
      <c r="T6" s="49">
        <f t="shared" si="12"/>
        <v>1</v>
      </c>
      <c r="U6" s="49">
        <f t="shared" si="12"/>
        <v>0.99380678962717051</v>
      </c>
      <c r="V6" s="49">
        <f t="shared" si="12"/>
        <v>0.98734699024471473</v>
      </c>
      <c r="W6" s="49">
        <f t="shared" si="12"/>
        <v>0.98060301009848905</v>
      </c>
      <c r="X6" s="49">
        <f t="shared" si="12"/>
        <v>0.97355567482327099</v>
      </c>
      <c r="Y6" s="49">
        <f t="shared" si="12"/>
        <v>0.96618404537694058</v>
      </c>
    </row>
    <row r="7" spans="1:25" ht="15" thickTop="1" thickBot="1" x14ac:dyDescent="0.6">
      <c r="A7" s="21" t="s">
        <v>31</v>
      </c>
      <c r="B7" s="23">
        <v>0.15200742121435362</v>
      </c>
      <c r="C7" s="23">
        <v>0.16248453373356275</v>
      </c>
      <c r="D7" s="23">
        <v>0.17292052922805912</v>
      </c>
      <c r="E7" s="23">
        <v>0.18331657712067484</v>
      </c>
      <c r="F7" s="23">
        <v>0.19367380345439456</v>
      </c>
      <c r="G7" s="23">
        <v>0.20399329290068779</v>
      </c>
      <c r="H7" s="23">
        <v>0.21427609065718189</v>
      </c>
      <c r="I7" s="23">
        <v>0.22452320424161099</v>
      </c>
      <c r="J7" s="23">
        <v>0.23473560518850523</v>
      </c>
      <c r="K7" s="23">
        <v>0.24491423065465079</v>
      </c>
      <c r="L7" s="23">
        <v>0.25505998493893256</v>
      </c>
      <c r="N7" s="21" t="s">
        <v>31</v>
      </c>
      <c r="O7" s="49">
        <f>B7/$G$7</f>
        <v>0.74515891700594783</v>
      </c>
      <c r="P7" s="49">
        <f t="shared" ref="P7:Y7" si="13">C7/$G$7</f>
        <v>0.7965190003215783</v>
      </c>
      <c r="Q7" s="49">
        <f t="shared" si="13"/>
        <v>0.84767752296759991</v>
      </c>
      <c r="R7" s="49">
        <f t="shared" si="13"/>
        <v>0.89864021759735391</v>
      </c>
      <c r="S7" s="49">
        <f t="shared" si="13"/>
        <v>0.9494126042108787</v>
      </c>
      <c r="T7" s="49">
        <f t="shared" si="13"/>
        <v>1</v>
      </c>
      <c r="U7" s="49">
        <f t="shared" si="13"/>
        <v>1.0504075286509551</v>
      </c>
      <c r="V7" s="49">
        <f t="shared" si="13"/>
        <v>1.1006401291385497</v>
      </c>
      <c r="W7" s="49">
        <f t="shared" si="13"/>
        <v>1.1507025640435347</v>
      </c>
      <c r="X7" s="49">
        <f t="shared" si="13"/>
        <v>1.200599427422768</v>
      </c>
      <c r="Y7" s="49">
        <f t="shared" si="13"/>
        <v>1.2503351522596682</v>
      </c>
    </row>
    <row r="8" spans="1:25" ht="15" thickTop="1" thickBot="1" x14ac:dyDescent="0.6">
      <c r="A8" s="21" t="s">
        <v>30</v>
      </c>
      <c r="B8" s="24">
        <v>1.0444527220614663</v>
      </c>
      <c r="C8" s="24">
        <v>1.0704588474794918</v>
      </c>
      <c r="D8" s="24">
        <v>1.0964649728975171</v>
      </c>
      <c r="E8" s="24">
        <v>1.1224710983155421</v>
      </c>
      <c r="F8" s="24">
        <v>1.1484772237335672</v>
      </c>
      <c r="G8" s="24">
        <v>1.1744833491515925</v>
      </c>
      <c r="H8" s="24">
        <v>1.2004894745696177</v>
      </c>
      <c r="I8" s="24">
        <v>1.2264955999876428</v>
      </c>
      <c r="J8" s="24">
        <v>1.2525017254056681</v>
      </c>
      <c r="K8" s="24">
        <v>1.2785078508236933</v>
      </c>
      <c r="L8" s="24">
        <v>1.3045139762417186</v>
      </c>
      <c r="N8" s="21" t="s">
        <v>30</v>
      </c>
      <c r="O8" s="49">
        <f>B8/$G$8</f>
        <v>0.88928695567795324</v>
      </c>
      <c r="P8" s="49">
        <f>C8/$G$8</f>
        <v>0.91142956454236279</v>
      </c>
      <c r="Q8" s="49">
        <f t="shared" ref="Q8:Y8" si="14">D8/$G$8</f>
        <v>0.93357217340677223</v>
      </c>
      <c r="R8" s="49">
        <f t="shared" si="14"/>
        <v>0.95571478227118145</v>
      </c>
      <c r="S8" s="49">
        <f t="shared" si="14"/>
        <v>0.97785739113559067</v>
      </c>
      <c r="T8" s="49">
        <f t="shared" si="14"/>
        <v>1</v>
      </c>
      <c r="U8" s="49">
        <f t="shared" si="14"/>
        <v>1.0221426088644094</v>
      </c>
      <c r="V8" s="49">
        <f t="shared" si="14"/>
        <v>1.0442852177288187</v>
      </c>
      <c r="W8" s="49">
        <f t="shared" si="14"/>
        <v>1.0664278265932279</v>
      </c>
      <c r="X8" s="49">
        <f t="shared" si="14"/>
        <v>1.0885704354576373</v>
      </c>
      <c r="Y8" s="49">
        <f t="shared" si="14"/>
        <v>1.1107130443220468</v>
      </c>
    </row>
    <row r="9" spans="1:25" ht="14.7" thickTop="1" x14ac:dyDescent="0.55000000000000004">
      <c r="P9" s="9"/>
      <c r="Q9" s="66"/>
      <c r="R9" s="9"/>
      <c r="S9" s="9"/>
      <c r="T9" s="67"/>
      <c r="U9" s="68"/>
      <c r="V9" s="68"/>
    </row>
    <row r="10" spans="1:25" x14ac:dyDescent="0.55000000000000004">
      <c r="P10" s="9"/>
      <c r="Q10" s="66"/>
      <c r="R10" s="9"/>
      <c r="S10" s="9"/>
      <c r="T10" s="67"/>
      <c r="U10" s="68"/>
      <c r="V10" s="68"/>
    </row>
    <row r="11" spans="1:25" x14ac:dyDescent="0.55000000000000004">
      <c r="P11" s="9"/>
      <c r="Q11" s="66"/>
      <c r="R11" s="9"/>
      <c r="S11" s="9"/>
      <c r="T11" s="67"/>
      <c r="U11" s="68"/>
      <c r="V11" s="68"/>
    </row>
    <row r="12" spans="1:25" ht="14.7" thickBot="1" x14ac:dyDescent="0.6">
      <c r="P12" s="9"/>
      <c r="Q12" s="66"/>
      <c r="R12" s="9"/>
      <c r="S12" s="9"/>
      <c r="T12" s="67"/>
      <c r="U12" s="68"/>
      <c r="V12" s="68"/>
    </row>
    <row r="13" spans="1:25" ht="14.7" thickBot="1" x14ac:dyDescent="0.6">
      <c r="A13" s="55" t="s">
        <v>39</v>
      </c>
      <c r="N13" s="55" t="s">
        <v>39</v>
      </c>
    </row>
    <row r="14" spans="1:25" ht="15" thickTop="1" thickBot="1" x14ac:dyDescent="0.6">
      <c r="A14" s="54" t="s">
        <v>33</v>
      </c>
      <c r="B14" s="47">
        <f t="shared" ref="B14:E14" si="15">C14-4000000</f>
        <v>140000000</v>
      </c>
      <c r="C14" s="47">
        <f t="shared" si="15"/>
        <v>144000000</v>
      </c>
      <c r="D14" s="47">
        <f t="shared" si="15"/>
        <v>148000000</v>
      </c>
      <c r="E14" s="47">
        <f t="shared" si="15"/>
        <v>152000000</v>
      </c>
      <c r="F14" s="47">
        <f>G14-4000000</f>
        <v>156000000</v>
      </c>
      <c r="G14" s="47">
        <v>160000000</v>
      </c>
      <c r="H14" s="47">
        <f>G14+4000000</f>
        <v>164000000</v>
      </c>
      <c r="I14" s="47">
        <f t="shared" ref="I14:L14" si="16">H14+4000000</f>
        <v>168000000</v>
      </c>
      <c r="J14" s="47">
        <f t="shared" si="16"/>
        <v>172000000</v>
      </c>
      <c r="K14" s="47">
        <f t="shared" si="16"/>
        <v>176000000</v>
      </c>
      <c r="L14" s="47">
        <f t="shared" si="16"/>
        <v>180000000</v>
      </c>
      <c r="N14" s="54" t="s">
        <v>33</v>
      </c>
      <c r="O14" s="47">
        <f t="shared" ref="O14" si="17">P14-4000000</f>
        <v>140000000</v>
      </c>
      <c r="P14" s="47">
        <f t="shared" ref="P14" si="18">Q14-4000000</f>
        <v>144000000</v>
      </c>
      <c r="Q14" s="47">
        <f t="shared" ref="Q14" si="19">R14-4000000</f>
        <v>148000000</v>
      </c>
      <c r="R14" s="47">
        <f t="shared" ref="R14" si="20">S14-4000000</f>
        <v>152000000</v>
      </c>
      <c r="S14" s="47">
        <f>T14-4000000</f>
        <v>156000000</v>
      </c>
      <c r="T14" s="47">
        <v>160000000</v>
      </c>
      <c r="U14" s="47">
        <f>T14+4000000</f>
        <v>164000000</v>
      </c>
      <c r="V14" s="47">
        <f t="shared" ref="V14" si="21">U14+4000000</f>
        <v>168000000</v>
      </c>
      <c r="W14" s="47">
        <f t="shared" ref="W14" si="22">V14+4000000</f>
        <v>172000000</v>
      </c>
      <c r="X14" s="47">
        <f t="shared" ref="X14" si="23">W14+4000000</f>
        <v>176000000</v>
      </c>
      <c r="Y14" s="47">
        <f t="shared" ref="Y14" si="24">X14+4000000</f>
        <v>180000000</v>
      </c>
    </row>
    <row r="15" spans="1:25" ht="15" thickTop="1" thickBot="1" x14ac:dyDescent="0.6">
      <c r="A15" s="21" t="s">
        <v>26</v>
      </c>
      <c r="B15" s="22">
        <v>7917335.864254795</v>
      </c>
      <c r="C15" s="22">
        <v>11917335.864254795</v>
      </c>
      <c r="D15" s="22">
        <v>15917335.864254795</v>
      </c>
      <c r="E15" s="22">
        <v>19917335.864254795</v>
      </c>
      <c r="F15" s="22">
        <v>23917335.864254795</v>
      </c>
      <c r="G15" s="22">
        <v>27917335.864254795</v>
      </c>
      <c r="H15" s="22">
        <v>31917335.864254795</v>
      </c>
      <c r="I15" s="22">
        <v>35917335.864254795</v>
      </c>
      <c r="J15" s="22">
        <v>39917335.864254795</v>
      </c>
      <c r="K15" s="22">
        <v>43917335.864254802</v>
      </c>
      <c r="L15" s="22">
        <v>47917335.864254802</v>
      </c>
      <c r="N15" s="21" t="s">
        <v>26</v>
      </c>
      <c r="O15" s="49">
        <f>B15/$G$4</f>
        <v>0.28359926257835044</v>
      </c>
      <c r="P15" s="49">
        <f t="shared" ref="P15" si="25">C15/$G$4</f>
        <v>0.42687941006268032</v>
      </c>
      <c r="Q15" s="49">
        <f t="shared" ref="Q15" si="26">D15/$G$4</f>
        <v>0.5701595575470102</v>
      </c>
      <c r="R15" s="49">
        <f t="shared" ref="R15" si="27">E15/$G$4</f>
        <v>0.71343970503134013</v>
      </c>
      <c r="S15" s="49">
        <f t="shared" ref="S15" si="28">F15/$G$4</f>
        <v>0.85671985251567007</v>
      </c>
      <c r="T15" s="49">
        <f t="shared" ref="T15" si="29">G15/$G$4</f>
        <v>1</v>
      </c>
      <c r="U15" s="49">
        <f t="shared" ref="U15" si="30">H15/$G$4</f>
        <v>1.1432801474843299</v>
      </c>
      <c r="V15" s="49">
        <f t="shared" ref="V15" si="31">I15/$G$4</f>
        <v>1.2865602949686599</v>
      </c>
      <c r="W15" s="49">
        <f t="shared" ref="W15" si="32">J15/$G$4</f>
        <v>1.4298404424529898</v>
      </c>
      <c r="X15" s="49">
        <f t="shared" ref="X15" si="33">K15/$G$4</f>
        <v>1.57312058993732</v>
      </c>
      <c r="Y15" s="49">
        <f t="shared" ref="Y15" si="34">L15/$G$4</f>
        <v>1.7164007374216499</v>
      </c>
    </row>
    <row r="16" spans="1:25" ht="15" thickTop="1" thickBot="1" x14ac:dyDescent="0.6">
      <c r="A16" s="21" t="s">
        <v>28</v>
      </c>
      <c r="B16" s="21">
        <v>3.2066366298901734</v>
      </c>
      <c r="C16" s="21">
        <v>3.1848304620268943</v>
      </c>
      <c r="D16" s="21">
        <v>3.1617916986917645</v>
      </c>
      <c r="E16" s="21">
        <v>3.1374127914485666</v>
      </c>
      <c r="F16" s="21">
        <v>3.1115733050650554</v>
      </c>
      <c r="G16" s="21">
        <v>3.0841379277364607</v>
      </c>
      <c r="H16" s="21">
        <v>3.054954100885158</v>
      </c>
      <c r="I16" s="21">
        <v>3.0238491808885262</v>
      </c>
      <c r="J16" s="21">
        <v>2.494609246608146</v>
      </c>
      <c r="K16" s="21">
        <v>2.4740179503040913</v>
      </c>
      <c r="L16" s="21">
        <v>2.4516774710037179</v>
      </c>
      <c r="N16" s="21" t="s">
        <v>28</v>
      </c>
      <c r="O16" s="49">
        <f>B16/$G$5</f>
        <v>1.0397189441665529</v>
      </c>
      <c r="P16" s="49">
        <f t="shared" ref="P16" si="35">C16/$G$5</f>
        <v>1.0326485185324819</v>
      </c>
      <c r="Q16" s="49">
        <f t="shared" ref="Q16" si="36">D16/$G$5</f>
        <v>1.0251784364949903</v>
      </c>
      <c r="R16" s="49">
        <f t="shared" ref="R16" si="37">E16/$G$5</f>
        <v>1.0172738265798658</v>
      </c>
      <c r="S16" s="49">
        <f t="shared" ref="S16" si="38">F16/$G$5</f>
        <v>1.0088956389018342</v>
      </c>
      <c r="T16" s="49">
        <f t="shared" ref="T16" si="39">G16/$G$5</f>
        <v>1</v>
      </c>
      <c r="U16" s="49">
        <f t="shared" ref="U16" si="40">H16/$G$5</f>
        <v>0.99053744432476742</v>
      </c>
      <c r="V16" s="49">
        <f t="shared" ref="V16" si="41">I16/$G$5</f>
        <v>0.98045199395729288</v>
      </c>
      <c r="W16" s="49">
        <f t="shared" ref="W16" si="42">J16/$G$5</f>
        <v>0.8088513889646346</v>
      </c>
      <c r="X16" s="49">
        <f t="shared" ref="X16" si="43">K16/$G$5</f>
        <v>0.80217487293762046</v>
      </c>
      <c r="Y16" s="49">
        <f t="shared" ref="Y16" si="44">L16/$G$5</f>
        <v>0.79493120231593406</v>
      </c>
    </row>
    <row r="17" spans="1:25" ht="15" thickTop="1" thickBot="1" x14ac:dyDescent="0.6">
      <c r="A17" s="21" t="s">
        <v>29</v>
      </c>
      <c r="B17" s="21">
        <v>3.4707973278989157</v>
      </c>
      <c r="C17" s="21">
        <v>3.4547070557956148</v>
      </c>
      <c r="D17" s="21">
        <v>3.4376076603253503</v>
      </c>
      <c r="E17" s="21">
        <v>3.4194011353713982</v>
      </c>
      <c r="F17" s="21">
        <v>3.3999763590704539</v>
      </c>
      <c r="G17" s="21">
        <v>3.3792068238357311</v>
      </c>
      <c r="H17" s="21">
        <v>3.3569478780310167</v>
      </c>
      <c r="I17" s="21">
        <v>3.3330333521668645</v>
      </c>
      <c r="J17" s="21">
        <v>3.3072714032067632</v>
      </c>
      <c r="K17" s="21">
        <v>3.279439357083028</v>
      </c>
      <c r="L17" s="21">
        <v>3.2492772558833454</v>
      </c>
      <c r="N17" s="21" t="s">
        <v>29</v>
      </c>
      <c r="O17" s="49">
        <f>B17/$G$6</f>
        <v>1.0271041427287426</v>
      </c>
      <c r="P17" s="49">
        <f t="shared" ref="P17" si="45">C17/$G$6</f>
        <v>1.0223425898134828</v>
      </c>
      <c r="Q17" s="49">
        <f t="shared" ref="Q17" si="46">D17/$G$6</f>
        <v>1.0172824096109419</v>
      </c>
      <c r="R17" s="49">
        <f t="shared" ref="R17" si="47">E17/$G$6</f>
        <v>1.0118945994226074</v>
      </c>
      <c r="S17" s="49">
        <f t="shared" ref="S17" si="48">F17/$G$6</f>
        <v>1.0061462752407524</v>
      </c>
      <c r="T17" s="49">
        <f t="shared" ref="T17" si="49">G17/$G$6</f>
        <v>1</v>
      </c>
      <c r="U17" s="49">
        <f t="shared" ref="U17" si="50">H17/$G$6</f>
        <v>0.99341296731300743</v>
      </c>
      <c r="V17" s="49">
        <f t="shared" ref="V17" si="51">I17/$G$6</f>
        <v>0.98633600306936664</v>
      </c>
      <c r="W17" s="49">
        <f t="shared" ref="W17" si="52">J17/$G$6</f>
        <v>0.97871233565179827</v>
      </c>
      <c r="X17" s="49">
        <f t="shared" ref="X17" si="53">K17/$G$6</f>
        <v>0.97047606969511935</v>
      </c>
      <c r="Y17" s="49">
        <f t="shared" ref="Y17" si="54">L17/$G$6</f>
        <v>0.96155027652172442</v>
      </c>
    </row>
    <row r="18" spans="1:25" ht="15" thickTop="1" thickBot="1" x14ac:dyDescent="0.6">
      <c r="A18" s="21" t="s">
        <v>31</v>
      </c>
      <c r="B18" s="23">
        <v>0.15211196658879822</v>
      </c>
      <c r="C18" s="23">
        <v>0.16174331546742371</v>
      </c>
      <c r="D18" s="23">
        <v>0.171723909527008</v>
      </c>
      <c r="E18" s="23">
        <v>0.18207592424018149</v>
      </c>
      <c r="F18" s="23">
        <v>0.19282356141996071</v>
      </c>
      <c r="G18" s="23">
        <v>0.20399329290068779</v>
      </c>
      <c r="H18" s="23">
        <v>0.2156141408531933</v>
      </c>
      <c r="I18" s="23">
        <v>0.22771800139362508</v>
      </c>
      <c r="J18" s="23">
        <v>0.24034001957545437</v>
      </c>
      <c r="K18" s="23">
        <v>0.25351902564088458</v>
      </c>
      <c r="L18" s="23">
        <v>0.26729804465318829</v>
      </c>
      <c r="N18" s="21" t="s">
        <v>31</v>
      </c>
      <c r="O18" s="49">
        <f>B18/$G$7</f>
        <v>0.74567141118140823</v>
      </c>
      <c r="P18" s="49">
        <f t="shared" ref="P18" si="55">C18/$G$7</f>
        <v>0.79288545798496868</v>
      </c>
      <c r="Q18" s="49">
        <f t="shared" ref="Q18" si="56">D18/$G$7</f>
        <v>0.84181154725812557</v>
      </c>
      <c r="R18" s="49">
        <f t="shared" ref="R18" si="57">E18/$G$7</f>
        <v>0.89255838587214442</v>
      </c>
      <c r="S18" s="49">
        <f t="shared" ref="S18" si="58">F18/$G$7</f>
        <v>0.94524461406598814</v>
      </c>
      <c r="T18" s="49">
        <f t="shared" ref="T18" si="59">G18/$G$7</f>
        <v>1</v>
      </c>
      <c r="U18" s="49">
        <f t="shared" ref="U18" si="60">H18/$G$7</f>
        <v>1.0569668138950186</v>
      </c>
      <c r="V18" s="49">
        <f t="shared" ref="V18" si="61">I18/$G$7</f>
        <v>1.1163014144023227</v>
      </c>
      <c r="W18" s="49">
        <f t="shared" ref="W18" si="62">J18/$G$7</f>
        <v>1.1781760868601774</v>
      </c>
      <c r="X18" s="49">
        <f t="shared" ref="X18" si="63">K18/$G$7</f>
        <v>1.242781181851444</v>
      </c>
      <c r="Y18" s="49">
        <f t="shared" ref="Y18" si="64">L18/$G$7</f>
        <v>1.3103276134834483</v>
      </c>
    </row>
    <row r="19" spans="1:25" ht="15" thickTop="1" thickBot="1" x14ac:dyDescent="0.6">
      <c r="A19" s="21" t="s">
        <v>30</v>
      </c>
      <c r="B19" s="24">
        <v>1.04398519924586</v>
      </c>
      <c r="C19" s="24">
        <v>1.0677121355923569</v>
      </c>
      <c r="D19" s="24">
        <v>1.0925426503735745</v>
      </c>
      <c r="E19" s="24">
        <v>1.1185555706205643</v>
      </c>
      <c r="F19" s="24">
        <v>1.1458374138064318</v>
      </c>
      <c r="G19" s="24">
        <v>1.1744833491515925</v>
      </c>
      <c r="H19" s="24">
        <v>1.2045983068221462</v>
      </c>
      <c r="I19" s="24">
        <v>1.2362982622648342</v>
      </c>
      <c r="J19" s="24">
        <v>1.2697117288125324</v>
      </c>
      <c r="K19" s="24">
        <v>1.304981499057325</v>
      </c>
      <c r="L19" s="24">
        <v>1.3422666847446771</v>
      </c>
      <c r="N19" s="21" t="s">
        <v>30</v>
      </c>
      <c r="O19" s="49">
        <f>B19/$G$8</f>
        <v>0.88888888888888884</v>
      </c>
      <c r="P19" s="49">
        <f>C19/$G$8</f>
        <v>0.90909090909090917</v>
      </c>
      <c r="Q19" s="49">
        <f t="shared" ref="Q19" si="65">D19/$G$8</f>
        <v>0.93023255813953498</v>
      </c>
      <c r="R19" s="49">
        <f t="shared" ref="R19" si="66">E19/$G$8</f>
        <v>0.95238095238095244</v>
      </c>
      <c r="S19" s="49">
        <f t="shared" ref="S19" si="67">F19/$G$8</f>
        <v>0.97560975609756106</v>
      </c>
      <c r="T19" s="49">
        <f t="shared" ref="T19" si="68">G19/$G$8</f>
        <v>1</v>
      </c>
      <c r="U19" s="49">
        <f t="shared" ref="U19" si="69">H19/$G$8</f>
        <v>1.0256410256410258</v>
      </c>
      <c r="V19" s="49">
        <f t="shared" ref="V19" si="70">I19/$G$8</f>
        <v>1.0526315789473684</v>
      </c>
      <c r="W19" s="49">
        <f t="shared" ref="W19" si="71">J19/$G$8</f>
        <v>1.0810810810810811</v>
      </c>
      <c r="X19" s="49">
        <f t="shared" ref="X19" si="72">K19/$G$8</f>
        <v>1.1111111111111112</v>
      </c>
      <c r="Y19" s="49">
        <f t="shared" ref="Y19" si="73">L19/$G$8</f>
        <v>1.1428571428571428</v>
      </c>
    </row>
    <row r="20" spans="1:25" ht="14.7" thickTop="1" x14ac:dyDescent="0.55000000000000004"/>
    <row r="23" spans="1:25" ht="14.7" thickBot="1" x14ac:dyDescent="0.6"/>
    <row r="24" spans="1:25" ht="14.7" thickBot="1" x14ac:dyDescent="0.6">
      <c r="A24" s="55" t="s">
        <v>37</v>
      </c>
      <c r="N24" s="55" t="s">
        <v>37</v>
      </c>
    </row>
    <row r="25" spans="1:25" ht="15" thickTop="1" thickBot="1" x14ac:dyDescent="0.6">
      <c r="A25" s="54" t="s">
        <v>33</v>
      </c>
      <c r="B25" s="51">
        <f t="shared" ref="B25:E25" si="74">C25-0.01</f>
        <v>8.4000000000000033E-2</v>
      </c>
      <c r="C25" s="51">
        <f t="shared" si="74"/>
        <v>9.4000000000000028E-2</v>
      </c>
      <c r="D25" s="51">
        <f t="shared" si="74"/>
        <v>0.10400000000000002</v>
      </c>
      <c r="E25" s="51">
        <f t="shared" si="74"/>
        <v>0.11400000000000002</v>
      </c>
      <c r="F25" s="51">
        <f>G25-0.01</f>
        <v>0.12400000000000001</v>
      </c>
      <c r="G25" s="52">
        <v>0.13400000000000001</v>
      </c>
      <c r="H25" s="50">
        <f>G25+0.01</f>
        <v>0.14400000000000002</v>
      </c>
      <c r="I25" s="50">
        <f t="shared" ref="I25:L25" si="75">H25+0.01</f>
        <v>0.15400000000000003</v>
      </c>
      <c r="J25" s="50">
        <f t="shared" si="75"/>
        <v>0.16400000000000003</v>
      </c>
      <c r="K25" s="50">
        <f t="shared" si="75"/>
        <v>0.17400000000000004</v>
      </c>
      <c r="L25" s="50">
        <f t="shared" si="75"/>
        <v>0.18400000000000005</v>
      </c>
      <c r="N25" s="54" t="s">
        <v>33</v>
      </c>
      <c r="O25" s="51">
        <f t="shared" ref="O25" si="76">P25-0.01</f>
        <v>8.4000000000000033E-2</v>
      </c>
      <c r="P25" s="51">
        <f t="shared" ref="P25" si="77">Q25-0.01</f>
        <v>9.4000000000000028E-2</v>
      </c>
      <c r="Q25" s="51">
        <f t="shared" ref="Q25" si="78">R25-0.01</f>
        <v>0.10400000000000002</v>
      </c>
      <c r="R25" s="51">
        <f t="shared" ref="R25" si="79">S25-0.01</f>
        <v>0.11400000000000002</v>
      </c>
      <c r="S25" s="51">
        <f>T25-0.01</f>
        <v>0.12400000000000001</v>
      </c>
      <c r="T25" s="52">
        <v>0.13400000000000001</v>
      </c>
      <c r="U25" s="50">
        <f>T25+0.01</f>
        <v>0.14400000000000002</v>
      </c>
      <c r="V25" s="50">
        <f t="shared" ref="V25" si="80">U25+0.01</f>
        <v>0.15400000000000003</v>
      </c>
      <c r="W25" s="50">
        <f t="shared" ref="W25" si="81">V25+0.01</f>
        <v>0.16400000000000003</v>
      </c>
      <c r="X25" s="50">
        <f t="shared" ref="X25" si="82">W25+0.01</f>
        <v>0.17400000000000004</v>
      </c>
      <c r="Y25" s="50">
        <f t="shared" ref="Y25" si="83">X25+0.01</f>
        <v>0.18400000000000005</v>
      </c>
    </row>
    <row r="26" spans="1:25" ht="15" thickTop="1" thickBot="1" x14ac:dyDescent="0.6">
      <c r="A26" s="21" t="s">
        <v>26</v>
      </c>
      <c r="B26" s="22">
        <v>7272678.1948187798</v>
      </c>
      <c r="C26" s="22">
        <v>11107769.353953622</v>
      </c>
      <c r="D26" s="22">
        <v>15082894.586325139</v>
      </c>
      <c r="E26" s="22">
        <v>19204742.552929074</v>
      </c>
      <c r="F26" s="22">
        <v>23480391.487429395</v>
      </c>
      <c r="G26" s="22">
        <v>27917335.864254795</v>
      </c>
      <c r="H26" s="22">
        <v>32523515.162896343</v>
      </c>
      <c r="I26" s="22">
        <v>37307344.914525568</v>
      </c>
      <c r="J26" s="22">
        <v>42277750.235492192</v>
      </c>
      <c r="K26" s="22">
        <v>47444202.072715744</v>
      </c>
      <c r="L26" s="22">
        <v>52816756.408704296</v>
      </c>
      <c r="N26" s="21" t="s">
        <v>26</v>
      </c>
      <c r="O26" s="49">
        <f>B26/$G$4</f>
        <v>0.26050760108992627</v>
      </c>
      <c r="P26" s="49">
        <f t="shared" ref="P26" si="84">C26/$G$4</f>
        <v>0.39788070781409873</v>
      </c>
      <c r="Q26" s="49">
        <f t="shared" ref="Q26" si="85">D26/$G$4</f>
        <v>0.54026984020481683</v>
      </c>
      <c r="R26" s="49">
        <f t="shared" ref="R26" si="86">E26/$G$4</f>
        <v>0.68791458634556613</v>
      </c>
      <c r="S26" s="49">
        <f t="shared" ref="S26" si="87">F26/$G$4</f>
        <v>0.84106848882717211</v>
      </c>
      <c r="T26" s="49">
        <f t="shared" ref="T26" si="88">G26/$G$4</f>
        <v>1</v>
      </c>
      <c r="U26" s="49">
        <f t="shared" ref="U26" si="89">H26/$G$4</f>
        <v>1.1649935123121571</v>
      </c>
      <c r="V26" s="49">
        <f t="shared" ref="V26" si="90">I26/$G$4</f>
        <v>1.3363504704004974</v>
      </c>
      <c r="W26" s="49">
        <f t="shared" ref="W26" si="91">J26/$G$4</f>
        <v>1.5143905722617463</v>
      </c>
      <c r="X26" s="49">
        <f t="shared" ref="X26" si="92">K26/$G$4</f>
        <v>1.6994530675637658</v>
      </c>
      <c r="Y26" s="49">
        <f t="shared" ref="Y26" si="93">L26/$G$4</f>
        <v>1.8918981619707698</v>
      </c>
    </row>
    <row r="27" spans="1:25" ht="15" thickTop="1" thickBot="1" x14ac:dyDescent="0.6">
      <c r="A27" s="21" t="s">
        <v>28</v>
      </c>
      <c r="B27" s="21">
        <v>3.0841379277364607</v>
      </c>
      <c r="C27" s="21">
        <v>3.0841379277364607</v>
      </c>
      <c r="D27" s="21">
        <v>3.0841379277364607</v>
      </c>
      <c r="E27" s="21">
        <v>3.0841379277364607</v>
      </c>
      <c r="F27" s="21">
        <v>3.0841379277364607</v>
      </c>
      <c r="G27" s="21">
        <v>3.0841379277364607</v>
      </c>
      <c r="H27" s="21">
        <v>3.0841379277364607</v>
      </c>
      <c r="I27" s="21">
        <v>3.0841379277364607</v>
      </c>
      <c r="J27" s="21">
        <v>3.0841379277364607</v>
      </c>
      <c r="K27" s="21">
        <v>3.0841379277364607</v>
      </c>
      <c r="L27" s="21">
        <v>3.0841379277364607</v>
      </c>
      <c r="N27" s="21" t="s">
        <v>28</v>
      </c>
      <c r="O27" s="49">
        <f>B27/$G$5</f>
        <v>1</v>
      </c>
      <c r="P27" s="49">
        <f t="shared" ref="P27" si="94">C27/$G$5</f>
        <v>1</v>
      </c>
      <c r="Q27" s="49">
        <f t="shared" ref="Q27" si="95">D27/$G$5</f>
        <v>1</v>
      </c>
      <c r="R27" s="49">
        <f t="shared" ref="R27" si="96">E27/$G$5</f>
        <v>1</v>
      </c>
      <c r="S27" s="49">
        <f t="shared" ref="S27" si="97">F27/$G$5</f>
        <v>1</v>
      </c>
      <c r="T27" s="49">
        <f t="shared" ref="T27" si="98">G27/$G$5</f>
        <v>1</v>
      </c>
      <c r="U27" s="49">
        <f t="shared" ref="U27" si="99">H27/$G$5</f>
        <v>1</v>
      </c>
      <c r="V27" s="49">
        <f t="shared" ref="V27" si="100">I27/$G$5</f>
        <v>1</v>
      </c>
      <c r="W27" s="49">
        <f t="shared" ref="W27" si="101">J27/$G$5</f>
        <v>1</v>
      </c>
      <c r="X27" s="49">
        <f t="shared" ref="X27" si="102">K27/$G$5</f>
        <v>1</v>
      </c>
      <c r="Y27" s="49">
        <f t="shared" ref="Y27" si="103">L27/$G$5</f>
        <v>1</v>
      </c>
    </row>
    <row r="28" spans="1:25" ht="15" thickTop="1" thickBot="1" x14ac:dyDescent="0.6">
      <c r="A28" s="21" t="s">
        <v>29</v>
      </c>
      <c r="B28" s="21">
        <v>3.4679504027644272</v>
      </c>
      <c r="C28" s="21">
        <v>3.4511922542125903</v>
      </c>
      <c r="D28" s="21">
        <v>3.4339417579410272</v>
      </c>
      <c r="E28" s="21">
        <v>3.4161952520273324</v>
      </c>
      <c r="F28" s="21">
        <v>3.3979504923566561</v>
      </c>
      <c r="G28" s="21">
        <v>3.3792068238357311</v>
      </c>
      <c r="H28" s="21">
        <v>3.3599653599027639</v>
      </c>
      <c r="I28" s="21">
        <v>3.3402291692610779</v>
      </c>
      <c r="J28" s="21">
        <v>3.3200034684384856</v>
      </c>
      <c r="K28" s="21">
        <v>3.2992958184145178</v>
      </c>
      <c r="L28" s="21">
        <v>3.2781163231668193</v>
      </c>
      <c r="N28" s="21" t="s">
        <v>29</v>
      </c>
      <c r="O28" s="49">
        <f>B28/$G$6</f>
        <v>1.0262616594825538</v>
      </c>
      <c r="P28" s="49">
        <f t="shared" ref="P28" si="104">C28/$G$6</f>
        <v>1.0213024636045061</v>
      </c>
      <c r="Q28" s="49">
        <f t="shared" ref="Q28" si="105">D28/$G$6</f>
        <v>1.0161975685297553</v>
      </c>
      <c r="R28" s="49">
        <f t="shared" ref="R28" si="106">E28/$G$6</f>
        <v>1.0109458905950053</v>
      </c>
      <c r="S28" s="49">
        <f t="shared" ref="S28" si="107">F28/$G$6</f>
        <v>1.0055467657051098</v>
      </c>
      <c r="T28" s="49">
        <f t="shared" ref="T28" si="108">G28/$G$6</f>
        <v>1</v>
      </c>
      <c r="U28" s="49">
        <f t="shared" ref="U28" si="109">H28/$G$6</f>
        <v>0.99430592297658593</v>
      </c>
      <c r="V28" s="49">
        <f t="shared" ref="V28" si="110">I28/$G$6</f>
        <v>0.98846544274836379</v>
      </c>
      <c r="W28" s="49">
        <f t="shared" ref="W28" si="111">J28/$G$6</f>
        <v>0.98248010302901678</v>
      </c>
      <c r="X28" s="49">
        <f t="shared" ref="X28" si="112">K28/$G$6</f>
        <v>0.97635214131980641</v>
      </c>
      <c r="Y28" s="49">
        <f t="shared" ref="Y28" si="113">L28/$G$6</f>
        <v>0.97008454766489727</v>
      </c>
    </row>
    <row r="29" spans="1:25" ht="15" thickTop="1" thickBot="1" x14ac:dyDescent="0.6">
      <c r="A29" s="21" t="s">
        <v>31</v>
      </c>
      <c r="B29" s="23">
        <v>0.20399329290068779</v>
      </c>
      <c r="C29" s="23">
        <v>0.20399329290068779</v>
      </c>
      <c r="D29" s="23">
        <v>0.20399329290068779</v>
      </c>
      <c r="E29" s="23">
        <v>0.20399329290068779</v>
      </c>
      <c r="F29" s="23">
        <v>0.20399329290068779</v>
      </c>
      <c r="G29" s="23">
        <v>0.20399329290068779</v>
      </c>
      <c r="H29" s="23">
        <v>0.20399329290068779</v>
      </c>
      <c r="I29" s="23">
        <v>0.20399329290068779</v>
      </c>
      <c r="J29" s="23">
        <v>0.20399329290068779</v>
      </c>
      <c r="K29" s="23">
        <v>0.20399329290068779</v>
      </c>
      <c r="L29" s="23">
        <v>0.20399329290068779</v>
      </c>
      <c r="N29" s="21" t="s">
        <v>31</v>
      </c>
      <c r="O29" s="49">
        <f>B29/$G$7</f>
        <v>1</v>
      </c>
      <c r="P29" s="49">
        <f t="shared" ref="P29" si="114">C29/$G$7</f>
        <v>1</v>
      </c>
      <c r="Q29" s="49">
        <f t="shared" ref="Q29" si="115">D29/$G$7</f>
        <v>1</v>
      </c>
      <c r="R29" s="49">
        <f t="shared" ref="R29" si="116">E29/$G$7</f>
        <v>1</v>
      </c>
      <c r="S29" s="49">
        <f t="shared" ref="S29" si="117">F29/$G$7</f>
        <v>1</v>
      </c>
      <c r="T29" s="49">
        <f t="shared" ref="T29" si="118">G29/$G$7</f>
        <v>1</v>
      </c>
      <c r="U29" s="49">
        <f t="shared" ref="U29" si="119">H29/$G$7</f>
        <v>1</v>
      </c>
      <c r="V29" s="49">
        <f t="shared" ref="V29" si="120">I29/$G$7</f>
        <v>1</v>
      </c>
      <c r="W29" s="49">
        <f t="shared" ref="W29" si="121">J29/$G$7</f>
        <v>1</v>
      </c>
      <c r="X29" s="49">
        <f t="shared" ref="X29" si="122">K29/$G$7</f>
        <v>1</v>
      </c>
      <c r="Y29" s="49">
        <f t="shared" ref="Y29" si="123">L29/$G$7</f>
        <v>1</v>
      </c>
    </row>
    <row r="30" spans="1:25" ht="15" thickTop="1" thickBot="1" x14ac:dyDescent="0.6">
      <c r="A30" s="21" t="s">
        <v>30</v>
      </c>
      <c r="B30" s="24">
        <v>1.0454542387176176</v>
      </c>
      <c r="C30" s="24">
        <v>1.0694235584622103</v>
      </c>
      <c r="D30" s="24">
        <v>1.0942680911645322</v>
      </c>
      <c r="E30" s="24">
        <v>1.1200296409558066</v>
      </c>
      <c r="F30" s="24">
        <v>1.1467524467964338</v>
      </c>
      <c r="G30" s="24">
        <v>1.1744833491515925</v>
      </c>
      <c r="H30" s="24">
        <v>1.203271969768102</v>
      </c>
      <c r="I30" s="24">
        <v>1.2331709057157847</v>
      </c>
      <c r="J30" s="24">
        <v>1.2642359389718261</v>
      </c>
      <c r="K30" s="24">
        <v>1.2965262629544736</v>
      </c>
      <c r="L30" s="24">
        <v>1.3301047275544018</v>
      </c>
      <c r="N30" s="21" t="s">
        <v>30</v>
      </c>
      <c r="O30" s="49">
        <f>B30/$G$8</f>
        <v>0.89013968522654563</v>
      </c>
      <c r="P30" s="49">
        <f>C30/$G$8</f>
        <v>0.91054807991507591</v>
      </c>
      <c r="Q30" s="49">
        <f t="shared" ref="Q30" si="124">D30/$G$8</f>
        <v>0.93170166435734902</v>
      </c>
      <c r="R30" s="49">
        <f t="shared" ref="R30" si="125">E30/$G$8</f>
        <v>0.9536360321880073</v>
      </c>
      <c r="S30" s="49">
        <f t="shared" ref="S30" si="126">F30/$G$8</f>
        <v>0.97638885014828813</v>
      </c>
      <c r="T30" s="49">
        <f t="shared" ref="T30" si="127">G30/$G$8</f>
        <v>1</v>
      </c>
      <c r="U30" s="49">
        <f t="shared" ref="U30" si="128">H30/$G$8</f>
        <v>1.0245117315944117</v>
      </c>
      <c r="V30" s="49">
        <f t="shared" ref="V30" si="129">I30/$G$8</f>
        <v>1.0499688280864825</v>
      </c>
      <c r="W30" s="49">
        <f t="shared" ref="W30" si="130">J30/$G$8</f>
        <v>1.0764187843829951</v>
      </c>
      <c r="X30" s="49">
        <f t="shared" ref="X30" si="131">K30/$G$8</f>
        <v>1.103912000022002</v>
      </c>
      <c r="Y30" s="49">
        <f t="shared" ref="Y30" si="132">L30/$G$8</f>
        <v>1.1325019878018918</v>
      </c>
    </row>
    <row r="31" spans="1:25" ht="14.7" thickTop="1" x14ac:dyDescent="0.55000000000000004"/>
    <row r="35" spans="1:25" ht="14.7" thickBot="1" x14ac:dyDescent="0.6"/>
    <row r="36" spans="1:25" ht="14.7" thickBot="1" x14ac:dyDescent="0.6">
      <c r="A36" s="55" t="s">
        <v>40</v>
      </c>
      <c r="N36" s="55" t="s">
        <v>40</v>
      </c>
    </row>
    <row r="37" spans="1:25" ht="15" thickTop="1" thickBot="1" x14ac:dyDescent="0.6">
      <c r="A37" s="54" t="s">
        <v>33</v>
      </c>
      <c r="B37" s="49">
        <f t="shared" ref="B37:E37" si="133">C37-0.01</f>
        <v>6.0000000000000019E-2</v>
      </c>
      <c r="C37" s="49">
        <f t="shared" si="133"/>
        <v>7.0000000000000021E-2</v>
      </c>
      <c r="D37" s="49">
        <f t="shared" si="133"/>
        <v>8.0000000000000016E-2</v>
      </c>
      <c r="E37" s="49">
        <f t="shared" si="133"/>
        <v>9.0000000000000011E-2</v>
      </c>
      <c r="F37" s="49">
        <f>G37-0.01</f>
        <v>0.1</v>
      </c>
      <c r="G37" s="49">
        <v>0.11</v>
      </c>
      <c r="H37" s="49">
        <f>G37+0.01</f>
        <v>0.12</v>
      </c>
      <c r="I37" s="49">
        <f t="shared" ref="I37:L37" si="134">H37+0.01</f>
        <v>0.13</v>
      </c>
      <c r="J37" s="49">
        <f t="shared" si="134"/>
        <v>0.14000000000000001</v>
      </c>
      <c r="K37" s="49">
        <f t="shared" si="134"/>
        <v>0.15000000000000002</v>
      </c>
      <c r="L37" s="49">
        <f t="shared" si="134"/>
        <v>0.16000000000000003</v>
      </c>
      <c r="N37" s="54" t="s">
        <v>33</v>
      </c>
      <c r="O37" s="49">
        <f t="shared" ref="O37" si="135">P37-0.01</f>
        <v>6.0000000000000019E-2</v>
      </c>
      <c r="P37" s="49">
        <f t="shared" ref="P37" si="136">Q37-0.01</f>
        <v>7.0000000000000021E-2</v>
      </c>
      <c r="Q37" s="49">
        <f t="shared" ref="Q37" si="137">R37-0.01</f>
        <v>8.0000000000000016E-2</v>
      </c>
      <c r="R37" s="49">
        <f t="shared" ref="R37" si="138">S37-0.01</f>
        <v>9.0000000000000011E-2</v>
      </c>
      <c r="S37" s="49">
        <f>T37-0.01</f>
        <v>0.1</v>
      </c>
      <c r="T37" s="49">
        <v>0.11</v>
      </c>
      <c r="U37" s="49">
        <f>T37+0.01</f>
        <v>0.12</v>
      </c>
      <c r="V37" s="49">
        <f t="shared" ref="V37" si="139">U37+0.01</f>
        <v>0.13</v>
      </c>
      <c r="W37" s="49">
        <f t="shared" ref="W37" si="140">V37+0.01</f>
        <v>0.14000000000000001</v>
      </c>
      <c r="X37" s="49">
        <f t="shared" ref="X37" si="141">W37+0.01</f>
        <v>0.15000000000000002</v>
      </c>
      <c r="Y37" s="49">
        <f t="shared" ref="Y37" si="142">X37+0.01</f>
        <v>0.16000000000000003</v>
      </c>
    </row>
    <row r="38" spans="1:25" ht="15" thickTop="1" thickBot="1" x14ac:dyDescent="0.6">
      <c r="A38" s="21" t="s">
        <v>26</v>
      </c>
      <c r="B38" s="22">
        <v>1438371.8022655025</v>
      </c>
      <c r="C38" s="22">
        <v>6734164.6146633774</v>
      </c>
      <c r="D38" s="22">
        <v>12029957.427061215</v>
      </c>
      <c r="E38" s="22">
        <v>17325750.239459038</v>
      </c>
      <c r="F38" s="22">
        <v>22621543.05185695</v>
      </c>
      <c r="G38" s="22">
        <v>27917335.864254795</v>
      </c>
      <c r="H38" s="22">
        <v>33213128.676652685</v>
      </c>
      <c r="I38" s="22">
        <v>38508921.489050582</v>
      </c>
      <c r="J38" s="22">
        <v>43804714.301448427</v>
      </c>
      <c r="K38" s="22">
        <v>49100507.113846272</v>
      </c>
      <c r="L38" s="22">
        <v>54396299.926244117</v>
      </c>
      <c r="N38" s="21" t="s">
        <v>26</v>
      </c>
      <c r="O38" s="49">
        <f>B38/$G$4</f>
        <v>5.1522530991475655E-2</v>
      </c>
      <c r="P38" s="49">
        <f t="shared" ref="P38" si="143">C38/$G$4</f>
        <v>0.24121802479318111</v>
      </c>
      <c r="Q38" s="49">
        <f t="shared" ref="Q38" si="144">D38/$G$4</f>
        <v>0.43091351859488525</v>
      </c>
      <c r="R38" s="49">
        <f t="shared" ref="R38" si="145">E38/$G$4</f>
        <v>0.62060901239658883</v>
      </c>
      <c r="S38" s="49">
        <f t="shared" ref="S38" si="146">F38/$G$4</f>
        <v>0.81030450619829564</v>
      </c>
      <c r="T38" s="49">
        <f t="shared" ref="T38" si="147">G38/$G$4</f>
        <v>1</v>
      </c>
      <c r="U38" s="49">
        <f t="shared" ref="U38" si="148">H38/$G$4</f>
        <v>1.1896954938017059</v>
      </c>
      <c r="V38" s="49">
        <f t="shared" ref="V38" si="149">I38/$G$4</f>
        <v>1.3793909876034123</v>
      </c>
      <c r="W38" s="49">
        <f t="shared" ref="W38" si="150">J38/$G$4</f>
        <v>1.5690864814051166</v>
      </c>
      <c r="X38" s="49">
        <f t="shared" ref="X38" si="151">K38/$G$4</f>
        <v>1.758781975206821</v>
      </c>
      <c r="Y38" s="49">
        <f t="shared" ref="Y38" si="152">L38/$G$4</f>
        <v>1.9484774690085254</v>
      </c>
    </row>
    <row r="39" spans="1:25" ht="15" thickTop="1" thickBot="1" x14ac:dyDescent="0.6">
      <c r="A39" s="21" t="s">
        <v>28</v>
      </c>
      <c r="B39" s="21">
        <v>3.2559575729383425</v>
      </c>
      <c r="C39" s="21">
        <v>3.2249193992572907</v>
      </c>
      <c r="D39" s="21">
        <v>3.1923420411636583</v>
      </c>
      <c r="E39" s="21">
        <v>3.158108095303513</v>
      </c>
      <c r="F39" s="21">
        <v>3.1220879066887588</v>
      </c>
      <c r="G39" s="21">
        <v>3.0841379277364607</v>
      </c>
      <c r="H39" s="21">
        <v>3.044098806304012</v>
      </c>
      <c r="I39" s="21">
        <v>3.0017931490266081</v>
      </c>
      <c r="J39" s="21">
        <v>2.47653798273751</v>
      </c>
      <c r="K39" s="21">
        <v>2.4513136993306563</v>
      </c>
      <c r="L39" s="21">
        <v>2.4252822262147293</v>
      </c>
      <c r="N39" s="21" t="s">
        <v>28</v>
      </c>
      <c r="O39" s="49">
        <f>B39/$G$5</f>
        <v>1.0557107526406853</v>
      </c>
      <c r="P39" s="49">
        <f t="shared" ref="P39" si="153">C39/$G$5</f>
        <v>1.0456469440794931</v>
      </c>
      <c r="Q39" s="49">
        <f t="shared" ref="Q39" si="154">D39/$G$5</f>
        <v>1.0350840708043858</v>
      </c>
      <c r="R39" s="49">
        <f t="shared" ref="R39" si="155">E39/$G$5</f>
        <v>1.0239840659854473</v>
      </c>
      <c r="S39" s="49">
        <f t="shared" ref="S39" si="156">F39/$G$5</f>
        <v>1.0123048903264034</v>
      </c>
      <c r="T39" s="49">
        <f t="shared" ref="T39" si="157">G39/$G$5</f>
        <v>1</v>
      </c>
      <c r="U39" s="49">
        <f t="shared" ref="U39" si="158">H39/$G$5</f>
        <v>0.98701772671307386</v>
      </c>
      <c r="V39" s="49">
        <f t="shared" ref="V39" si="159">I39/$G$5</f>
        <v>0.97330055249173375</v>
      </c>
      <c r="W39" s="49">
        <f t="shared" ref="W39" si="160">J39/$G$5</f>
        <v>0.80299196753340862</v>
      </c>
      <c r="X39" s="49">
        <f t="shared" ref="X39" si="161">K39/$G$5</f>
        <v>0.79481325309265505</v>
      </c>
      <c r="Y39" s="49">
        <f t="shared" ref="Y39" si="162">L39/$G$5</f>
        <v>0.78637281569139006</v>
      </c>
    </row>
    <row r="40" spans="1:25" ht="15" thickTop="1" thickBot="1" x14ac:dyDescent="0.6">
      <c r="A40" s="21" t="s">
        <v>29</v>
      </c>
      <c r="B40" s="21">
        <v>3.4944987944204255</v>
      </c>
      <c r="C40" s="21">
        <v>3.4736323793523551</v>
      </c>
      <c r="D40" s="21">
        <v>3.45175001730055</v>
      </c>
      <c r="E40" s="21">
        <v>3.428775660085936</v>
      </c>
      <c r="F40" s="21">
        <v>3.4046254752376219</v>
      </c>
      <c r="G40" s="21">
        <v>3.3792068238357311</v>
      </c>
      <c r="H40" s="21">
        <v>3.3524170729466571</v>
      </c>
      <c r="I40" s="21">
        <v>3.3241422105574876</v>
      </c>
      <c r="J40" s="21">
        <v>3.2942552235969922</v>
      </c>
      <c r="K40" s="21">
        <v>3.2626141903781822</v>
      </c>
      <c r="L40" s="21">
        <v>3.2290600270276251</v>
      </c>
      <c r="N40" s="21" t="s">
        <v>29</v>
      </c>
      <c r="O40" s="49">
        <f>B40/$G$6</f>
        <v>1.0341180568680985</v>
      </c>
      <c r="P40" s="49">
        <f t="shared" ref="P40" si="163">C40/$G$6</f>
        <v>1.0279431122269815</v>
      </c>
      <c r="Q40" s="49">
        <f t="shared" ref="Q40" si="164">D40/$G$6</f>
        <v>1.0214675210031907</v>
      </c>
      <c r="R40" s="49">
        <f t="shared" ref="R40" si="165">E40/$G$6</f>
        <v>1.0146687784543296</v>
      </c>
      <c r="S40" s="49">
        <f t="shared" ref="S40" si="166">F40/$G$6</f>
        <v>1.007522076252509</v>
      </c>
      <c r="T40" s="49">
        <f t="shared" ref="T40" si="167">G40/$G$6</f>
        <v>1</v>
      </c>
      <c r="U40" s="49">
        <f t="shared" ref="U40" si="168">H40/$G$6</f>
        <v>0.99207217779624834</v>
      </c>
      <c r="V40" s="49">
        <f t="shared" ref="V40" si="169">I40/$G$6</f>
        <v>0.9837048703589738</v>
      </c>
      <c r="W40" s="49">
        <f t="shared" ref="W40" si="170">J40/$G$6</f>
        <v>0.97486049103608563</v>
      </c>
      <c r="X40" s="49">
        <f t="shared" ref="X40" si="171">K40/$G$6</f>
        <v>0.96549704130710623</v>
      </c>
      <c r="Y40" s="49">
        <f t="shared" ref="Y40" si="172">L40/$G$6</f>
        <v>0.95556744388978399</v>
      </c>
    </row>
    <row r="41" spans="1:25" ht="15" thickTop="1" thickBot="1" x14ac:dyDescent="0.6">
      <c r="A41" s="21" t="s">
        <v>31</v>
      </c>
      <c r="B41" s="23">
        <v>0.13765198355740726</v>
      </c>
      <c r="C41" s="23">
        <v>0.15105287595878703</v>
      </c>
      <c r="D41" s="23">
        <v>0.16438501089195157</v>
      </c>
      <c r="E41" s="23">
        <v>0.17765088905997639</v>
      </c>
      <c r="F41" s="23">
        <v>0.19085289276824002</v>
      </c>
      <c r="G41" s="23">
        <v>0.20399329290068779</v>
      </c>
      <c r="H41" s="23">
        <v>0.21707425540840397</v>
      </c>
      <c r="I41" s="23">
        <v>0.23009784734918104</v>
      </c>
      <c r="J41" s="23">
        <v>0.24306604251343189</v>
      </c>
      <c r="K41" s="23">
        <v>0.25598072666875682</v>
      </c>
      <c r="L41" s="23">
        <v>0.26884370245270439</v>
      </c>
      <c r="N41" s="21" t="s">
        <v>31</v>
      </c>
      <c r="O41" s="49">
        <f>B41/$G$7</f>
        <v>0.67478681088020787</v>
      </c>
      <c r="P41" s="49">
        <f t="shared" ref="P41" si="173">C41/$G$7</f>
        <v>0.74047961975066356</v>
      </c>
      <c r="Q41" s="49">
        <f t="shared" ref="Q41" si="174">D41/$G$7</f>
        <v>0.80583537112654413</v>
      </c>
      <c r="R41" s="49">
        <f t="shared" ref="R41" si="175">E41/$G$7</f>
        <v>0.87086632375930151</v>
      </c>
      <c r="S41" s="49">
        <f t="shared" ref="S41" si="176">F41/$G$7</f>
        <v>0.93558415600043743</v>
      </c>
      <c r="T41" s="49">
        <f t="shared" ref="T41" si="177">G41/$G$7</f>
        <v>1</v>
      </c>
      <c r="U41" s="49">
        <f t="shared" ref="U41" si="178">H41/$G$7</f>
        <v>1.0641244735143549</v>
      </c>
      <c r="V41" s="49">
        <f t="shared" ref="V41" si="179">I41/$G$7</f>
        <v>1.1279677095128906</v>
      </c>
      <c r="W41" s="49">
        <f t="shared" ref="W41" si="180">J41/$G$7</f>
        <v>1.1915393837569273</v>
      </c>
      <c r="X41" s="49">
        <f t="shared" ref="X41" si="181">K41/$G$7</f>
        <v>1.2548487405092217</v>
      </c>
      <c r="Y41" s="49">
        <f t="shared" ref="Y41" si="182">L41/$G$7</f>
        <v>1.3179046165188795</v>
      </c>
    </row>
    <row r="42" spans="1:25" ht="15" thickTop="1" thickBot="1" x14ac:dyDescent="0.6">
      <c r="A42" s="21" t="s">
        <v>30</v>
      </c>
      <c r="B42" s="24">
        <v>1.0089898237641592</v>
      </c>
      <c r="C42" s="24">
        <v>1.0420885288416459</v>
      </c>
      <c r="D42" s="24">
        <v>1.0751872339191324</v>
      </c>
      <c r="E42" s="24">
        <v>1.1082859389966191</v>
      </c>
      <c r="F42" s="24">
        <v>1.1413846440741058</v>
      </c>
      <c r="G42" s="24">
        <v>1.1744833491515925</v>
      </c>
      <c r="H42" s="24">
        <v>1.2075820542290792</v>
      </c>
      <c r="I42" s="24">
        <v>1.2406807593065661</v>
      </c>
      <c r="J42" s="24">
        <v>1.2737794643840525</v>
      </c>
      <c r="K42" s="24">
        <v>1.3068781694615392</v>
      </c>
      <c r="L42" s="24">
        <v>1.3399768745390257</v>
      </c>
      <c r="N42" s="21" t="s">
        <v>30</v>
      </c>
      <c r="O42" s="49">
        <f>B42/$G$8</f>
        <v>0.85909248904466784</v>
      </c>
      <c r="P42" s="49">
        <f>C42/$G$8</f>
        <v>0.88727399123573436</v>
      </c>
      <c r="Q42" s="49">
        <f t="shared" ref="Q42" si="183">D42/$G$8</f>
        <v>0.91545549342680055</v>
      </c>
      <c r="R42" s="49">
        <f t="shared" ref="R42" si="184">E42/$G$8</f>
        <v>0.94363699561786707</v>
      </c>
      <c r="S42" s="49">
        <f t="shared" ref="S42" si="185">F42/$G$8</f>
        <v>0.97181849780893348</v>
      </c>
      <c r="T42" s="49">
        <f t="shared" ref="T42" si="186">G42/$G$8</f>
        <v>1</v>
      </c>
      <c r="U42" s="49">
        <f t="shared" ref="U42" si="187">H42/$G$8</f>
        <v>1.0281815021910665</v>
      </c>
      <c r="V42" s="49">
        <f t="shared" ref="V42" si="188">I42/$G$8</f>
        <v>1.056363004382133</v>
      </c>
      <c r="W42" s="49">
        <f t="shared" ref="W42" si="189">J42/$G$8</f>
        <v>1.0845445065731993</v>
      </c>
      <c r="X42" s="49">
        <f t="shared" ref="X42" si="190">K42/$G$8</f>
        <v>1.1127260087642659</v>
      </c>
      <c r="Y42" s="49">
        <f t="shared" ref="Y42" si="191">L42/$G$8</f>
        <v>1.1409075109553322</v>
      </c>
    </row>
    <row r="43" spans="1:25" ht="14.7" thickTop="1" x14ac:dyDescent="0.55000000000000004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FLUXO DE CAIXA</vt:lpstr>
      <vt:lpstr>Analise de Sensibilidade</vt:lpstr>
      <vt:lpstr>Bases para 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Kligerman</dc:creator>
  <cp:lastModifiedBy>Alan Kligerman</cp:lastModifiedBy>
  <dcterms:created xsi:type="dcterms:W3CDTF">2022-03-27T20:20:34Z</dcterms:created>
  <dcterms:modified xsi:type="dcterms:W3CDTF">2022-03-30T02:20:01Z</dcterms:modified>
</cp:coreProperties>
</file>