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rcos.aguiar\Downloads\"/>
    </mc:Choice>
  </mc:AlternateContent>
  <xr:revisionPtr revIDLastSave="0" documentId="13_ncr:1_{AA33C6AD-5855-4F5D-A854-1C57C34C7A43}" xr6:coauthVersionLast="47" xr6:coauthVersionMax="47" xr10:uidLastSave="{00000000-0000-0000-0000-000000000000}"/>
  <bookViews>
    <workbookView xWindow="-108" yWindow="-108" windowWidth="23256" windowHeight="12456" tabRatio="698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3" hidden="1">Vendas!$C$4:$E$86</definedName>
    <definedName name="dsc_categoria">'Cadastros Auxiliares'!$B$8:$E$8</definedName>
    <definedName name="dsc_qtde">'Cadastros Auxiliares'!$B$8:$B$13</definedName>
    <definedName name="Int_Nome_Produtos">#REF!</definedName>
    <definedName name="Int_Quantidade">#REF!</definedName>
    <definedName name="tb_desconto">'Cadastros Auxiliares'!$B$8:$E$13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4" l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I60" i="16" s="1" a="1"/>
  <c r="I60" i="16" s="1"/>
  <c r="H61" i="16"/>
  <c r="H62" i="16"/>
  <c r="H63" i="16"/>
  <c r="H64" i="16"/>
  <c r="H65" i="16"/>
  <c r="H66" i="16"/>
  <c r="H67" i="16"/>
  <c r="H68" i="16"/>
  <c r="H69" i="16"/>
  <c r="H70" i="16"/>
  <c r="H71" i="16"/>
  <c r="H72" i="16"/>
  <c r="I72" i="16" s="1" a="1"/>
  <c r="I72" i="16" s="1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G5" i="16"/>
  <c r="G6" i="16"/>
  <c r="G7" i="16"/>
  <c r="I7" i="16" s="1" a="1"/>
  <c r="I7" i="16" s="1"/>
  <c r="G8" i="16"/>
  <c r="I8" i="16" s="1" a="1"/>
  <c r="I8" i="16" s="1"/>
  <c r="G9" i="16"/>
  <c r="G10" i="16"/>
  <c r="G11" i="16"/>
  <c r="G12" i="16"/>
  <c r="G13" i="16"/>
  <c r="G14" i="16"/>
  <c r="G15" i="16"/>
  <c r="G16" i="16"/>
  <c r="G17" i="16"/>
  <c r="G18" i="16"/>
  <c r="G19" i="16"/>
  <c r="I19" i="16" s="1" a="1"/>
  <c r="I19" i="16" s="1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I67" i="16" s="1" a="1"/>
  <c r="I67" i="16" s="1"/>
  <c r="G68" i="16"/>
  <c r="G69" i="16"/>
  <c r="G70" i="16"/>
  <c r="G71" i="16"/>
  <c r="G72" i="16"/>
  <c r="G73" i="16"/>
  <c r="G74" i="16"/>
  <c r="G75" i="16"/>
  <c r="G76" i="16"/>
  <c r="G77" i="16"/>
  <c r="G78" i="16"/>
  <c r="G79" i="16"/>
  <c r="I79" i="16" s="1" a="1"/>
  <c r="I79" i="16" s="1"/>
  <c r="G80" i="16"/>
  <c r="G81" i="16"/>
  <c r="G82" i="16"/>
  <c r="G83" i="16"/>
  <c r="G84" i="16"/>
  <c r="G85" i="16"/>
  <c r="G86" i="16"/>
  <c r="I31" i="16" a="1"/>
  <c r="I31" i="16" s="1"/>
  <c r="I55" i="16" a="1"/>
  <c r="I55" i="16" s="1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I54" i="16" l="1" a="1"/>
  <c r="I54" i="16" s="1"/>
  <c r="I42" i="16" a="1"/>
  <c r="I42" i="16" s="1"/>
  <c r="I48" i="16" a="1"/>
  <c r="I48" i="16" s="1"/>
  <c r="I78" i="16" a="1"/>
  <c r="I78" i="16" s="1"/>
  <c r="I18" i="16" a="1"/>
  <c r="I18" i="16" s="1"/>
  <c r="I30" i="16" a="1"/>
  <c r="I30" i="16" s="1"/>
  <c r="I41" i="16" a="1"/>
  <c r="I41" i="16" s="1"/>
  <c r="I66" i="16" a="1"/>
  <c r="I66" i="16" s="1"/>
  <c r="I53" i="16" a="1"/>
  <c r="I53" i="16" s="1"/>
  <c r="I6" i="16" a="1"/>
  <c r="I6" i="16" s="1"/>
  <c r="I17" i="16" a="1"/>
  <c r="I17" i="16" s="1"/>
  <c r="I43" i="16" a="1"/>
  <c r="I43" i="16" s="1"/>
  <c r="I20" i="16" a="1"/>
  <c r="I20" i="16" s="1"/>
  <c r="I32" i="16" a="1"/>
  <c r="I32" i="16" s="1"/>
  <c r="I44" i="16" a="1"/>
  <c r="I44" i="16" s="1"/>
  <c r="I56" i="16" a="1"/>
  <c r="I56" i="16" s="1"/>
  <c r="I68" i="16" a="1"/>
  <c r="I68" i="16" s="1"/>
  <c r="I80" i="16" a="1"/>
  <c r="I80" i="16" s="1"/>
  <c r="I58" i="16" a="1"/>
  <c r="I58" i="16" s="1"/>
  <c r="I22" i="16" a="1"/>
  <c r="I22" i="16" s="1"/>
  <c r="I47" i="16" a="1"/>
  <c r="I47" i="16" s="1"/>
  <c r="I70" i="16" a="1"/>
  <c r="I70" i="16" s="1"/>
  <c r="I23" i="16" a="1"/>
  <c r="I23" i="16" s="1"/>
  <c r="I83" i="16" a="1"/>
  <c r="I83" i="16" s="1"/>
  <c r="I5" i="16" a="1"/>
  <c r="I5" i="16" s="1"/>
  <c r="I29" i="16" a="1"/>
  <c r="I29" i="16" s="1"/>
  <c r="I65" i="16" a="1"/>
  <c r="I65" i="16" s="1"/>
  <c r="I77" i="16" a="1"/>
  <c r="I77" i="16" s="1"/>
  <c r="I46" i="16" a="1"/>
  <c r="I46" i="16" s="1"/>
  <c r="I59" i="16" a="1"/>
  <c r="I59" i="16" s="1"/>
  <c r="I10" i="16" a="1"/>
  <c r="I10" i="16" s="1"/>
  <c r="I82" i="16" a="1"/>
  <c r="I82" i="16" s="1"/>
  <c r="I35" i="16" a="1"/>
  <c r="I35" i="16" s="1"/>
  <c r="I36" i="16" a="1"/>
  <c r="I36" i="16" s="1"/>
  <c r="I24" i="16" a="1"/>
  <c r="I24" i="16" s="1"/>
  <c r="I12" i="16" a="1"/>
  <c r="I12" i="16" s="1"/>
  <c r="I34" i="16" a="1"/>
  <c r="I34" i="16" s="1"/>
  <c r="I11" i="16" a="1"/>
  <c r="I11" i="16" s="1"/>
  <c r="I71" i="16" a="1"/>
  <c r="I71" i="16" s="1"/>
  <c r="I84" i="16" a="1"/>
  <c r="I84" i="16" s="1"/>
  <c r="I76" i="16" a="1"/>
  <c r="I76" i="16" s="1"/>
  <c r="I75" i="16" a="1"/>
  <c r="I75" i="16" s="1"/>
  <c r="I86" i="16" a="1"/>
  <c r="I86" i="16" s="1"/>
  <c r="I74" i="16" a="1"/>
  <c r="I74" i="16" s="1"/>
  <c r="I62" i="16" a="1"/>
  <c r="I62" i="16" s="1"/>
  <c r="I50" i="16" a="1"/>
  <c r="I50" i="16" s="1"/>
  <c r="I38" i="16" a="1"/>
  <c r="I38" i="16" s="1"/>
  <c r="I26" i="16" a="1"/>
  <c r="I26" i="16" s="1"/>
  <c r="I14" i="16" a="1"/>
  <c r="I14" i="16" s="1"/>
  <c r="I39" i="16" a="1"/>
  <c r="I39" i="16" s="1"/>
  <c r="I27" i="16" a="1"/>
  <c r="I27" i="16" s="1"/>
  <c r="I61" i="16" a="1"/>
  <c r="I61" i="16" s="1"/>
  <c r="I25" i="16" a="1"/>
  <c r="I25" i="16" s="1"/>
  <c r="I81" i="16" a="1"/>
  <c r="I81" i="16" s="1"/>
  <c r="I69" i="16" a="1"/>
  <c r="I69" i="16" s="1"/>
  <c r="I57" i="16" a="1"/>
  <c r="I57" i="16" s="1"/>
  <c r="I45" i="16" a="1"/>
  <c r="I45" i="16" s="1"/>
  <c r="I33" i="16" a="1"/>
  <c r="I33" i="16" s="1"/>
  <c r="I21" i="16" a="1"/>
  <c r="I21" i="16" s="1"/>
  <c r="I9" i="16" a="1"/>
  <c r="I9" i="16" s="1"/>
  <c r="I40" i="16" a="1"/>
  <c r="I40" i="16" s="1"/>
  <c r="I16" i="16" a="1"/>
  <c r="I16" i="16" s="1"/>
  <c r="I63" i="16" a="1"/>
  <c r="I63" i="16" s="1"/>
  <c r="I15" i="16" a="1"/>
  <c r="I15" i="16" s="1"/>
  <c r="I85" i="16" a="1"/>
  <c r="I85" i="16" s="1"/>
  <c r="I64" i="16" a="1"/>
  <c r="I64" i="16" s="1"/>
  <c r="I52" i="16" a="1"/>
  <c r="I52" i="16" s="1"/>
  <c r="I28" i="16" a="1"/>
  <c r="I28" i="16" s="1"/>
  <c r="I51" i="16" a="1"/>
  <c r="I51" i="16" s="1"/>
  <c r="I73" i="16" a="1"/>
  <c r="I73" i="16" s="1"/>
  <c r="I49" i="16" a="1"/>
  <c r="I49" i="16" s="1"/>
  <c r="I37" i="16" a="1"/>
  <c r="I37" i="16" s="1"/>
  <c r="I13" i="16" a="1"/>
  <c r="I13" i="16" s="1"/>
  <c r="F7" i="24" l="1"/>
  <c r="C8" i="24"/>
  <c r="C7" i="24"/>
  <c r="C11" i="24"/>
  <c r="C10" i="24"/>
  <c r="C9" i="24"/>
  <c r="C13" i="24" s="1"/>
  <c r="C12" i="24" l="1" a="1"/>
  <c r="C12" i="24" s="1"/>
  <c r="F9" i="24"/>
  <c r="L68" i="16" l="1"/>
  <c r="L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5" i="16" l="1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<sst xmlns="http://schemas.openxmlformats.org/spreadsheetml/2006/main" count="499" uniqueCount="173">
  <si>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</si>
  <si>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</si>
  <si>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</si>
  <si>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</si>
  <si>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</si>
  <si>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</si>
  <si>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</si>
  <si>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</si>
  <si>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</si>
  <si>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</si>
  <si>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</si>
  <si>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</si>
  <si>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</si>
  <si>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</si>
  <si>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</si>
  <si>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</si>
  <si>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</si>
  <si>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</si>
  <si>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</si>
  <si>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</si>
  <si>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</si>
  <si>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</si>
  <si>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</si>
  <si>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</si>
  <si>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</si>
  <si>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</si>
  <si>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</si>
  <si>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</si>
  <si>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</si>
  <si>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</si>
  <si>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</si>
  <si>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</si>
  <si>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</si>
  <si>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</si>
  <si>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</si>
  <si>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</si>
  <si>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</si>
  <si>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</si>
  <si>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</si>
  <si>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</si>
  <si>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</si>
  <si>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</si>
  <si>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</si>
  <si>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</si>
  <si>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</si>
  <si>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</si>
  <si>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</si>
  <si>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</si>
  <si>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</si>
  <si>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</si>
  <si>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</si>
  <si>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</si>
  <si>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</si>
  <si>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</si>
  <si>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</si>
  <si>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</si>
  <si>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</si>
  <si>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</si>
  <si>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</si>
  <si>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</si>
  <si>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</si>
  <si>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</si>
  <si>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</si>
  <si>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</si>
  <si>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</si>
  <si>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</si>
  <si>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</si>
  <si>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</si>
  <si>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</si>
  <si>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</si>
  <si>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</si>
  <si>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</si>
  <si>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</si>
  <si>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</si>
  <si>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</si>
  <si>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</si>
  <si>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</si>
  <si>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</si>
  <si>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</si>
  <si>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</si>
  <si>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</si>
  <si>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</si>
  <si>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</si>
  <si>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</si>
  <si>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</si>
  <si>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</si>
  <si>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</si>
  <si>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</si>
  <si>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</si>
  <si>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</si>
  <si>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</si>
  <si>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</si>
  <si>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</si>
  <si>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</si>
  <si>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</si>
  <si>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</si>
  <si>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</si>
  <si>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</si>
  <si>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</si>
  <si>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</si>
  <si>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</si>
  <si>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</si>
  <si>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</si>
  <si>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</si>
  <si>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</si>
  <si>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</si>
  <si>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</si>
  <si>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</si>
  <si>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</si>
  <si>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</si>
  <si>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</si>
  <si>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</si>
  <si>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</si>
  <si>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</si>
  <si>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</si>
  <si>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</si>
  <si>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</si>
  <si>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</si>
  <si>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</si>
  <si>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</si>
  <si>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</si>
  <si>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</si>
  <si>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</si>
  <si>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</si>
  <si>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</si>
  <si>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</si>
  <si>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</si>
  <si>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</si>
  <si>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</si>
  <si>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</si>
  <si>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</si>
  <si>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</si>
  <si>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</si>
  <si>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</si>
  <si>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</si>
  <si>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</si>
  <si>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</si>
  <si>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</si>
  <si>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</si>
  <si>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</si>
  <si>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</si>
  <si>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</si>
  <si>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</si>
  <si>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</si>
  <si>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</si>
  <si>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</si>
  <si>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</si>
  <si>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</si>
  <si>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</si>
  <si>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</si>
  <si>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</si>
  <si>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</si>
  <si>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</si>
  <si>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</si>
  <si>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</si>
  <si>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</si>
  <si>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</si>
  <si>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</si>
  <si>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</si>
  <si>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</si>
  <si>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</si>
  <si>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</si>
  <si>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</si>
  <si>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</si>
  <si>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</si>
  <si>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</si>
  <si>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</si>
  <si>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Mínimo:</t>
  </si>
  <si>
    <t>Estoque Mínimo</t>
  </si>
  <si>
    <t>Linha</t>
  </si>
  <si>
    <t>Coluna</t>
  </si>
  <si>
    <t>Desc. Vendedor</t>
  </si>
  <si>
    <t>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</si>
</sst>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0" fontId="17" fillId="2" borderId="13" xfId="3" applyFont="1" applyFill="1" applyBorder="1" applyAlignment="1">
      <alignment horizontal="right"/>
    </xf>
    <xf numFmtId="0" fontId="1" fillId="0" borderId="0" xfId="0" applyFont="1"/>
    <xf numFmtId="0" fontId="26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12</xdr:col>
      <xdr:colOff>369569</xdr:colOff>
      <xdr:row>0</xdr:row>
      <xdr:rowOff>85725</xdr:rowOff>
    </xdr:from>
    <xdr:to>
      <xdr:col>12</xdr:col>
      <xdr:colOff>1085849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11</xdr:col>
      <xdr:colOff>74295</xdr:colOff>
      <xdr:row>0</xdr:row>
      <xdr:rowOff>85725</xdr:rowOff>
    </xdr:from>
    <xdr:to>
      <xdr:col>11</xdr:col>
      <xdr:colOff>1095375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10</xdr:col>
      <xdr:colOff>661988</xdr:colOff>
      <xdr:row>0</xdr:row>
      <xdr:rowOff>85725</xdr:rowOff>
    </xdr:from>
    <xdr:to>
      <xdr:col>10</xdr:col>
      <xdr:colOff>1673543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1114425</xdr:colOff>
      <xdr:row>0</xdr:row>
      <xdr:rowOff>85725</xdr:rowOff>
    </xdr:from>
    <xdr:to>
      <xdr:col>10</xdr:col>
      <xdr:colOff>569595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0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19"/>
    <tableColumn id="2" xr3:uid="{E100D4E2-C3A0-43FF-A1D9-90A4BC2A9918}" name="Produtos"/>
    <tableColumn id="3" xr3:uid="{2EF7FEE0-6B6F-4534-86A0-46B6555B7BEF}" name="Tamanho" dataDxfId="18"/>
    <tableColumn id="4" xr3:uid="{4435A4B8-E7F0-4D66-A4F8-6A9FEAA36D5A}" name="Categoria"/>
    <tableColumn id="6" xr3:uid="{15F9CACC-A558-4A20-80CF-C2ADA2603221}" name="Estoque" dataDxfId="17"/>
    <tableColumn id="5" xr3:uid="{CA8AD0DE-58EC-4839-85FB-1DD75DA28087}" name="Preço Unitário" dataDxfId="1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M86" totalsRowShown="0" headerRowDxfId="15" dataDxfId="14" headerRowCellStyle="Cabeçalho Meteora">
  <autoFilter ref="A4:M86" xr:uid="{AD739091-30BD-4C30-BDDA-7504C0C4B6E2}"/>
  <tableColumns count="13">
    <tableColumn id="7" xr3:uid="{5E8DE7C3-CDB6-4314-A5CC-C44D3C21973F}" name="Nº" dataDxfId="13">
      <calculatedColumnFormula>MONTH(TB_Vendas[[#This Row],[Data]])</calculatedColumnFormula>
    </tableColumn>
    <tableColumn id="10" xr3:uid="{BD1ABB49-B48B-4C50-A034-45488FDC03A8}" name="Mês" dataDxfId="12">
      <calculatedColumnFormula>PROPER(TEXT(DATE(,TB_Vendas[[#This Row],[Nº]],1),"Mmm"))</calculatedColumnFormula>
    </tableColumn>
    <tableColumn id="1" xr3:uid="{43632F1F-6978-4CE7-BB13-7CCE587D6821}" name="Data" dataDxfId="11"/>
    <tableColumn id="12" xr3:uid="{205A55AB-454E-4288-AE23-042C3C399E7A}" name="Código" dataDxfId="10"/>
    <tableColumn id="5" xr3:uid="{7DC2ADED-AF8A-4BC8-A38E-FEF676FE49C9}" name="Qtd" dataDxfId="9"/>
    <tableColumn id="9" xr3:uid="{05B7315B-2774-41BC-AFEC-4A19E452D6C7}" name="Preço Unitário" dataDxfId="6">
      <calculatedColumnFormula>_xlfn.XLOOKUP(TB_Vendas[[#This Row],[Código]],TB_Produtos[Código],TB_Produtos[Preço Unitário],0,0)</calculatedColumnFormula>
    </tableColumn>
    <tableColumn id="4" xr3:uid="{3F2DA701-B591-4A3E-9E20-E328DF316992}" name="Linha" dataDxfId="4">
      <calculatedColumnFormula>MATCH(TB_Vendas[[#This Row],[Qtd]],dsc_qtde,1)</calculatedColumnFormula>
    </tableColumn>
    <tableColumn id="3" xr3:uid="{91D12571-D57E-4929-9DDE-F451622FD881}" name="Coluna" dataDxfId="3">
      <calculatedColumnFormula>MATCH(_xlfn.XLOOKUP(TB_Vendas[[#This Row],[Código]],TB_Produtos[Código],TB_Produtos[Categoria]),dsc_categoria,0)</calculatedColumnFormula>
    </tableColumn>
    <tableColumn id="2" xr3:uid="{4BEBDE19-FA81-4412-AC83-E0AE6998A9B4}" name="Desc." dataDxfId="5" dataCellStyle="Porcentagem">
      <calculatedColumnFormula array="1">INDEX(tb_desconto,TB_Vendas[[#This Row],[Linha]],TB_Vendas[[#This Row],[Coluna]])</calculatedColumnFormula>
    </tableColumn>
    <tableColumn id="13" xr3:uid="{699E192A-87B0-4BA9-B1C6-A640791249A1}" name="Desc. Vendedor" dataDxfId="2" dataCellStyle="Porcentagem">
      <calculatedColumnFormula>_xlfn.XLOOKUP(TB_Vendas[[#This Row],[Vendedor]],Vendedores!$A$5:$A$9,Vendedores!$D$5:$D$9)</calculatedColumnFormula>
    </tableColumn>
    <tableColumn id="14" xr3:uid="{097AA06C-B021-45EF-AF8E-CC1B33663784}" name="Desconto" dataDxfId="0" dataCellStyle="Porcentagem">
      <calculatedColumnFormula>IF(TB_Vendas[[#This Row],[Desc. Vendedor]]&gt;TB_Vendas[[#This Row],[Desc.]],TB_Vendas[[#This Row],[Desc.]],TB_Vendas[[#This Row],[Desc. Vendedor]])</calculatedColumnFormula>
    </tableColumn>
    <tableColumn id="6" xr3:uid="{9459B662-6A4F-4486-82B1-12F67B8F842E}" name="Total" dataDxfId="8">
      <calculatedColumnFormula>TB_Vendas[[#This Row],[Preço Unitário]]*TB_Vendas[[#This Row],[Qtd]]</calculatedColumnFormula>
    </tableColumn>
    <tableColumn id="8" xr3:uid="{192FEBCA-1287-48A6-9BE6-69528F71C305}" name="Vendedor" dataDxfId="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tabSelected="1" workbookViewId="0">
      <selection activeCell="J14" sqref="J14"/>
    </sheetView>
  </sheetViews>
  <sheetFormatPr defaultColWidth="0" defaultRowHeight="14.4" zeroHeight="1"/>
  <cols>
    <col min="1" max="5" width="8.88671875" style="40" customWidth="1"/>
    <col min="6" max="12" width="8.88671875" customWidth="1"/>
    <col min="13" max="16384" width="8.88671875" hidden="1"/>
  </cols>
  <sheetData>
    <row r="1" spans="1:12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</row>
    <row r="2" spans="1:12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pans="1:12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</row>
    <row r="4" spans="1:12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</row>
    <row r="5" spans="1:12">
      <c r="A5" s="80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</row>
    <row r="6" spans="1:12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</row>
    <row r="7" spans="1:12">
      <c r="F7" s="40"/>
      <c r="G7" s="40"/>
      <c r="H7" s="40"/>
      <c r="I7" s="40"/>
      <c r="J7" s="40"/>
      <c r="K7" s="40"/>
      <c r="L7" s="40"/>
    </row>
    <row r="8" spans="1:12">
      <c r="F8" s="40"/>
      <c r="G8" s="40"/>
      <c r="H8" s="40"/>
      <c r="I8" s="40"/>
      <c r="J8" s="40"/>
      <c r="K8" s="40"/>
      <c r="L8" s="40"/>
    </row>
    <row r="9" spans="1:12">
      <c r="F9" s="40"/>
      <c r="G9" s="40"/>
      <c r="H9" s="40"/>
      <c r="I9" s="40"/>
      <c r="J9" s="40"/>
      <c r="K9" s="40"/>
      <c r="L9" s="40"/>
    </row>
    <row r="10" spans="1:12">
      <c r="F10" s="40"/>
      <c r="G10" s="40"/>
      <c r="H10" s="40"/>
      <c r="I10" s="40"/>
      <c r="J10" s="40"/>
      <c r="K10" s="40"/>
      <c r="L10" s="40"/>
    </row>
    <row r="11" spans="1:12">
      <c r="F11" s="40"/>
      <c r="G11" s="40"/>
      <c r="H11" s="40"/>
      <c r="I11" s="40"/>
      <c r="J11" s="40"/>
      <c r="K11" s="40"/>
      <c r="L11" s="40"/>
    </row>
    <row r="12" spans="1:12">
      <c r="F12" s="40"/>
      <c r="G12" s="40"/>
      <c r="H12" s="40"/>
      <c r="I12" s="40"/>
      <c r="J12" s="40"/>
      <c r="K12" s="40"/>
      <c r="L12" s="40"/>
    </row>
    <row r="13" spans="1:12">
      <c r="F13" s="40"/>
      <c r="G13" s="40"/>
      <c r="H13" s="40"/>
      <c r="I13" s="40"/>
      <c r="J13" s="40"/>
      <c r="K13" s="40"/>
      <c r="L13" s="40"/>
    </row>
    <row r="14" spans="1:12">
      <c r="F14" s="40"/>
      <c r="G14" s="40"/>
      <c r="H14" s="40"/>
      <c r="I14" s="40"/>
      <c r="J14" s="40"/>
      <c r="K14" s="40"/>
      <c r="L14" s="40"/>
    </row>
    <row r="15" spans="1:12">
      <c r="F15" s="40"/>
      <c r="G15" s="40"/>
      <c r="H15" s="40"/>
      <c r="I15" s="40"/>
      <c r="J15" s="40"/>
      <c r="K15" s="40"/>
      <c r="L15" s="40"/>
    </row>
    <row r="16" spans="1:12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40" zoomScaleNormal="140" workbookViewId="0"/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40" customFormat="1" ht="40.200000000000003" customHeight="1">
      <c r="A1" s="43"/>
      <c r="B1" s="47" t="s">
        <v>134</v>
      </c>
      <c r="C1" s="47"/>
      <c r="D1" s="47"/>
      <c r="E1" s="47"/>
      <c r="F1" s="47"/>
      <c r="G1" s="47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18" customHeight="1">
      <c r="A4" s="46"/>
      <c r="B4" s="46"/>
      <c r="D4" s="42"/>
      <c r="E4" s="42"/>
      <c r="F4" s="42"/>
    </row>
    <row r="5" spans="1:9" ht="4.95" customHeight="1">
      <c r="A5" s="42"/>
      <c r="B5" s="42"/>
      <c r="C5" s="42"/>
      <c r="D5" s="42"/>
      <c r="E5" s="42"/>
      <c r="F5" s="42"/>
    </row>
    <row r="6" spans="1:9" s="1" customFormat="1" ht="18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40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34</v>
      </c>
      <c r="G53" s="33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40</v>
      </c>
      <c r="G55" s="33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/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40" customFormat="1" ht="40.200000000000003" customHeight="1">
      <c r="A1" s="43"/>
      <c r="B1" s="81" t="s">
        <v>134</v>
      </c>
      <c r="C1" s="81"/>
      <c r="D1" s="45"/>
      <c r="E1" s="45"/>
    </row>
    <row r="2" spans="1:5" s="41" customFormat="1" ht="4.5" customHeight="1">
      <c r="A2" s="44"/>
      <c r="B2" s="44"/>
    </row>
    <row r="3" spans="1:5" ht="4.5" customHeight="1" thickBot="1">
      <c r="A3" s="42"/>
      <c r="B3" s="42"/>
    </row>
    <row r="4" spans="1:5" ht="21.6">
      <c r="A4" s="52" t="s">
        <v>30</v>
      </c>
      <c r="B4" s="58" t="s">
        <v>74</v>
      </c>
      <c r="C4" s="58" t="s">
        <v>146</v>
      </c>
      <c r="D4" s="53" t="s">
        <v>147</v>
      </c>
    </row>
    <row r="5" spans="1:5" ht="22.5" customHeight="1">
      <c r="A5" s="64" t="s">
        <v>126</v>
      </c>
      <c r="B5" s="57" t="s">
        <v>73</v>
      </c>
      <c r="C5" s="57" t="s">
        <v>148</v>
      </c>
      <c r="D5" s="67">
        <v>0.2</v>
      </c>
    </row>
    <row r="6" spans="1:5" ht="22.5" customHeight="1">
      <c r="A6" s="64" t="s">
        <v>127</v>
      </c>
      <c r="B6" s="57" t="s">
        <v>75</v>
      </c>
      <c r="C6" s="57" t="s">
        <v>149</v>
      </c>
      <c r="D6" s="67">
        <v>0.25</v>
      </c>
    </row>
    <row r="7" spans="1:5" ht="22.5" customHeight="1">
      <c r="A7" s="64" t="s">
        <v>128</v>
      </c>
      <c r="B7" s="57" t="s">
        <v>72</v>
      </c>
      <c r="C7" s="57" t="s">
        <v>150</v>
      </c>
      <c r="D7" s="67">
        <v>0.1</v>
      </c>
    </row>
    <row r="8" spans="1:5" ht="22.5" customHeight="1">
      <c r="A8" s="64" t="s">
        <v>129</v>
      </c>
      <c r="B8" s="57" t="s">
        <v>131</v>
      </c>
      <c r="C8" s="57" t="s">
        <v>151</v>
      </c>
      <c r="D8" s="67">
        <v>0.2</v>
      </c>
    </row>
    <row r="9" spans="1:5" ht="22.5" customHeight="1" thickBot="1">
      <c r="A9" s="65" t="s">
        <v>130</v>
      </c>
      <c r="B9" s="66" t="s">
        <v>132</v>
      </c>
      <c r="C9" s="66" t="s">
        <v>152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M86"/>
  <sheetViews>
    <sheetView topLeftCell="B1" zoomScaleNormal="100" workbookViewId="0">
      <selection activeCell="L5" sqref="L5"/>
    </sheetView>
  </sheetViews>
  <sheetFormatPr defaultRowHeight="14.4"/>
  <cols>
    <col min="1" max="1" width="8.88671875" style="1" hidden="1" customWidth="1"/>
    <col min="2" max="2" width="8.88671875" style="1" customWidth="1"/>
    <col min="3" max="3" width="11.5546875" style="1" bestFit="1" customWidth="1"/>
    <col min="4" max="4" width="11.5546875" style="1" customWidth="1"/>
    <col min="5" max="5" width="10.109375" bestFit="1" customWidth="1"/>
    <col min="6" max="6" width="22.88671875" bestFit="1" customWidth="1"/>
    <col min="7" max="7" width="12.109375" hidden="1" customWidth="1"/>
    <col min="8" max="8" width="13.88671875" hidden="1" customWidth="1"/>
    <col min="9" max="9" width="17" hidden="1" customWidth="1"/>
    <col min="10" max="10" width="24.6640625" hidden="1" customWidth="1"/>
    <col min="11" max="11" width="24.6640625" customWidth="1"/>
    <col min="12" max="12" width="20.33203125" customWidth="1"/>
    <col min="13" max="13" width="17" bestFit="1" customWidth="1"/>
  </cols>
  <sheetData>
    <row r="1" spans="1:13" s="40" customFormat="1" ht="40.200000000000003" customHeight="1">
      <c r="A1" s="43"/>
      <c r="C1" s="47" t="s">
        <v>135</v>
      </c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s="41" customFormat="1" ht="4.5" customHeight="1">
      <c r="A2" s="44"/>
      <c r="B2" s="44"/>
      <c r="C2" s="44"/>
      <c r="D2" s="44"/>
      <c r="E2" s="44"/>
    </row>
    <row r="3" spans="1:13" ht="4.5" customHeight="1">
      <c r="A3" s="42"/>
      <c r="B3" s="42"/>
      <c r="C3" s="42"/>
      <c r="D3" s="42"/>
      <c r="E3" s="42"/>
    </row>
    <row r="4" spans="1:13" ht="18.600000000000001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15</v>
      </c>
      <c r="F4" s="36" t="s">
        <v>11</v>
      </c>
      <c r="G4" s="36" t="s">
        <v>169</v>
      </c>
      <c r="H4" s="36" t="s">
        <v>170</v>
      </c>
      <c r="I4" s="36" t="s">
        <v>172</v>
      </c>
      <c r="J4" s="36" t="s">
        <v>171</v>
      </c>
      <c r="K4" s="36" t="s">
        <v>133</v>
      </c>
      <c r="L4" s="37" t="s">
        <v>16</v>
      </c>
      <c r="M4" s="36" t="s">
        <v>74</v>
      </c>
    </row>
    <row r="5" spans="1:13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">
        <v>1</v>
      </c>
      <c r="F5" s="29">
        <f>_xlfn.XLOOKUP(TB_Vendas[[#This Row],[Código]],TB_Produtos[Código],TB_Produtos[Preço Unitário],0,0)</f>
        <v>39.9</v>
      </c>
      <c r="G5" s="10">
        <f>MATCH(TB_Vendas[[#This Row],[Qtd]],dsc_qtde,1)</f>
        <v>2</v>
      </c>
      <c r="H5" s="10">
        <f>MATCH(_xlfn.XLOOKUP(TB_Vendas[[#This Row],[Código]],TB_Produtos[Código],TB_Produtos[Categoria]),dsc_categoria,0)</f>
        <v>2</v>
      </c>
      <c r="I5" s="70" cm="1">
        <f t="array" ref="I5">INDEX(tb_desconto,TB_Vendas[[#This Row],[Linha]],TB_Vendas[[#This Row],[Coluna]])</f>
        <v>0</v>
      </c>
      <c r="J5" s="70">
        <f>_xlfn.XLOOKUP(TB_Vendas[[#This Row],[Vendedor]],Vendedores!$A$5:$A$9,Vendedores!$D$5:$D$9)</f>
        <v>0.25</v>
      </c>
      <c r="K5" s="70">
        <f>IF(TB_Vendas[[#This Row],[Desc. Vendedor]]&gt;TB_Vendas[[#This Row],[Desc.]],TB_Vendas[[#This Row],[Desc.]],TB_Vendas[[#This Row],[Desc. Vendedor]])</f>
        <v>0</v>
      </c>
      <c r="L5" s="8">
        <f>TB_Vendas[[#This Row],[Preço Unitário]]*TB_Vendas[[#This Row],[Qtd]]</f>
        <v>39.9</v>
      </c>
      <c r="M5" s="1" t="s">
        <v>127</v>
      </c>
    </row>
    <row r="6" spans="1:13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">
        <v>1</v>
      </c>
      <c r="F6" s="29">
        <f>_xlfn.XLOOKUP(TB_Vendas[[#This Row],[Código]],TB_Produtos[Código],TB_Produtos[Preço Unitário],0,0)</f>
        <v>259.89999999999998</v>
      </c>
      <c r="G6" s="10">
        <f>MATCH(TB_Vendas[[#This Row],[Qtd]],dsc_qtde,1)</f>
        <v>2</v>
      </c>
      <c r="H6" s="10">
        <f>MATCH(_xlfn.XLOOKUP(TB_Vendas[[#This Row],[Código]],TB_Produtos[Código],TB_Produtos[Categoria]),dsc_categoria,0)</f>
        <v>2</v>
      </c>
      <c r="I6" s="70" cm="1">
        <f t="array" ref="I6">INDEX(tb_desconto,TB_Vendas[[#This Row],[Linha]],TB_Vendas[[#This Row],[Coluna]])</f>
        <v>0</v>
      </c>
      <c r="J6" s="70">
        <f>_xlfn.XLOOKUP(TB_Vendas[[#This Row],[Vendedor]],Vendedores!$A$5:$A$9,Vendedores!$D$5:$D$9)</f>
        <v>0.25</v>
      </c>
      <c r="K6" s="70">
        <f>IF(TB_Vendas[[#This Row],[Desc. Vendedor]]&gt;TB_Vendas[[#This Row],[Desc.]],TB_Vendas[[#This Row],[Desc.]],TB_Vendas[[#This Row],[Desc. Vendedor]])</f>
        <v>0</v>
      </c>
      <c r="L6" s="8">
        <f>TB_Vendas[[#This Row],[Preço Unitário]]*TB_Vendas[[#This Row],[Qtd]]</f>
        <v>259.89999999999998</v>
      </c>
      <c r="M6" s="1" t="s">
        <v>127</v>
      </c>
    </row>
    <row r="7" spans="1:13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">
        <v>2</v>
      </c>
      <c r="F7" s="29">
        <f>_xlfn.XLOOKUP(TB_Vendas[[#This Row],[Código]],TB_Produtos[Código],TB_Produtos[Preço Unitário],0,0)</f>
        <v>32.9</v>
      </c>
      <c r="G7" s="10">
        <f>MATCH(TB_Vendas[[#This Row],[Qtd]],dsc_qtde,1)</f>
        <v>3</v>
      </c>
      <c r="H7" s="10">
        <f>MATCH(_xlfn.XLOOKUP(TB_Vendas[[#This Row],[Código]],TB_Produtos[Código],TB_Produtos[Categoria]),dsc_categoria,0)</f>
        <v>3</v>
      </c>
      <c r="I7" s="70" cm="1">
        <f t="array" ref="I7">INDEX(tb_desconto,TB_Vendas[[#This Row],[Linha]],TB_Vendas[[#This Row],[Coluna]])</f>
        <v>0.15</v>
      </c>
      <c r="J7" s="70">
        <f>_xlfn.XLOOKUP(TB_Vendas[[#This Row],[Vendedor]],Vendedores!$A$5:$A$9,Vendedores!$D$5:$D$9)</f>
        <v>0.2</v>
      </c>
      <c r="K7" s="70">
        <f>IF(TB_Vendas[[#This Row],[Desc. Vendedor]]&gt;TB_Vendas[[#This Row],[Desc.]],TB_Vendas[[#This Row],[Desc.]],TB_Vendas[[#This Row],[Desc. Vendedor]])</f>
        <v>0.15</v>
      </c>
      <c r="L7" s="8">
        <f>TB_Vendas[[#This Row],[Preço Unitário]]*TB_Vendas[[#This Row],[Qtd]]</f>
        <v>65.8</v>
      </c>
      <c r="M7" s="1" t="s">
        <v>126</v>
      </c>
    </row>
    <row r="8" spans="1:13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">
        <v>1</v>
      </c>
      <c r="F8" s="29">
        <f>_xlfn.XLOOKUP(TB_Vendas[[#This Row],[Código]],TB_Produtos[Código],TB_Produtos[Preço Unitário],0,0)</f>
        <v>46.9</v>
      </c>
      <c r="G8" s="10">
        <f>MATCH(TB_Vendas[[#This Row],[Qtd]],dsc_qtde,1)</f>
        <v>2</v>
      </c>
      <c r="H8" s="10">
        <f>MATCH(_xlfn.XLOOKUP(TB_Vendas[[#This Row],[Código]],TB_Produtos[Código],TB_Produtos[Categoria]),dsc_categoria,0)</f>
        <v>3</v>
      </c>
      <c r="I8" s="70" cm="1">
        <f t="array" ref="I8">INDEX(tb_desconto,TB_Vendas[[#This Row],[Linha]],TB_Vendas[[#This Row],[Coluna]])</f>
        <v>0.1</v>
      </c>
      <c r="J8" s="70">
        <f>_xlfn.XLOOKUP(TB_Vendas[[#This Row],[Vendedor]],Vendedores!$A$5:$A$9,Vendedores!$D$5:$D$9)</f>
        <v>0.15</v>
      </c>
      <c r="K8" s="70">
        <f>IF(TB_Vendas[[#This Row],[Desc. Vendedor]]&gt;TB_Vendas[[#This Row],[Desc.]],TB_Vendas[[#This Row],[Desc.]],TB_Vendas[[#This Row],[Desc. Vendedor]])</f>
        <v>0.1</v>
      </c>
      <c r="L8" s="8">
        <f>TB_Vendas[[#This Row],[Preço Unitário]]*TB_Vendas[[#This Row],[Qtd]]</f>
        <v>46.9</v>
      </c>
      <c r="M8" s="1" t="s">
        <v>130</v>
      </c>
    </row>
    <row r="9" spans="1:13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">
        <v>1</v>
      </c>
      <c r="F9" s="29">
        <f>_xlfn.XLOOKUP(TB_Vendas[[#This Row],[Código]],TB_Produtos[Código],TB_Produtos[Preço Unitário],0,0)</f>
        <v>29.9</v>
      </c>
      <c r="G9" s="10">
        <f>MATCH(TB_Vendas[[#This Row],[Qtd]],dsc_qtde,1)</f>
        <v>2</v>
      </c>
      <c r="H9" s="10">
        <f>MATCH(_xlfn.XLOOKUP(TB_Vendas[[#This Row],[Código]],TB_Produtos[Código],TB_Produtos[Categoria]),dsc_categoria,0)</f>
        <v>3</v>
      </c>
      <c r="I9" s="70" cm="1">
        <f t="array" ref="I9">INDEX(tb_desconto,TB_Vendas[[#This Row],[Linha]],TB_Vendas[[#This Row],[Coluna]])</f>
        <v>0.1</v>
      </c>
      <c r="J9" s="70">
        <f>_xlfn.XLOOKUP(TB_Vendas[[#This Row],[Vendedor]],Vendedores!$A$5:$A$9,Vendedores!$D$5:$D$9)</f>
        <v>0.25</v>
      </c>
      <c r="K9" s="70">
        <f>IF(TB_Vendas[[#This Row],[Desc. Vendedor]]&gt;TB_Vendas[[#This Row],[Desc.]],TB_Vendas[[#This Row],[Desc.]],TB_Vendas[[#This Row],[Desc. Vendedor]])</f>
        <v>0.1</v>
      </c>
      <c r="L9" s="8">
        <f>TB_Vendas[[#This Row],[Preço Unitário]]*TB_Vendas[[#This Row],[Qtd]]</f>
        <v>29.9</v>
      </c>
      <c r="M9" s="1" t="s">
        <v>127</v>
      </c>
    </row>
    <row r="10" spans="1:13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">
        <v>1</v>
      </c>
      <c r="F10" s="29">
        <f>_xlfn.XLOOKUP(TB_Vendas[[#This Row],[Código]],TB_Produtos[Código],TB_Produtos[Preço Unitário],0,0)</f>
        <v>299.89999999999998</v>
      </c>
      <c r="G10" s="10">
        <f>MATCH(TB_Vendas[[#This Row],[Qtd]],dsc_qtde,1)</f>
        <v>2</v>
      </c>
      <c r="H10" s="10">
        <f>MATCH(_xlfn.XLOOKUP(TB_Vendas[[#This Row],[Código]],TB_Produtos[Código],TB_Produtos[Categoria]),dsc_categoria,0)</f>
        <v>3</v>
      </c>
      <c r="I10" s="70" cm="1">
        <f t="array" ref="I10">INDEX(tb_desconto,TB_Vendas[[#This Row],[Linha]],TB_Vendas[[#This Row],[Coluna]])</f>
        <v>0.1</v>
      </c>
      <c r="J10" s="70">
        <f>_xlfn.XLOOKUP(TB_Vendas[[#This Row],[Vendedor]],Vendedores!$A$5:$A$9,Vendedores!$D$5:$D$9)</f>
        <v>0.15</v>
      </c>
      <c r="K10" s="70">
        <f>IF(TB_Vendas[[#This Row],[Desc. Vendedor]]&gt;TB_Vendas[[#This Row],[Desc.]],TB_Vendas[[#This Row],[Desc.]],TB_Vendas[[#This Row],[Desc. Vendedor]])</f>
        <v>0.1</v>
      </c>
      <c r="L10" s="8">
        <f>TB_Vendas[[#This Row],[Preço Unitário]]*TB_Vendas[[#This Row],[Qtd]]</f>
        <v>299.89999999999998</v>
      </c>
      <c r="M10" s="1" t="s">
        <v>130</v>
      </c>
    </row>
    <row r="11" spans="1:13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">
        <v>1</v>
      </c>
      <c r="F11" s="29">
        <f>_xlfn.XLOOKUP(TB_Vendas[[#This Row],[Código]],TB_Produtos[Código],TB_Produtos[Preço Unitário],0,0)</f>
        <v>146</v>
      </c>
      <c r="G11" s="10">
        <f>MATCH(TB_Vendas[[#This Row],[Qtd]],dsc_qtde,1)</f>
        <v>2</v>
      </c>
      <c r="H11" s="10">
        <f>MATCH(_xlfn.XLOOKUP(TB_Vendas[[#This Row],[Código]],TB_Produtos[Código],TB_Produtos[Categoria]),dsc_categoria,0)</f>
        <v>3</v>
      </c>
      <c r="I11" s="70" cm="1">
        <f t="array" ref="I11">INDEX(tb_desconto,TB_Vendas[[#This Row],[Linha]],TB_Vendas[[#This Row],[Coluna]])</f>
        <v>0.1</v>
      </c>
      <c r="J11" s="70">
        <f>_xlfn.XLOOKUP(TB_Vendas[[#This Row],[Vendedor]],Vendedores!$A$5:$A$9,Vendedores!$D$5:$D$9)</f>
        <v>0.1</v>
      </c>
      <c r="K11" s="70">
        <f>IF(TB_Vendas[[#This Row],[Desc. Vendedor]]&gt;TB_Vendas[[#This Row],[Desc.]],TB_Vendas[[#This Row],[Desc.]],TB_Vendas[[#This Row],[Desc. Vendedor]])</f>
        <v>0.1</v>
      </c>
      <c r="L11" s="8">
        <f>TB_Vendas[[#This Row],[Preço Unitário]]*TB_Vendas[[#This Row],[Qtd]]</f>
        <v>146</v>
      </c>
      <c r="M11" s="1" t="s">
        <v>128</v>
      </c>
    </row>
    <row r="12" spans="1:13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">
        <v>2</v>
      </c>
      <c r="F12" s="29">
        <f>_xlfn.XLOOKUP(TB_Vendas[[#This Row],[Código]],TB_Produtos[Código],TB_Produtos[Preço Unitário],0,0)</f>
        <v>89.9</v>
      </c>
      <c r="G12" s="10">
        <f>MATCH(TB_Vendas[[#This Row],[Qtd]],dsc_qtde,1)</f>
        <v>3</v>
      </c>
      <c r="H12" s="10">
        <f>MATCH(_xlfn.XLOOKUP(TB_Vendas[[#This Row],[Código]],TB_Produtos[Código],TB_Produtos[Categoria]),dsc_categoria,0)</f>
        <v>3</v>
      </c>
      <c r="I12" s="70" cm="1">
        <f t="array" ref="I12">INDEX(tb_desconto,TB_Vendas[[#This Row],[Linha]],TB_Vendas[[#This Row],[Coluna]])</f>
        <v>0.15</v>
      </c>
      <c r="J12" s="70">
        <f>_xlfn.XLOOKUP(TB_Vendas[[#This Row],[Vendedor]],Vendedores!$A$5:$A$9,Vendedores!$D$5:$D$9)</f>
        <v>0.1</v>
      </c>
      <c r="K12" s="70">
        <f>IF(TB_Vendas[[#This Row],[Desc. Vendedor]]&gt;TB_Vendas[[#This Row],[Desc.]],TB_Vendas[[#This Row],[Desc.]],TB_Vendas[[#This Row],[Desc. Vendedor]])</f>
        <v>0.1</v>
      </c>
      <c r="L12" s="8">
        <f>TB_Vendas[[#This Row],[Preço Unitário]]*TB_Vendas[[#This Row],[Qtd]]</f>
        <v>179.8</v>
      </c>
      <c r="M12" s="1" t="s">
        <v>128</v>
      </c>
    </row>
    <row r="13" spans="1:13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">
        <v>2</v>
      </c>
      <c r="F13" s="29">
        <f>_xlfn.XLOOKUP(TB_Vendas[[#This Row],[Código]],TB_Produtos[Código],TB_Produtos[Preço Unitário],0,0)</f>
        <v>250</v>
      </c>
      <c r="G13" s="10">
        <f>MATCH(TB_Vendas[[#This Row],[Qtd]],dsc_qtde,1)</f>
        <v>3</v>
      </c>
      <c r="H13" s="10">
        <f>MATCH(_xlfn.XLOOKUP(TB_Vendas[[#This Row],[Código]],TB_Produtos[Código],TB_Produtos[Categoria]),dsc_categoria,0)</f>
        <v>4</v>
      </c>
      <c r="I13" s="70" cm="1">
        <f t="array" ref="I13">INDEX(tb_desconto,TB_Vendas[[#This Row],[Linha]],TB_Vendas[[#This Row],[Coluna]])</f>
        <v>0.1</v>
      </c>
      <c r="J13" s="70">
        <f>_xlfn.XLOOKUP(TB_Vendas[[#This Row],[Vendedor]],Vendedores!$A$5:$A$9,Vendedores!$D$5:$D$9)</f>
        <v>0.25</v>
      </c>
      <c r="K13" s="70">
        <f>IF(TB_Vendas[[#This Row],[Desc. Vendedor]]&gt;TB_Vendas[[#This Row],[Desc.]],TB_Vendas[[#This Row],[Desc.]],TB_Vendas[[#This Row],[Desc. Vendedor]])</f>
        <v>0.1</v>
      </c>
      <c r="L13" s="8">
        <f>TB_Vendas[[#This Row],[Preço Unitário]]*TB_Vendas[[#This Row],[Qtd]]</f>
        <v>500</v>
      </c>
      <c r="M13" s="1" t="s">
        <v>127</v>
      </c>
    </row>
    <row r="14" spans="1:13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">
        <v>1</v>
      </c>
      <c r="F14" s="29">
        <f>_xlfn.XLOOKUP(TB_Vendas[[#This Row],[Código]],TB_Produtos[Código],TB_Produtos[Preço Unitário],0,0)</f>
        <v>39.9</v>
      </c>
      <c r="G14" s="10">
        <f>MATCH(TB_Vendas[[#This Row],[Qtd]],dsc_qtde,1)</f>
        <v>2</v>
      </c>
      <c r="H14" s="10">
        <f>MATCH(_xlfn.XLOOKUP(TB_Vendas[[#This Row],[Código]],TB_Produtos[Código],TB_Produtos[Categoria]),dsc_categoria,0)</f>
        <v>3</v>
      </c>
      <c r="I14" s="70" cm="1">
        <f t="array" ref="I14">INDEX(tb_desconto,TB_Vendas[[#This Row],[Linha]],TB_Vendas[[#This Row],[Coluna]])</f>
        <v>0.1</v>
      </c>
      <c r="J14" s="70">
        <f>_xlfn.XLOOKUP(TB_Vendas[[#This Row],[Vendedor]],Vendedores!$A$5:$A$9,Vendedores!$D$5:$D$9)</f>
        <v>0.25</v>
      </c>
      <c r="K14" s="70">
        <f>IF(TB_Vendas[[#This Row],[Desc. Vendedor]]&gt;TB_Vendas[[#This Row],[Desc.]],TB_Vendas[[#This Row],[Desc.]],TB_Vendas[[#This Row],[Desc. Vendedor]])</f>
        <v>0.1</v>
      </c>
      <c r="L14" s="8">
        <f>TB_Vendas[[#This Row],[Preço Unitário]]*TB_Vendas[[#This Row],[Qtd]]</f>
        <v>39.9</v>
      </c>
      <c r="M14" s="1" t="s">
        <v>127</v>
      </c>
    </row>
    <row r="15" spans="1:13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">
        <v>1</v>
      </c>
      <c r="F15" s="29">
        <f>_xlfn.XLOOKUP(TB_Vendas[[#This Row],[Código]],TB_Produtos[Código],TB_Produtos[Preço Unitário],0,0)</f>
        <v>142.9</v>
      </c>
      <c r="G15" s="10">
        <f>MATCH(TB_Vendas[[#This Row],[Qtd]],dsc_qtde,1)</f>
        <v>2</v>
      </c>
      <c r="H15" s="10">
        <f>MATCH(_xlfn.XLOOKUP(TB_Vendas[[#This Row],[Código]],TB_Produtos[Código],TB_Produtos[Categoria]),dsc_categoria,0)</f>
        <v>3</v>
      </c>
      <c r="I15" s="70" cm="1">
        <f t="array" ref="I15">INDEX(tb_desconto,TB_Vendas[[#This Row],[Linha]],TB_Vendas[[#This Row],[Coluna]])</f>
        <v>0.1</v>
      </c>
      <c r="J15" s="70">
        <f>_xlfn.XLOOKUP(TB_Vendas[[#This Row],[Vendedor]],Vendedores!$A$5:$A$9,Vendedores!$D$5:$D$9)</f>
        <v>0.2</v>
      </c>
      <c r="K15" s="70">
        <f>IF(TB_Vendas[[#This Row],[Desc. Vendedor]]&gt;TB_Vendas[[#This Row],[Desc.]],TB_Vendas[[#This Row],[Desc.]],TB_Vendas[[#This Row],[Desc. Vendedor]])</f>
        <v>0.1</v>
      </c>
      <c r="L15" s="8">
        <f>TB_Vendas[[#This Row],[Preço Unitário]]*TB_Vendas[[#This Row],[Qtd]]</f>
        <v>142.9</v>
      </c>
      <c r="M15" s="1" t="s">
        <v>129</v>
      </c>
    </row>
    <row r="16" spans="1:13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">
        <v>1</v>
      </c>
      <c r="F16" s="29">
        <f>_xlfn.XLOOKUP(TB_Vendas[[#This Row],[Código]],TB_Produtos[Código],TB_Produtos[Preço Unitário],0,0)</f>
        <v>300</v>
      </c>
      <c r="G16" s="10">
        <f>MATCH(TB_Vendas[[#This Row],[Qtd]],dsc_qtde,1)</f>
        <v>2</v>
      </c>
      <c r="H16" s="10">
        <f>MATCH(_xlfn.XLOOKUP(TB_Vendas[[#This Row],[Código]],TB_Produtos[Código],TB_Produtos[Categoria]),dsc_categoria,0)</f>
        <v>3</v>
      </c>
      <c r="I16" s="70" cm="1">
        <f t="array" ref="I16">INDEX(tb_desconto,TB_Vendas[[#This Row],[Linha]],TB_Vendas[[#This Row],[Coluna]])</f>
        <v>0.1</v>
      </c>
      <c r="J16" s="70">
        <f>_xlfn.XLOOKUP(TB_Vendas[[#This Row],[Vendedor]],Vendedores!$A$5:$A$9,Vendedores!$D$5:$D$9)</f>
        <v>0.1</v>
      </c>
      <c r="K16" s="70">
        <f>IF(TB_Vendas[[#This Row],[Desc. Vendedor]]&gt;TB_Vendas[[#This Row],[Desc.]],TB_Vendas[[#This Row],[Desc.]],TB_Vendas[[#This Row],[Desc. Vendedor]])</f>
        <v>0.1</v>
      </c>
      <c r="L16" s="8">
        <f>TB_Vendas[[#This Row],[Preço Unitário]]*TB_Vendas[[#This Row],[Qtd]]</f>
        <v>300</v>
      </c>
      <c r="M16" s="1" t="s">
        <v>128</v>
      </c>
    </row>
    <row r="17" spans="1:13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">
        <v>2</v>
      </c>
      <c r="F17" s="29">
        <f>_xlfn.XLOOKUP(TB_Vendas[[#This Row],[Código]],TB_Produtos[Código],TB_Produtos[Preço Unitário],0,0)</f>
        <v>289.89999999999998</v>
      </c>
      <c r="G17" s="10">
        <f>MATCH(TB_Vendas[[#This Row],[Qtd]],dsc_qtde,1)</f>
        <v>3</v>
      </c>
      <c r="H17" s="10">
        <f>MATCH(_xlfn.XLOOKUP(TB_Vendas[[#This Row],[Código]],TB_Produtos[Código],TB_Produtos[Categoria]),dsc_categoria,0)</f>
        <v>3</v>
      </c>
      <c r="I17" s="70" cm="1">
        <f t="array" ref="I17">INDEX(tb_desconto,TB_Vendas[[#This Row],[Linha]],TB_Vendas[[#This Row],[Coluna]])</f>
        <v>0.15</v>
      </c>
      <c r="J17" s="70">
        <f>_xlfn.XLOOKUP(TB_Vendas[[#This Row],[Vendedor]],Vendedores!$A$5:$A$9,Vendedores!$D$5:$D$9)</f>
        <v>0.2</v>
      </c>
      <c r="K17" s="70">
        <f>IF(TB_Vendas[[#This Row],[Desc. Vendedor]]&gt;TB_Vendas[[#This Row],[Desc.]],TB_Vendas[[#This Row],[Desc.]],TB_Vendas[[#This Row],[Desc. Vendedor]])</f>
        <v>0.15</v>
      </c>
      <c r="L17" s="8">
        <f>TB_Vendas[[#This Row],[Preço Unitário]]*TB_Vendas[[#This Row],[Qtd]]</f>
        <v>579.79999999999995</v>
      </c>
      <c r="M17" s="1" t="s">
        <v>129</v>
      </c>
    </row>
    <row r="18" spans="1:13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">
        <v>1</v>
      </c>
      <c r="F18" s="29">
        <f>_xlfn.XLOOKUP(TB_Vendas[[#This Row],[Código]],TB_Produtos[Código],TB_Produtos[Preço Unitário],0,0)</f>
        <v>249.9</v>
      </c>
      <c r="G18" s="10">
        <f>MATCH(TB_Vendas[[#This Row],[Qtd]],dsc_qtde,1)</f>
        <v>2</v>
      </c>
      <c r="H18" s="10">
        <f>MATCH(_xlfn.XLOOKUP(TB_Vendas[[#This Row],[Código]],TB_Produtos[Código],TB_Produtos[Categoria]),dsc_categoria,0)</f>
        <v>4</v>
      </c>
      <c r="I18" s="70" cm="1">
        <f t="array" ref="I18">INDEX(tb_desconto,TB_Vendas[[#This Row],[Linha]],TB_Vendas[[#This Row],[Coluna]])</f>
        <v>0</v>
      </c>
      <c r="J18" s="70">
        <f>_xlfn.XLOOKUP(TB_Vendas[[#This Row],[Vendedor]],Vendedores!$A$5:$A$9,Vendedores!$D$5:$D$9)</f>
        <v>0.2</v>
      </c>
      <c r="K18" s="70">
        <f>IF(TB_Vendas[[#This Row],[Desc. Vendedor]]&gt;TB_Vendas[[#This Row],[Desc.]],TB_Vendas[[#This Row],[Desc.]],TB_Vendas[[#This Row],[Desc. Vendedor]])</f>
        <v>0</v>
      </c>
      <c r="L18" s="8">
        <f>TB_Vendas[[#This Row],[Preço Unitário]]*TB_Vendas[[#This Row],[Qtd]]</f>
        <v>249.9</v>
      </c>
      <c r="M18" s="1" t="s">
        <v>129</v>
      </c>
    </row>
    <row r="19" spans="1:13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">
        <v>2</v>
      </c>
      <c r="F19" s="29">
        <f>_xlfn.XLOOKUP(TB_Vendas[[#This Row],[Código]],TB_Produtos[Código],TB_Produtos[Preço Unitário],0,0)</f>
        <v>39.9</v>
      </c>
      <c r="G19" s="10">
        <f>MATCH(TB_Vendas[[#This Row],[Qtd]],dsc_qtde,1)</f>
        <v>3</v>
      </c>
      <c r="H19" s="10">
        <f>MATCH(_xlfn.XLOOKUP(TB_Vendas[[#This Row],[Código]],TB_Produtos[Código],TB_Produtos[Categoria]),dsc_categoria,0)</f>
        <v>3</v>
      </c>
      <c r="I19" s="70" cm="1">
        <f t="array" ref="I19">INDEX(tb_desconto,TB_Vendas[[#This Row],[Linha]],TB_Vendas[[#This Row],[Coluna]])</f>
        <v>0.15</v>
      </c>
      <c r="J19" s="70">
        <f>_xlfn.XLOOKUP(TB_Vendas[[#This Row],[Vendedor]],Vendedores!$A$5:$A$9,Vendedores!$D$5:$D$9)</f>
        <v>0.2</v>
      </c>
      <c r="K19" s="70">
        <f>IF(TB_Vendas[[#This Row],[Desc. Vendedor]]&gt;TB_Vendas[[#This Row],[Desc.]],TB_Vendas[[#This Row],[Desc.]],TB_Vendas[[#This Row],[Desc. Vendedor]])</f>
        <v>0.15</v>
      </c>
      <c r="L19" s="8">
        <f>TB_Vendas[[#This Row],[Preço Unitário]]*TB_Vendas[[#This Row],[Qtd]]</f>
        <v>79.8</v>
      </c>
      <c r="M19" s="1" t="s">
        <v>129</v>
      </c>
    </row>
    <row r="20" spans="1:13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">
        <v>4</v>
      </c>
      <c r="F20" s="29">
        <f>_xlfn.XLOOKUP(TB_Vendas[[#This Row],[Código]],TB_Produtos[Código],TB_Produtos[Preço Unitário],0,0)</f>
        <v>289.89999999999998</v>
      </c>
      <c r="G20" s="10">
        <f>MATCH(TB_Vendas[[#This Row],[Qtd]],dsc_qtde,1)</f>
        <v>4</v>
      </c>
      <c r="H20" s="10">
        <f>MATCH(_xlfn.XLOOKUP(TB_Vendas[[#This Row],[Código]],TB_Produtos[Código],TB_Produtos[Categoria]),dsc_categoria,0)</f>
        <v>3</v>
      </c>
      <c r="I20" s="70" cm="1">
        <f t="array" ref="I20">INDEX(tb_desconto,TB_Vendas[[#This Row],[Linha]],TB_Vendas[[#This Row],[Coluna]])</f>
        <v>0.2</v>
      </c>
      <c r="J20" s="70">
        <f>_xlfn.XLOOKUP(TB_Vendas[[#This Row],[Vendedor]],Vendedores!$A$5:$A$9,Vendedores!$D$5:$D$9)</f>
        <v>0.2</v>
      </c>
      <c r="K20" s="70">
        <f>IF(TB_Vendas[[#This Row],[Desc. Vendedor]]&gt;TB_Vendas[[#This Row],[Desc.]],TB_Vendas[[#This Row],[Desc.]],TB_Vendas[[#This Row],[Desc. Vendedor]])</f>
        <v>0.2</v>
      </c>
      <c r="L20" s="8">
        <f>TB_Vendas[[#This Row],[Preço Unitário]]*TB_Vendas[[#This Row],[Qtd]]</f>
        <v>1159.5999999999999</v>
      </c>
      <c r="M20" s="1" t="s">
        <v>129</v>
      </c>
    </row>
    <row r="21" spans="1:13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">
        <v>3</v>
      </c>
      <c r="F21" s="29">
        <f>_xlfn.XLOOKUP(TB_Vendas[[#This Row],[Código]],TB_Produtos[Código],TB_Produtos[Preço Unitário],0,0)</f>
        <v>180</v>
      </c>
      <c r="G21" s="10">
        <f>MATCH(TB_Vendas[[#This Row],[Qtd]],dsc_qtde,1)</f>
        <v>4</v>
      </c>
      <c r="H21" s="10">
        <f>MATCH(_xlfn.XLOOKUP(TB_Vendas[[#This Row],[Código]],TB_Produtos[Código],TB_Produtos[Categoria]),dsc_categoria,0)</f>
        <v>3</v>
      </c>
      <c r="I21" s="70" cm="1">
        <f t="array" ref="I21">INDEX(tb_desconto,TB_Vendas[[#This Row],[Linha]],TB_Vendas[[#This Row],[Coluna]])</f>
        <v>0.2</v>
      </c>
      <c r="J21" s="70">
        <f>_xlfn.XLOOKUP(TB_Vendas[[#This Row],[Vendedor]],Vendedores!$A$5:$A$9,Vendedores!$D$5:$D$9)</f>
        <v>0.25</v>
      </c>
      <c r="K21" s="70">
        <f>IF(TB_Vendas[[#This Row],[Desc. Vendedor]]&gt;TB_Vendas[[#This Row],[Desc.]],TB_Vendas[[#This Row],[Desc.]],TB_Vendas[[#This Row],[Desc. Vendedor]])</f>
        <v>0.2</v>
      </c>
      <c r="L21" s="8">
        <f>TB_Vendas[[#This Row],[Preço Unitário]]*TB_Vendas[[#This Row],[Qtd]]</f>
        <v>540</v>
      </c>
      <c r="M21" s="1" t="s">
        <v>127</v>
      </c>
    </row>
    <row r="22" spans="1:13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">
        <v>2</v>
      </c>
      <c r="F22" s="29">
        <f>_xlfn.XLOOKUP(TB_Vendas[[#This Row],[Código]],TB_Produtos[Código],TB_Produtos[Preço Unitário],0,0)</f>
        <v>32.9</v>
      </c>
      <c r="G22" s="10">
        <f>MATCH(TB_Vendas[[#This Row],[Qtd]],dsc_qtde,1)</f>
        <v>3</v>
      </c>
      <c r="H22" s="10">
        <f>MATCH(_xlfn.XLOOKUP(TB_Vendas[[#This Row],[Código]],TB_Produtos[Código],TB_Produtos[Categoria]),dsc_categoria,0)</f>
        <v>3</v>
      </c>
      <c r="I22" s="70" cm="1">
        <f t="array" ref="I22">INDEX(tb_desconto,TB_Vendas[[#This Row],[Linha]],TB_Vendas[[#This Row],[Coluna]])</f>
        <v>0.15</v>
      </c>
      <c r="J22" s="70">
        <f>_xlfn.XLOOKUP(TB_Vendas[[#This Row],[Vendedor]],Vendedores!$A$5:$A$9,Vendedores!$D$5:$D$9)</f>
        <v>0.2</v>
      </c>
      <c r="K22" s="70">
        <f>IF(TB_Vendas[[#This Row],[Desc. Vendedor]]&gt;TB_Vendas[[#This Row],[Desc.]],TB_Vendas[[#This Row],[Desc.]],TB_Vendas[[#This Row],[Desc. Vendedor]])</f>
        <v>0.15</v>
      </c>
      <c r="L22" s="8">
        <f>TB_Vendas[[#This Row],[Preço Unitário]]*TB_Vendas[[#This Row],[Qtd]]</f>
        <v>65.8</v>
      </c>
      <c r="M22" s="1" t="s">
        <v>126</v>
      </c>
    </row>
    <row r="23" spans="1:13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">
        <v>3</v>
      </c>
      <c r="F23" s="29">
        <f>_xlfn.XLOOKUP(TB_Vendas[[#This Row],[Código]],TB_Produtos[Código],TB_Produtos[Preço Unitário],0,0)</f>
        <v>255</v>
      </c>
      <c r="G23" s="10">
        <f>MATCH(TB_Vendas[[#This Row],[Qtd]],dsc_qtde,1)</f>
        <v>4</v>
      </c>
      <c r="H23" s="10">
        <f>MATCH(_xlfn.XLOOKUP(TB_Vendas[[#This Row],[Código]],TB_Produtos[Código],TB_Produtos[Categoria]),dsc_categoria,0)</f>
        <v>4</v>
      </c>
      <c r="I23" s="70" cm="1">
        <f t="array" ref="I23">INDEX(tb_desconto,TB_Vendas[[#This Row],[Linha]],TB_Vendas[[#This Row],[Coluna]])</f>
        <v>0.15</v>
      </c>
      <c r="J23" s="70">
        <f>_xlfn.XLOOKUP(TB_Vendas[[#This Row],[Vendedor]],Vendedores!$A$5:$A$9,Vendedores!$D$5:$D$9)</f>
        <v>0.2</v>
      </c>
      <c r="K23" s="70">
        <f>IF(TB_Vendas[[#This Row],[Desc. Vendedor]]&gt;TB_Vendas[[#This Row],[Desc.]],TB_Vendas[[#This Row],[Desc.]],TB_Vendas[[#This Row],[Desc. Vendedor]])</f>
        <v>0.15</v>
      </c>
      <c r="L23" s="8">
        <f>TB_Vendas[[#This Row],[Preço Unitário]]*TB_Vendas[[#This Row],[Qtd]]</f>
        <v>765</v>
      </c>
      <c r="M23" s="1" t="s">
        <v>129</v>
      </c>
    </row>
    <row r="24" spans="1:13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">
        <v>1</v>
      </c>
      <c r="F24" s="29">
        <f>_xlfn.XLOOKUP(TB_Vendas[[#This Row],[Código]],TB_Produtos[Código],TB_Produtos[Preço Unitário],0,0)</f>
        <v>142.9</v>
      </c>
      <c r="G24" s="10">
        <f>MATCH(TB_Vendas[[#This Row],[Qtd]],dsc_qtde,1)</f>
        <v>2</v>
      </c>
      <c r="H24" s="10">
        <f>MATCH(_xlfn.XLOOKUP(TB_Vendas[[#This Row],[Código]],TB_Produtos[Código],TB_Produtos[Categoria]),dsc_categoria,0)</f>
        <v>3</v>
      </c>
      <c r="I24" s="70" cm="1">
        <f t="array" ref="I24">INDEX(tb_desconto,TB_Vendas[[#This Row],[Linha]],TB_Vendas[[#This Row],[Coluna]])</f>
        <v>0.1</v>
      </c>
      <c r="J24" s="70">
        <f>_xlfn.XLOOKUP(TB_Vendas[[#This Row],[Vendedor]],Vendedores!$A$5:$A$9,Vendedores!$D$5:$D$9)</f>
        <v>0.2</v>
      </c>
      <c r="K24" s="70">
        <f>IF(TB_Vendas[[#This Row],[Desc. Vendedor]]&gt;TB_Vendas[[#This Row],[Desc.]],TB_Vendas[[#This Row],[Desc.]],TB_Vendas[[#This Row],[Desc. Vendedor]])</f>
        <v>0.1</v>
      </c>
      <c r="L24" s="8">
        <f>TB_Vendas[[#This Row],[Preço Unitário]]*TB_Vendas[[#This Row],[Qtd]]</f>
        <v>142.9</v>
      </c>
      <c r="M24" s="1" t="s">
        <v>126</v>
      </c>
    </row>
    <row r="25" spans="1:13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">
        <v>4</v>
      </c>
      <c r="F25" s="29">
        <f>_xlfn.XLOOKUP(TB_Vendas[[#This Row],[Código]],TB_Produtos[Código],TB_Produtos[Preço Unitário],0,0)</f>
        <v>92.9</v>
      </c>
      <c r="G25" s="10">
        <f>MATCH(TB_Vendas[[#This Row],[Qtd]],dsc_qtde,1)</f>
        <v>4</v>
      </c>
      <c r="H25" s="10">
        <f>MATCH(_xlfn.XLOOKUP(TB_Vendas[[#This Row],[Código]],TB_Produtos[Código],TB_Produtos[Categoria]),dsc_categoria,0)</f>
        <v>3</v>
      </c>
      <c r="I25" s="70" cm="1">
        <f t="array" ref="I25">INDEX(tb_desconto,TB_Vendas[[#This Row],[Linha]],TB_Vendas[[#This Row],[Coluna]])</f>
        <v>0.2</v>
      </c>
      <c r="J25" s="70">
        <f>_xlfn.XLOOKUP(TB_Vendas[[#This Row],[Vendedor]],Vendedores!$A$5:$A$9,Vendedores!$D$5:$D$9)</f>
        <v>0.1</v>
      </c>
      <c r="K25" s="70">
        <f>IF(TB_Vendas[[#This Row],[Desc. Vendedor]]&gt;TB_Vendas[[#This Row],[Desc.]],TB_Vendas[[#This Row],[Desc.]],TB_Vendas[[#This Row],[Desc. Vendedor]])</f>
        <v>0.1</v>
      </c>
      <c r="L25" s="8">
        <f>TB_Vendas[[#This Row],[Preço Unitário]]*TB_Vendas[[#This Row],[Qtd]]</f>
        <v>371.6</v>
      </c>
      <c r="M25" s="1" t="s">
        <v>128</v>
      </c>
    </row>
    <row r="26" spans="1:13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">
        <v>2</v>
      </c>
      <c r="F26" s="29">
        <f>_xlfn.XLOOKUP(TB_Vendas[[#This Row],[Código]],TB_Produtos[Código],TB_Produtos[Preço Unitário],0,0)</f>
        <v>54.9</v>
      </c>
      <c r="G26" s="10">
        <f>MATCH(TB_Vendas[[#This Row],[Qtd]],dsc_qtde,1)</f>
        <v>3</v>
      </c>
      <c r="H26" s="10">
        <f>MATCH(_xlfn.XLOOKUP(TB_Vendas[[#This Row],[Código]],TB_Produtos[Código],TB_Produtos[Categoria]),dsc_categoria,0)</f>
        <v>3</v>
      </c>
      <c r="I26" s="70" cm="1">
        <f t="array" ref="I26">INDEX(tb_desconto,TB_Vendas[[#This Row],[Linha]],TB_Vendas[[#This Row],[Coluna]])</f>
        <v>0.15</v>
      </c>
      <c r="J26" s="70">
        <f>_xlfn.XLOOKUP(TB_Vendas[[#This Row],[Vendedor]],Vendedores!$A$5:$A$9,Vendedores!$D$5:$D$9)</f>
        <v>0.2</v>
      </c>
      <c r="K26" s="70">
        <f>IF(TB_Vendas[[#This Row],[Desc. Vendedor]]&gt;TB_Vendas[[#This Row],[Desc.]],TB_Vendas[[#This Row],[Desc.]],TB_Vendas[[#This Row],[Desc. Vendedor]])</f>
        <v>0.15</v>
      </c>
      <c r="L26" s="8">
        <f>TB_Vendas[[#This Row],[Preço Unitário]]*TB_Vendas[[#This Row],[Qtd]]</f>
        <v>109.8</v>
      </c>
      <c r="M26" s="1" t="s">
        <v>126</v>
      </c>
    </row>
    <row r="27" spans="1:13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">
        <v>3</v>
      </c>
      <c r="F27" s="29">
        <f>_xlfn.XLOOKUP(TB_Vendas[[#This Row],[Código]],TB_Produtos[Código],TB_Produtos[Preço Unitário],0,0)</f>
        <v>142.9</v>
      </c>
      <c r="G27" s="10">
        <f>MATCH(TB_Vendas[[#This Row],[Qtd]],dsc_qtde,1)</f>
        <v>4</v>
      </c>
      <c r="H27" s="10">
        <f>MATCH(_xlfn.XLOOKUP(TB_Vendas[[#This Row],[Código]],TB_Produtos[Código],TB_Produtos[Categoria]),dsc_categoria,0)</f>
        <v>3</v>
      </c>
      <c r="I27" s="70" cm="1">
        <f t="array" ref="I27">INDEX(tb_desconto,TB_Vendas[[#This Row],[Linha]],TB_Vendas[[#This Row],[Coluna]])</f>
        <v>0.2</v>
      </c>
      <c r="J27" s="70">
        <f>_xlfn.XLOOKUP(TB_Vendas[[#This Row],[Vendedor]],Vendedores!$A$5:$A$9,Vendedores!$D$5:$D$9)</f>
        <v>0.25</v>
      </c>
      <c r="K27" s="70">
        <f>IF(TB_Vendas[[#This Row],[Desc. Vendedor]]&gt;TB_Vendas[[#This Row],[Desc.]],TB_Vendas[[#This Row],[Desc.]],TB_Vendas[[#This Row],[Desc. Vendedor]])</f>
        <v>0.2</v>
      </c>
      <c r="L27" s="8">
        <f>TB_Vendas[[#This Row],[Preço Unitário]]*TB_Vendas[[#This Row],[Qtd]]</f>
        <v>428.70000000000005</v>
      </c>
      <c r="M27" s="1" t="s">
        <v>127</v>
      </c>
    </row>
    <row r="28" spans="1:13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">
        <v>2</v>
      </c>
      <c r="F28" s="29">
        <f>_xlfn.XLOOKUP(TB_Vendas[[#This Row],[Código]],TB_Produtos[Código],TB_Produtos[Preço Unitário],0,0)</f>
        <v>120</v>
      </c>
      <c r="G28" s="10">
        <f>MATCH(TB_Vendas[[#This Row],[Qtd]],dsc_qtde,1)</f>
        <v>3</v>
      </c>
      <c r="H28" s="10">
        <f>MATCH(_xlfn.XLOOKUP(TB_Vendas[[#This Row],[Código]],TB_Produtos[Código],TB_Produtos[Categoria]),dsc_categoria,0)</f>
        <v>2</v>
      </c>
      <c r="I28" s="70" cm="1">
        <f t="array" ref="I28">INDEX(tb_desconto,TB_Vendas[[#This Row],[Linha]],TB_Vendas[[#This Row],[Coluna]])</f>
        <v>0.05</v>
      </c>
      <c r="J28" s="70">
        <f>_xlfn.XLOOKUP(TB_Vendas[[#This Row],[Vendedor]],Vendedores!$A$5:$A$9,Vendedores!$D$5:$D$9)</f>
        <v>0.25</v>
      </c>
      <c r="K28" s="70">
        <f>IF(TB_Vendas[[#This Row],[Desc. Vendedor]]&gt;TB_Vendas[[#This Row],[Desc.]],TB_Vendas[[#This Row],[Desc.]],TB_Vendas[[#This Row],[Desc. Vendedor]])</f>
        <v>0.05</v>
      </c>
      <c r="L28" s="8">
        <f>TB_Vendas[[#This Row],[Preço Unitário]]*TB_Vendas[[#This Row],[Qtd]]</f>
        <v>240</v>
      </c>
      <c r="M28" s="1" t="s">
        <v>127</v>
      </c>
    </row>
    <row r="29" spans="1:13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">
        <v>1</v>
      </c>
      <c r="F29" s="29">
        <f>_xlfn.XLOOKUP(TB_Vendas[[#This Row],[Código]],TB_Produtos[Código],TB_Produtos[Preço Unitário],0,0)</f>
        <v>65.900000000000006</v>
      </c>
      <c r="G29" s="10">
        <f>MATCH(TB_Vendas[[#This Row],[Qtd]],dsc_qtde,1)</f>
        <v>2</v>
      </c>
      <c r="H29" s="10">
        <f>MATCH(_xlfn.XLOOKUP(TB_Vendas[[#This Row],[Código]],TB_Produtos[Código],TB_Produtos[Categoria]),dsc_categoria,0)</f>
        <v>3</v>
      </c>
      <c r="I29" s="70" cm="1">
        <f t="array" ref="I29">INDEX(tb_desconto,TB_Vendas[[#This Row],[Linha]],TB_Vendas[[#This Row],[Coluna]])</f>
        <v>0.1</v>
      </c>
      <c r="J29" s="70">
        <f>_xlfn.XLOOKUP(TB_Vendas[[#This Row],[Vendedor]],Vendedores!$A$5:$A$9,Vendedores!$D$5:$D$9)</f>
        <v>0.2</v>
      </c>
      <c r="K29" s="70">
        <f>IF(TB_Vendas[[#This Row],[Desc. Vendedor]]&gt;TB_Vendas[[#This Row],[Desc.]],TB_Vendas[[#This Row],[Desc.]],TB_Vendas[[#This Row],[Desc. Vendedor]])</f>
        <v>0.1</v>
      </c>
      <c r="L29" s="8">
        <f>TB_Vendas[[#This Row],[Preço Unitário]]*TB_Vendas[[#This Row],[Qtd]]</f>
        <v>65.900000000000006</v>
      </c>
      <c r="M29" s="1" t="s">
        <v>129</v>
      </c>
    </row>
    <row r="30" spans="1:13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">
        <v>5</v>
      </c>
      <c r="F30" s="29">
        <f>_xlfn.XLOOKUP(TB_Vendas[[#This Row],[Código]],TB_Produtos[Código],TB_Produtos[Preço Unitário],0,0)</f>
        <v>32.9</v>
      </c>
      <c r="G30" s="10">
        <f>MATCH(TB_Vendas[[#This Row],[Qtd]],dsc_qtde,1)</f>
        <v>5</v>
      </c>
      <c r="H30" s="10">
        <f>MATCH(_xlfn.XLOOKUP(TB_Vendas[[#This Row],[Código]],TB_Produtos[Código],TB_Produtos[Categoria]),dsc_categoria,0)</f>
        <v>3</v>
      </c>
      <c r="I30" s="70" cm="1">
        <f t="array" ref="I30">INDEX(tb_desconto,TB_Vendas[[#This Row],[Linha]],TB_Vendas[[#This Row],[Coluna]])</f>
        <v>0.25</v>
      </c>
      <c r="J30" s="70">
        <f>_xlfn.XLOOKUP(TB_Vendas[[#This Row],[Vendedor]],Vendedores!$A$5:$A$9,Vendedores!$D$5:$D$9)</f>
        <v>0.15</v>
      </c>
      <c r="K30" s="70">
        <f>IF(TB_Vendas[[#This Row],[Desc. Vendedor]]&gt;TB_Vendas[[#This Row],[Desc.]],TB_Vendas[[#This Row],[Desc.]],TB_Vendas[[#This Row],[Desc. Vendedor]])</f>
        <v>0.15</v>
      </c>
      <c r="L30" s="8">
        <f>TB_Vendas[[#This Row],[Preço Unitário]]*TB_Vendas[[#This Row],[Qtd]]</f>
        <v>164.5</v>
      </c>
      <c r="M30" s="1" t="s">
        <v>130</v>
      </c>
    </row>
    <row r="31" spans="1:13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">
        <v>2</v>
      </c>
      <c r="F31" s="29">
        <f>_xlfn.XLOOKUP(TB_Vendas[[#This Row],[Código]],TB_Produtos[Código],TB_Produtos[Preço Unitário],0,0)</f>
        <v>180</v>
      </c>
      <c r="G31" s="10">
        <f>MATCH(TB_Vendas[[#This Row],[Qtd]],dsc_qtde,1)</f>
        <v>3</v>
      </c>
      <c r="H31" s="10">
        <f>MATCH(_xlfn.XLOOKUP(TB_Vendas[[#This Row],[Código]],TB_Produtos[Código],TB_Produtos[Categoria]),dsc_categoria,0)</f>
        <v>3</v>
      </c>
      <c r="I31" s="70" cm="1">
        <f t="array" ref="I31">INDEX(tb_desconto,TB_Vendas[[#This Row],[Linha]],TB_Vendas[[#This Row],[Coluna]])</f>
        <v>0.15</v>
      </c>
      <c r="J31" s="70">
        <f>_xlfn.XLOOKUP(TB_Vendas[[#This Row],[Vendedor]],Vendedores!$A$5:$A$9,Vendedores!$D$5:$D$9)</f>
        <v>0.25</v>
      </c>
      <c r="K31" s="70">
        <f>IF(TB_Vendas[[#This Row],[Desc. Vendedor]]&gt;TB_Vendas[[#This Row],[Desc.]],TB_Vendas[[#This Row],[Desc.]],TB_Vendas[[#This Row],[Desc. Vendedor]])</f>
        <v>0.15</v>
      </c>
      <c r="L31" s="8">
        <f>TB_Vendas[[#This Row],[Preço Unitário]]*TB_Vendas[[#This Row],[Qtd]]</f>
        <v>360</v>
      </c>
      <c r="M31" s="1" t="s">
        <v>127</v>
      </c>
    </row>
    <row r="32" spans="1:13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">
        <v>3</v>
      </c>
      <c r="F32" s="29">
        <f>_xlfn.XLOOKUP(TB_Vendas[[#This Row],[Código]],TB_Produtos[Código],TB_Produtos[Preço Unitário],0,0)</f>
        <v>349.9</v>
      </c>
      <c r="G32" s="10">
        <f>MATCH(TB_Vendas[[#This Row],[Qtd]],dsc_qtde,1)</f>
        <v>4</v>
      </c>
      <c r="H32" s="10">
        <f>MATCH(_xlfn.XLOOKUP(TB_Vendas[[#This Row],[Código]],TB_Produtos[Código],TB_Produtos[Categoria]),dsc_categoria,0)</f>
        <v>2</v>
      </c>
      <c r="I32" s="70" cm="1">
        <f t="array" ref="I32">INDEX(tb_desconto,TB_Vendas[[#This Row],[Linha]],TB_Vendas[[#This Row],[Coluna]])</f>
        <v>0.15</v>
      </c>
      <c r="J32" s="70">
        <f>_xlfn.XLOOKUP(TB_Vendas[[#This Row],[Vendedor]],Vendedores!$A$5:$A$9,Vendedores!$D$5:$D$9)</f>
        <v>0.2</v>
      </c>
      <c r="K32" s="70">
        <f>IF(TB_Vendas[[#This Row],[Desc. Vendedor]]&gt;TB_Vendas[[#This Row],[Desc.]],TB_Vendas[[#This Row],[Desc.]],TB_Vendas[[#This Row],[Desc. Vendedor]])</f>
        <v>0.15</v>
      </c>
      <c r="L32" s="8">
        <f>TB_Vendas[[#This Row],[Preço Unitário]]*TB_Vendas[[#This Row],[Qtd]]</f>
        <v>1049.6999999999998</v>
      </c>
      <c r="M32" s="1" t="s">
        <v>126</v>
      </c>
    </row>
    <row r="33" spans="1:13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">
        <v>1</v>
      </c>
      <c r="F33" s="29">
        <f>_xlfn.XLOOKUP(TB_Vendas[[#This Row],[Código]],TB_Produtos[Código],TB_Produtos[Preço Unitário],0,0)</f>
        <v>72.5</v>
      </c>
      <c r="G33" s="10">
        <f>MATCH(TB_Vendas[[#This Row],[Qtd]],dsc_qtde,1)</f>
        <v>2</v>
      </c>
      <c r="H33" s="10">
        <f>MATCH(_xlfn.XLOOKUP(TB_Vendas[[#This Row],[Código]],TB_Produtos[Código],TB_Produtos[Categoria]),dsc_categoria,0)</f>
        <v>3</v>
      </c>
      <c r="I33" s="70" cm="1">
        <f t="array" ref="I33">INDEX(tb_desconto,TB_Vendas[[#This Row],[Linha]],TB_Vendas[[#This Row],[Coluna]])</f>
        <v>0.1</v>
      </c>
      <c r="J33" s="70">
        <f>_xlfn.XLOOKUP(TB_Vendas[[#This Row],[Vendedor]],Vendedores!$A$5:$A$9,Vendedores!$D$5:$D$9)</f>
        <v>0.1</v>
      </c>
      <c r="K33" s="70">
        <f>IF(TB_Vendas[[#This Row],[Desc. Vendedor]]&gt;TB_Vendas[[#This Row],[Desc.]],TB_Vendas[[#This Row],[Desc.]],TB_Vendas[[#This Row],[Desc. Vendedor]])</f>
        <v>0.1</v>
      </c>
      <c r="L33" s="8">
        <f>TB_Vendas[[#This Row],[Preço Unitário]]*TB_Vendas[[#This Row],[Qtd]]</f>
        <v>72.5</v>
      </c>
      <c r="M33" s="1" t="s">
        <v>128</v>
      </c>
    </row>
    <row r="34" spans="1:13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">
        <v>4</v>
      </c>
      <c r="F34" s="29">
        <f>_xlfn.XLOOKUP(TB_Vendas[[#This Row],[Código]],TB_Produtos[Código],TB_Produtos[Preço Unitário],0,0)</f>
        <v>259.89999999999998</v>
      </c>
      <c r="G34" s="10">
        <f>MATCH(TB_Vendas[[#This Row],[Qtd]],dsc_qtde,1)</f>
        <v>4</v>
      </c>
      <c r="H34" s="10">
        <f>MATCH(_xlfn.XLOOKUP(TB_Vendas[[#This Row],[Código]],TB_Produtos[Código],TB_Produtos[Categoria]),dsc_categoria,0)</f>
        <v>3</v>
      </c>
      <c r="I34" s="70" cm="1">
        <f t="array" ref="I34">INDEX(tb_desconto,TB_Vendas[[#This Row],[Linha]],TB_Vendas[[#This Row],[Coluna]])</f>
        <v>0.2</v>
      </c>
      <c r="J34" s="70">
        <f>_xlfn.XLOOKUP(TB_Vendas[[#This Row],[Vendedor]],Vendedores!$A$5:$A$9,Vendedores!$D$5:$D$9)</f>
        <v>0.2</v>
      </c>
      <c r="K34" s="70">
        <f>IF(TB_Vendas[[#This Row],[Desc. Vendedor]]&gt;TB_Vendas[[#This Row],[Desc.]],TB_Vendas[[#This Row],[Desc.]],TB_Vendas[[#This Row],[Desc. Vendedor]])</f>
        <v>0.2</v>
      </c>
      <c r="L34" s="8">
        <f>TB_Vendas[[#This Row],[Preço Unitário]]*TB_Vendas[[#This Row],[Qtd]]</f>
        <v>1039.5999999999999</v>
      </c>
      <c r="M34" s="1" t="s">
        <v>126</v>
      </c>
    </row>
    <row r="35" spans="1:13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">
        <v>3</v>
      </c>
      <c r="F35" s="29">
        <f>_xlfn.XLOOKUP(TB_Vendas[[#This Row],[Código]],TB_Produtos[Código],TB_Produtos[Preço Unitário],0,0)</f>
        <v>25.9</v>
      </c>
      <c r="G35" s="10">
        <f>MATCH(TB_Vendas[[#This Row],[Qtd]],dsc_qtde,1)</f>
        <v>4</v>
      </c>
      <c r="H35" s="10">
        <f>MATCH(_xlfn.XLOOKUP(TB_Vendas[[#This Row],[Código]],TB_Produtos[Código],TB_Produtos[Categoria]),dsc_categoria,0)</f>
        <v>3</v>
      </c>
      <c r="I35" s="70" cm="1">
        <f t="array" ref="I35">INDEX(tb_desconto,TB_Vendas[[#This Row],[Linha]],TB_Vendas[[#This Row],[Coluna]])</f>
        <v>0.2</v>
      </c>
      <c r="J35" s="70">
        <f>_xlfn.XLOOKUP(TB_Vendas[[#This Row],[Vendedor]],Vendedores!$A$5:$A$9,Vendedores!$D$5:$D$9)</f>
        <v>0.25</v>
      </c>
      <c r="K35" s="70">
        <f>IF(TB_Vendas[[#This Row],[Desc. Vendedor]]&gt;TB_Vendas[[#This Row],[Desc.]],TB_Vendas[[#This Row],[Desc.]],TB_Vendas[[#This Row],[Desc. Vendedor]])</f>
        <v>0.2</v>
      </c>
      <c r="L35" s="8">
        <f>TB_Vendas[[#This Row],[Preço Unitário]]*TB_Vendas[[#This Row],[Qtd]]</f>
        <v>77.699999999999989</v>
      </c>
      <c r="M35" s="1" t="s">
        <v>127</v>
      </c>
    </row>
    <row r="36" spans="1:13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">
        <v>2</v>
      </c>
      <c r="F36" s="29">
        <f>_xlfn.XLOOKUP(TB_Vendas[[#This Row],[Código]],TB_Produtos[Código],TB_Produtos[Preço Unitário],0,0)</f>
        <v>145</v>
      </c>
      <c r="G36" s="10">
        <f>MATCH(TB_Vendas[[#This Row],[Qtd]],dsc_qtde,1)</f>
        <v>3</v>
      </c>
      <c r="H36" s="10">
        <f>MATCH(_xlfn.XLOOKUP(TB_Vendas[[#This Row],[Código]],TB_Produtos[Código],TB_Produtos[Categoria]),dsc_categoria,0)</f>
        <v>2</v>
      </c>
      <c r="I36" s="70" cm="1">
        <f t="array" ref="I36">INDEX(tb_desconto,TB_Vendas[[#This Row],[Linha]],TB_Vendas[[#This Row],[Coluna]])</f>
        <v>0.05</v>
      </c>
      <c r="J36" s="70">
        <f>_xlfn.XLOOKUP(TB_Vendas[[#This Row],[Vendedor]],Vendedores!$A$5:$A$9,Vendedores!$D$5:$D$9)</f>
        <v>0.2</v>
      </c>
      <c r="K36" s="70">
        <f>IF(TB_Vendas[[#This Row],[Desc. Vendedor]]&gt;TB_Vendas[[#This Row],[Desc.]],TB_Vendas[[#This Row],[Desc.]],TB_Vendas[[#This Row],[Desc. Vendedor]])</f>
        <v>0.05</v>
      </c>
      <c r="L36" s="8">
        <f>TB_Vendas[[#This Row],[Preço Unitário]]*TB_Vendas[[#This Row],[Qtd]]</f>
        <v>290</v>
      </c>
      <c r="M36" s="1" t="s">
        <v>126</v>
      </c>
    </row>
    <row r="37" spans="1:13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">
        <v>1</v>
      </c>
      <c r="F37" s="29">
        <f>_xlfn.XLOOKUP(TB_Vendas[[#This Row],[Código]],TB_Produtos[Código],TB_Produtos[Preço Unitário],0,0)</f>
        <v>39.9</v>
      </c>
      <c r="G37" s="10">
        <f>MATCH(TB_Vendas[[#This Row],[Qtd]],dsc_qtde,1)</f>
        <v>2</v>
      </c>
      <c r="H37" s="10">
        <f>MATCH(_xlfn.XLOOKUP(TB_Vendas[[#This Row],[Código]],TB_Produtos[Código],TB_Produtos[Categoria]),dsc_categoria,0)</f>
        <v>2</v>
      </c>
      <c r="I37" s="70" cm="1">
        <f t="array" ref="I37">INDEX(tb_desconto,TB_Vendas[[#This Row],[Linha]],TB_Vendas[[#This Row],[Coluna]])</f>
        <v>0</v>
      </c>
      <c r="J37" s="70">
        <f>_xlfn.XLOOKUP(TB_Vendas[[#This Row],[Vendedor]],Vendedores!$A$5:$A$9,Vendedores!$D$5:$D$9)</f>
        <v>0.25</v>
      </c>
      <c r="K37" s="70">
        <f>IF(TB_Vendas[[#This Row],[Desc. Vendedor]]&gt;TB_Vendas[[#This Row],[Desc.]],TB_Vendas[[#This Row],[Desc.]],TB_Vendas[[#This Row],[Desc. Vendedor]])</f>
        <v>0</v>
      </c>
      <c r="L37" s="8">
        <f>TB_Vendas[[#This Row],[Preço Unitário]]*TB_Vendas[[#This Row],[Qtd]]</f>
        <v>39.9</v>
      </c>
      <c r="M37" s="1" t="s">
        <v>127</v>
      </c>
    </row>
    <row r="38" spans="1:13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">
        <v>3</v>
      </c>
      <c r="F38" s="29">
        <f>_xlfn.XLOOKUP(TB_Vendas[[#This Row],[Código]],TB_Produtos[Código],TB_Produtos[Preço Unitário],0,0)</f>
        <v>349.9</v>
      </c>
      <c r="G38" s="10">
        <f>MATCH(TB_Vendas[[#This Row],[Qtd]],dsc_qtde,1)</f>
        <v>4</v>
      </c>
      <c r="H38" s="10">
        <f>MATCH(_xlfn.XLOOKUP(TB_Vendas[[#This Row],[Código]],TB_Produtos[Código],TB_Produtos[Categoria]),dsc_categoria,0)</f>
        <v>2</v>
      </c>
      <c r="I38" s="70" cm="1">
        <f t="array" ref="I38">INDEX(tb_desconto,TB_Vendas[[#This Row],[Linha]],TB_Vendas[[#This Row],[Coluna]])</f>
        <v>0.15</v>
      </c>
      <c r="J38" s="70">
        <f>_xlfn.XLOOKUP(TB_Vendas[[#This Row],[Vendedor]],Vendedores!$A$5:$A$9,Vendedores!$D$5:$D$9)</f>
        <v>0.2</v>
      </c>
      <c r="K38" s="70">
        <f>IF(TB_Vendas[[#This Row],[Desc. Vendedor]]&gt;TB_Vendas[[#This Row],[Desc.]],TB_Vendas[[#This Row],[Desc.]],TB_Vendas[[#This Row],[Desc. Vendedor]])</f>
        <v>0.15</v>
      </c>
      <c r="L38" s="8">
        <f>TB_Vendas[[#This Row],[Preço Unitário]]*TB_Vendas[[#This Row],[Qtd]]</f>
        <v>1049.6999999999998</v>
      </c>
      <c r="M38" s="1" t="s">
        <v>129</v>
      </c>
    </row>
    <row r="39" spans="1:13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">
        <v>4</v>
      </c>
      <c r="F39" s="29">
        <f>_xlfn.XLOOKUP(TB_Vendas[[#This Row],[Código]],TB_Produtos[Código],TB_Produtos[Preço Unitário],0,0)</f>
        <v>89.9</v>
      </c>
      <c r="G39" s="10">
        <f>MATCH(TB_Vendas[[#This Row],[Qtd]],dsc_qtde,1)</f>
        <v>4</v>
      </c>
      <c r="H39" s="10">
        <f>MATCH(_xlfn.XLOOKUP(TB_Vendas[[#This Row],[Código]],TB_Produtos[Código],TB_Produtos[Categoria]),dsc_categoria,0)</f>
        <v>4</v>
      </c>
      <c r="I39" s="70" cm="1">
        <f t="array" ref="I39">INDEX(tb_desconto,TB_Vendas[[#This Row],[Linha]],TB_Vendas[[#This Row],[Coluna]])</f>
        <v>0.15</v>
      </c>
      <c r="J39" s="70">
        <f>_xlfn.XLOOKUP(TB_Vendas[[#This Row],[Vendedor]],Vendedores!$A$5:$A$9,Vendedores!$D$5:$D$9)</f>
        <v>0.2</v>
      </c>
      <c r="K39" s="70">
        <f>IF(TB_Vendas[[#This Row],[Desc. Vendedor]]&gt;TB_Vendas[[#This Row],[Desc.]],TB_Vendas[[#This Row],[Desc.]],TB_Vendas[[#This Row],[Desc. Vendedor]])</f>
        <v>0.15</v>
      </c>
      <c r="L39" s="8">
        <f>TB_Vendas[[#This Row],[Preço Unitário]]*TB_Vendas[[#This Row],[Qtd]]</f>
        <v>359.6</v>
      </c>
      <c r="M39" s="1" t="s">
        <v>126</v>
      </c>
    </row>
    <row r="40" spans="1:13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">
        <v>2</v>
      </c>
      <c r="F40" s="29">
        <f>_xlfn.XLOOKUP(TB_Vendas[[#This Row],[Código]],TB_Produtos[Código],TB_Produtos[Preço Unitário],0,0)</f>
        <v>89.9</v>
      </c>
      <c r="G40" s="10">
        <f>MATCH(TB_Vendas[[#This Row],[Qtd]],dsc_qtde,1)</f>
        <v>3</v>
      </c>
      <c r="H40" s="10">
        <f>MATCH(_xlfn.XLOOKUP(TB_Vendas[[#This Row],[Código]],TB_Produtos[Código],TB_Produtos[Categoria]),dsc_categoria,0)</f>
        <v>4</v>
      </c>
      <c r="I40" s="70" cm="1">
        <f t="array" ref="I40">INDEX(tb_desconto,TB_Vendas[[#This Row],[Linha]],TB_Vendas[[#This Row],[Coluna]])</f>
        <v>0.1</v>
      </c>
      <c r="J40" s="70">
        <f>_xlfn.XLOOKUP(TB_Vendas[[#This Row],[Vendedor]],Vendedores!$A$5:$A$9,Vendedores!$D$5:$D$9)</f>
        <v>0.2</v>
      </c>
      <c r="K40" s="70">
        <f>IF(TB_Vendas[[#This Row],[Desc. Vendedor]]&gt;TB_Vendas[[#This Row],[Desc.]],TB_Vendas[[#This Row],[Desc.]],TB_Vendas[[#This Row],[Desc. Vendedor]])</f>
        <v>0.1</v>
      </c>
      <c r="L40" s="8">
        <f>TB_Vendas[[#This Row],[Preço Unitário]]*TB_Vendas[[#This Row],[Qtd]]</f>
        <v>179.8</v>
      </c>
      <c r="M40" s="1" t="s">
        <v>129</v>
      </c>
    </row>
    <row r="41" spans="1:13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">
        <v>3</v>
      </c>
      <c r="F41" s="29">
        <f>_xlfn.XLOOKUP(TB_Vendas[[#This Row],[Código]],TB_Produtos[Código],TB_Produtos[Preço Unitário],0,0)</f>
        <v>69.900000000000006</v>
      </c>
      <c r="G41" s="10">
        <f>MATCH(TB_Vendas[[#This Row],[Qtd]],dsc_qtde,1)</f>
        <v>4</v>
      </c>
      <c r="H41" s="10">
        <f>MATCH(_xlfn.XLOOKUP(TB_Vendas[[#This Row],[Código]],TB_Produtos[Código],TB_Produtos[Categoria]),dsc_categoria,0)</f>
        <v>3</v>
      </c>
      <c r="I41" s="70" cm="1">
        <f t="array" ref="I41">INDEX(tb_desconto,TB_Vendas[[#This Row],[Linha]],TB_Vendas[[#This Row],[Coluna]])</f>
        <v>0.2</v>
      </c>
      <c r="J41" s="70">
        <f>_xlfn.XLOOKUP(TB_Vendas[[#This Row],[Vendedor]],Vendedores!$A$5:$A$9,Vendedores!$D$5:$D$9)</f>
        <v>0.2</v>
      </c>
      <c r="K41" s="70">
        <f>IF(TB_Vendas[[#This Row],[Desc. Vendedor]]&gt;TB_Vendas[[#This Row],[Desc.]],TB_Vendas[[#This Row],[Desc.]],TB_Vendas[[#This Row],[Desc. Vendedor]])</f>
        <v>0.2</v>
      </c>
      <c r="L41" s="8">
        <f>TB_Vendas[[#This Row],[Preço Unitário]]*TB_Vendas[[#This Row],[Qtd]]</f>
        <v>209.70000000000002</v>
      </c>
      <c r="M41" s="1" t="s">
        <v>126</v>
      </c>
    </row>
    <row r="42" spans="1:13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">
        <v>1</v>
      </c>
      <c r="F42" s="29">
        <f>_xlfn.XLOOKUP(TB_Vendas[[#This Row],[Código]],TB_Produtos[Código],TB_Produtos[Preço Unitário],0,0)</f>
        <v>145</v>
      </c>
      <c r="G42" s="10">
        <f>MATCH(TB_Vendas[[#This Row],[Qtd]],dsc_qtde,1)</f>
        <v>2</v>
      </c>
      <c r="H42" s="10">
        <f>MATCH(_xlfn.XLOOKUP(TB_Vendas[[#This Row],[Código]],TB_Produtos[Código],TB_Produtos[Categoria]),dsc_categoria,0)</f>
        <v>2</v>
      </c>
      <c r="I42" s="70" cm="1">
        <f t="array" ref="I42">INDEX(tb_desconto,TB_Vendas[[#This Row],[Linha]],TB_Vendas[[#This Row],[Coluna]])</f>
        <v>0</v>
      </c>
      <c r="J42" s="70">
        <f>_xlfn.XLOOKUP(TB_Vendas[[#This Row],[Vendedor]],Vendedores!$A$5:$A$9,Vendedores!$D$5:$D$9)</f>
        <v>0.15</v>
      </c>
      <c r="K42" s="70">
        <f>IF(TB_Vendas[[#This Row],[Desc. Vendedor]]&gt;TB_Vendas[[#This Row],[Desc.]],TB_Vendas[[#This Row],[Desc.]],TB_Vendas[[#This Row],[Desc. Vendedor]])</f>
        <v>0</v>
      </c>
      <c r="L42" s="8">
        <f>TB_Vendas[[#This Row],[Preço Unitário]]*TB_Vendas[[#This Row],[Qtd]]</f>
        <v>145</v>
      </c>
      <c r="M42" s="1" t="s">
        <v>130</v>
      </c>
    </row>
    <row r="43" spans="1:13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">
        <v>4</v>
      </c>
      <c r="F43" s="29">
        <f>_xlfn.XLOOKUP(TB_Vendas[[#This Row],[Código]],TB_Produtos[Código],TB_Produtos[Preço Unitário],0,0)</f>
        <v>46.9</v>
      </c>
      <c r="G43" s="10">
        <f>MATCH(TB_Vendas[[#This Row],[Qtd]],dsc_qtde,1)</f>
        <v>4</v>
      </c>
      <c r="H43" s="10">
        <f>MATCH(_xlfn.XLOOKUP(TB_Vendas[[#This Row],[Código]],TB_Produtos[Código],TB_Produtos[Categoria]),dsc_categoria,0)</f>
        <v>3</v>
      </c>
      <c r="I43" s="70" cm="1">
        <f t="array" ref="I43">INDEX(tb_desconto,TB_Vendas[[#This Row],[Linha]],TB_Vendas[[#This Row],[Coluna]])</f>
        <v>0.2</v>
      </c>
      <c r="J43" s="70">
        <f>_xlfn.XLOOKUP(TB_Vendas[[#This Row],[Vendedor]],Vendedores!$A$5:$A$9,Vendedores!$D$5:$D$9)</f>
        <v>0.2</v>
      </c>
      <c r="K43" s="70">
        <f>IF(TB_Vendas[[#This Row],[Desc. Vendedor]]&gt;TB_Vendas[[#This Row],[Desc.]],TB_Vendas[[#This Row],[Desc.]],TB_Vendas[[#This Row],[Desc. Vendedor]])</f>
        <v>0.2</v>
      </c>
      <c r="L43" s="8">
        <f>TB_Vendas[[#This Row],[Preço Unitário]]*TB_Vendas[[#This Row],[Qtd]]</f>
        <v>187.6</v>
      </c>
      <c r="M43" s="1" t="s">
        <v>126</v>
      </c>
    </row>
    <row r="44" spans="1:13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">
        <v>2</v>
      </c>
      <c r="F44" s="29">
        <f>_xlfn.XLOOKUP(TB_Vendas[[#This Row],[Código]],TB_Produtos[Código],TB_Produtos[Preço Unitário],0,0)</f>
        <v>72.5</v>
      </c>
      <c r="G44" s="10">
        <f>MATCH(TB_Vendas[[#This Row],[Qtd]],dsc_qtde,1)</f>
        <v>3</v>
      </c>
      <c r="H44" s="10">
        <f>MATCH(_xlfn.XLOOKUP(TB_Vendas[[#This Row],[Código]],TB_Produtos[Código],TB_Produtos[Categoria]),dsc_categoria,0)</f>
        <v>3</v>
      </c>
      <c r="I44" s="70" cm="1">
        <f t="array" ref="I44">INDEX(tb_desconto,TB_Vendas[[#This Row],[Linha]],TB_Vendas[[#This Row],[Coluna]])</f>
        <v>0.15</v>
      </c>
      <c r="J44" s="70">
        <f>_xlfn.XLOOKUP(TB_Vendas[[#This Row],[Vendedor]],Vendedores!$A$5:$A$9,Vendedores!$D$5:$D$9)</f>
        <v>0.15</v>
      </c>
      <c r="K44" s="70">
        <f>IF(TB_Vendas[[#This Row],[Desc. Vendedor]]&gt;TB_Vendas[[#This Row],[Desc.]],TB_Vendas[[#This Row],[Desc.]],TB_Vendas[[#This Row],[Desc. Vendedor]])</f>
        <v>0.15</v>
      </c>
      <c r="L44" s="8">
        <f>TB_Vendas[[#This Row],[Preço Unitário]]*TB_Vendas[[#This Row],[Qtd]]</f>
        <v>145</v>
      </c>
      <c r="M44" s="1" t="s">
        <v>130</v>
      </c>
    </row>
    <row r="45" spans="1:13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">
        <v>3</v>
      </c>
      <c r="F45" s="29">
        <f>_xlfn.XLOOKUP(TB_Vendas[[#This Row],[Código]],TB_Produtos[Código],TB_Produtos[Preço Unitário],0,0)</f>
        <v>140</v>
      </c>
      <c r="G45" s="10">
        <f>MATCH(TB_Vendas[[#This Row],[Qtd]],dsc_qtde,1)</f>
        <v>4</v>
      </c>
      <c r="H45" s="10">
        <f>MATCH(_xlfn.XLOOKUP(TB_Vendas[[#This Row],[Código]],TB_Produtos[Código],TB_Produtos[Categoria]),dsc_categoria,0)</f>
        <v>3</v>
      </c>
      <c r="I45" s="70" cm="1">
        <f t="array" ref="I45">INDEX(tb_desconto,TB_Vendas[[#This Row],[Linha]],TB_Vendas[[#This Row],[Coluna]])</f>
        <v>0.2</v>
      </c>
      <c r="J45" s="70">
        <f>_xlfn.XLOOKUP(TB_Vendas[[#This Row],[Vendedor]],Vendedores!$A$5:$A$9,Vendedores!$D$5:$D$9)</f>
        <v>0.2</v>
      </c>
      <c r="K45" s="70">
        <f>IF(TB_Vendas[[#This Row],[Desc. Vendedor]]&gt;TB_Vendas[[#This Row],[Desc.]],TB_Vendas[[#This Row],[Desc.]],TB_Vendas[[#This Row],[Desc. Vendedor]])</f>
        <v>0.2</v>
      </c>
      <c r="L45" s="8">
        <f>TB_Vendas[[#This Row],[Preço Unitário]]*TB_Vendas[[#This Row],[Qtd]]</f>
        <v>420</v>
      </c>
      <c r="M45" s="1" t="s">
        <v>129</v>
      </c>
    </row>
    <row r="46" spans="1:13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">
        <v>1</v>
      </c>
      <c r="F46" s="29">
        <f>_xlfn.XLOOKUP(TB_Vendas[[#This Row],[Código]],TB_Produtos[Código],TB_Produtos[Preço Unitário],0,0)</f>
        <v>91.4</v>
      </c>
      <c r="G46" s="10">
        <f>MATCH(TB_Vendas[[#This Row],[Qtd]],dsc_qtde,1)</f>
        <v>2</v>
      </c>
      <c r="H46" s="10">
        <f>MATCH(_xlfn.XLOOKUP(TB_Vendas[[#This Row],[Código]],TB_Produtos[Código],TB_Produtos[Categoria]),dsc_categoria,0)</f>
        <v>3</v>
      </c>
      <c r="I46" s="70" cm="1">
        <f t="array" ref="I46">INDEX(tb_desconto,TB_Vendas[[#This Row],[Linha]],TB_Vendas[[#This Row],[Coluna]])</f>
        <v>0.1</v>
      </c>
      <c r="J46" s="70">
        <f>_xlfn.XLOOKUP(TB_Vendas[[#This Row],[Vendedor]],Vendedores!$A$5:$A$9,Vendedores!$D$5:$D$9)</f>
        <v>0.25</v>
      </c>
      <c r="K46" s="70">
        <f>IF(TB_Vendas[[#This Row],[Desc. Vendedor]]&gt;TB_Vendas[[#This Row],[Desc.]],TB_Vendas[[#This Row],[Desc.]],TB_Vendas[[#This Row],[Desc. Vendedor]])</f>
        <v>0.1</v>
      </c>
      <c r="L46" s="8">
        <f>TB_Vendas[[#This Row],[Preço Unitário]]*TB_Vendas[[#This Row],[Qtd]]</f>
        <v>91.4</v>
      </c>
      <c r="M46" s="1" t="s">
        <v>127</v>
      </c>
    </row>
    <row r="47" spans="1:13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">
        <v>2</v>
      </c>
      <c r="F47" s="29">
        <f>_xlfn.XLOOKUP(TB_Vendas[[#This Row],[Código]],TB_Produtos[Código],TB_Produtos[Preço Unitário],0,0)</f>
        <v>349.9</v>
      </c>
      <c r="G47" s="10">
        <f>MATCH(TB_Vendas[[#This Row],[Qtd]],dsc_qtde,1)</f>
        <v>3</v>
      </c>
      <c r="H47" s="10">
        <f>MATCH(_xlfn.XLOOKUP(TB_Vendas[[#This Row],[Código]],TB_Produtos[Código],TB_Produtos[Categoria]),dsc_categoria,0)</f>
        <v>2</v>
      </c>
      <c r="I47" s="70" cm="1">
        <f t="array" ref="I47">INDEX(tb_desconto,TB_Vendas[[#This Row],[Linha]],TB_Vendas[[#This Row],[Coluna]])</f>
        <v>0.05</v>
      </c>
      <c r="J47" s="70">
        <f>_xlfn.XLOOKUP(TB_Vendas[[#This Row],[Vendedor]],Vendedores!$A$5:$A$9,Vendedores!$D$5:$D$9)</f>
        <v>0.2</v>
      </c>
      <c r="K47" s="70">
        <f>IF(TB_Vendas[[#This Row],[Desc. Vendedor]]&gt;TB_Vendas[[#This Row],[Desc.]],TB_Vendas[[#This Row],[Desc.]],TB_Vendas[[#This Row],[Desc. Vendedor]])</f>
        <v>0.05</v>
      </c>
      <c r="L47" s="8">
        <f>TB_Vendas[[#This Row],[Preço Unitário]]*TB_Vendas[[#This Row],[Qtd]]</f>
        <v>699.8</v>
      </c>
      <c r="M47" s="1" t="s">
        <v>129</v>
      </c>
    </row>
    <row r="48" spans="1:13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">
        <v>3</v>
      </c>
      <c r="F48" s="29">
        <f>_xlfn.XLOOKUP(TB_Vendas[[#This Row],[Código]],TB_Produtos[Código],TB_Produtos[Preço Unitário],0,0)</f>
        <v>65.900000000000006</v>
      </c>
      <c r="G48" s="10">
        <f>MATCH(TB_Vendas[[#This Row],[Qtd]],dsc_qtde,1)</f>
        <v>4</v>
      </c>
      <c r="H48" s="10">
        <f>MATCH(_xlfn.XLOOKUP(TB_Vendas[[#This Row],[Código]],TB_Produtos[Código],TB_Produtos[Categoria]),dsc_categoria,0)</f>
        <v>3</v>
      </c>
      <c r="I48" s="70" cm="1">
        <f t="array" ref="I48">INDEX(tb_desconto,TB_Vendas[[#This Row],[Linha]],TB_Vendas[[#This Row],[Coluna]])</f>
        <v>0.2</v>
      </c>
      <c r="J48" s="70">
        <f>_xlfn.XLOOKUP(TB_Vendas[[#This Row],[Vendedor]],Vendedores!$A$5:$A$9,Vendedores!$D$5:$D$9)</f>
        <v>0.25</v>
      </c>
      <c r="K48" s="70">
        <f>IF(TB_Vendas[[#This Row],[Desc. Vendedor]]&gt;TB_Vendas[[#This Row],[Desc.]],TB_Vendas[[#This Row],[Desc.]],TB_Vendas[[#This Row],[Desc. Vendedor]])</f>
        <v>0.2</v>
      </c>
      <c r="L48" s="8">
        <f>TB_Vendas[[#This Row],[Preço Unitário]]*TB_Vendas[[#This Row],[Qtd]]</f>
        <v>197.70000000000002</v>
      </c>
      <c r="M48" s="1" t="s">
        <v>127</v>
      </c>
    </row>
    <row r="49" spans="1:13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">
        <v>2</v>
      </c>
      <c r="F49" s="29">
        <f>_xlfn.XLOOKUP(TB_Vendas[[#This Row],[Código]],TB_Produtos[Código],TB_Produtos[Preço Unitário],0,0)</f>
        <v>91.4</v>
      </c>
      <c r="G49" s="10">
        <f>MATCH(TB_Vendas[[#This Row],[Qtd]],dsc_qtde,1)</f>
        <v>3</v>
      </c>
      <c r="H49" s="10">
        <f>MATCH(_xlfn.XLOOKUP(TB_Vendas[[#This Row],[Código]],TB_Produtos[Código],TB_Produtos[Categoria]),dsc_categoria,0)</f>
        <v>3</v>
      </c>
      <c r="I49" s="70" cm="1">
        <f t="array" ref="I49">INDEX(tb_desconto,TB_Vendas[[#This Row],[Linha]],TB_Vendas[[#This Row],[Coluna]])</f>
        <v>0.15</v>
      </c>
      <c r="J49" s="70">
        <f>_xlfn.XLOOKUP(TB_Vendas[[#This Row],[Vendedor]],Vendedores!$A$5:$A$9,Vendedores!$D$5:$D$9)</f>
        <v>0.2</v>
      </c>
      <c r="K49" s="70">
        <f>IF(TB_Vendas[[#This Row],[Desc. Vendedor]]&gt;TB_Vendas[[#This Row],[Desc.]],TB_Vendas[[#This Row],[Desc.]],TB_Vendas[[#This Row],[Desc. Vendedor]])</f>
        <v>0.15</v>
      </c>
      <c r="L49" s="8">
        <f>TB_Vendas[[#This Row],[Preço Unitário]]*TB_Vendas[[#This Row],[Qtd]]</f>
        <v>182.8</v>
      </c>
      <c r="M49" s="1" t="s">
        <v>126</v>
      </c>
    </row>
    <row r="50" spans="1:13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">
        <v>4</v>
      </c>
      <c r="F50" s="29">
        <f>_xlfn.XLOOKUP(TB_Vendas[[#This Row],[Código]],TB_Produtos[Código],TB_Produtos[Preço Unitário],0,0)</f>
        <v>259.89999999999998</v>
      </c>
      <c r="G50" s="10">
        <f>MATCH(TB_Vendas[[#This Row],[Qtd]],dsc_qtde,1)</f>
        <v>4</v>
      </c>
      <c r="H50" s="10">
        <f>MATCH(_xlfn.XLOOKUP(TB_Vendas[[#This Row],[Código]],TB_Produtos[Código],TB_Produtos[Categoria]),dsc_categoria,0)</f>
        <v>2</v>
      </c>
      <c r="I50" s="70" cm="1">
        <f t="array" ref="I50">INDEX(tb_desconto,TB_Vendas[[#This Row],[Linha]],TB_Vendas[[#This Row],[Coluna]])</f>
        <v>0.15</v>
      </c>
      <c r="J50" s="70">
        <f>_xlfn.XLOOKUP(TB_Vendas[[#This Row],[Vendedor]],Vendedores!$A$5:$A$9,Vendedores!$D$5:$D$9)</f>
        <v>0.25</v>
      </c>
      <c r="K50" s="70">
        <f>IF(TB_Vendas[[#This Row],[Desc. Vendedor]]&gt;TB_Vendas[[#This Row],[Desc.]],TB_Vendas[[#This Row],[Desc.]],TB_Vendas[[#This Row],[Desc. Vendedor]])</f>
        <v>0.15</v>
      </c>
      <c r="L50" s="8">
        <f>TB_Vendas[[#This Row],[Preço Unitário]]*TB_Vendas[[#This Row],[Qtd]]</f>
        <v>1039.5999999999999</v>
      </c>
      <c r="M50" s="1" t="s">
        <v>127</v>
      </c>
    </row>
    <row r="51" spans="1:13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">
        <v>3</v>
      </c>
      <c r="F51" s="29">
        <f>_xlfn.XLOOKUP(TB_Vendas[[#This Row],[Código]],TB_Produtos[Código],TB_Produtos[Preço Unitário],0,0)</f>
        <v>145</v>
      </c>
      <c r="G51" s="10">
        <f>MATCH(TB_Vendas[[#This Row],[Qtd]],dsc_qtde,1)</f>
        <v>4</v>
      </c>
      <c r="H51" s="10">
        <f>MATCH(_xlfn.XLOOKUP(TB_Vendas[[#This Row],[Código]],TB_Produtos[Código],TB_Produtos[Categoria]),dsc_categoria,0)</f>
        <v>2</v>
      </c>
      <c r="I51" s="70" cm="1">
        <f t="array" ref="I51">INDEX(tb_desconto,TB_Vendas[[#This Row],[Linha]],TB_Vendas[[#This Row],[Coluna]])</f>
        <v>0.15</v>
      </c>
      <c r="J51" s="70">
        <f>_xlfn.XLOOKUP(TB_Vendas[[#This Row],[Vendedor]],Vendedores!$A$5:$A$9,Vendedores!$D$5:$D$9)</f>
        <v>0.2</v>
      </c>
      <c r="K51" s="70">
        <f>IF(TB_Vendas[[#This Row],[Desc. Vendedor]]&gt;TB_Vendas[[#This Row],[Desc.]],TB_Vendas[[#This Row],[Desc.]],TB_Vendas[[#This Row],[Desc. Vendedor]])</f>
        <v>0.15</v>
      </c>
      <c r="L51" s="8">
        <f>TB_Vendas[[#This Row],[Preço Unitário]]*TB_Vendas[[#This Row],[Qtd]]</f>
        <v>435</v>
      </c>
      <c r="M51" s="1" t="s">
        <v>126</v>
      </c>
    </row>
    <row r="52" spans="1:13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">
        <v>2</v>
      </c>
      <c r="F52" s="29">
        <f>_xlfn.XLOOKUP(TB_Vendas[[#This Row],[Código]],TB_Produtos[Código],TB_Produtos[Preço Unitário],0,0)</f>
        <v>142.9</v>
      </c>
      <c r="G52" s="10">
        <f>MATCH(TB_Vendas[[#This Row],[Qtd]],dsc_qtde,1)</f>
        <v>3</v>
      </c>
      <c r="H52" s="10">
        <f>MATCH(_xlfn.XLOOKUP(TB_Vendas[[#This Row],[Código]],TB_Produtos[Código],TB_Produtos[Categoria]),dsc_categoria,0)</f>
        <v>3</v>
      </c>
      <c r="I52" s="70" cm="1">
        <f t="array" ref="I52">INDEX(tb_desconto,TB_Vendas[[#This Row],[Linha]],TB_Vendas[[#This Row],[Coluna]])</f>
        <v>0.15</v>
      </c>
      <c r="J52" s="70">
        <f>_xlfn.XLOOKUP(TB_Vendas[[#This Row],[Vendedor]],Vendedores!$A$5:$A$9,Vendedores!$D$5:$D$9)</f>
        <v>0.1</v>
      </c>
      <c r="K52" s="70">
        <f>IF(TB_Vendas[[#This Row],[Desc. Vendedor]]&gt;TB_Vendas[[#This Row],[Desc.]],TB_Vendas[[#This Row],[Desc.]],TB_Vendas[[#This Row],[Desc. Vendedor]])</f>
        <v>0.1</v>
      </c>
      <c r="L52" s="8">
        <f>TB_Vendas[[#This Row],[Preço Unitário]]*TB_Vendas[[#This Row],[Qtd]]</f>
        <v>285.8</v>
      </c>
      <c r="M52" s="1" t="s">
        <v>128</v>
      </c>
    </row>
    <row r="53" spans="1:13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">
        <v>2</v>
      </c>
      <c r="F53" s="29">
        <f>_xlfn.XLOOKUP(TB_Vendas[[#This Row],[Código]],TB_Produtos[Código],TB_Produtos[Preço Unitário],0,0)</f>
        <v>180</v>
      </c>
      <c r="G53" s="10">
        <f>MATCH(TB_Vendas[[#This Row],[Qtd]],dsc_qtde,1)</f>
        <v>3</v>
      </c>
      <c r="H53" s="10">
        <f>MATCH(_xlfn.XLOOKUP(TB_Vendas[[#This Row],[Código]],TB_Produtos[Código],TB_Produtos[Categoria]),dsc_categoria,0)</f>
        <v>3</v>
      </c>
      <c r="I53" s="70" cm="1">
        <f t="array" ref="I53">INDEX(tb_desconto,TB_Vendas[[#This Row],[Linha]],TB_Vendas[[#This Row],[Coluna]])</f>
        <v>0.15</v>
      </c>
      <c r="J53" s="70">
        <f>_xlfn.XLOOKUP(TB_Vendas[[#This Row],[Vendedor]],Vendedores!$A$5:$A$9,Vendedores!$D$5:$D$9)</f>
        <v>0.2</v>
      </c>
      <c r="K53" s="70">
        <f>IF(TB_Vendas[[#This Row],[Desc. Vendedor]]&gt;TB_Vendas[[#This Row],[Desc.]],TB_Vendas[[#This Row],[Desc.]],TB_Vendas[[#This Row],[Desc. Vendedor]])</f>
        <v>0.15</v>
      </c>
      <c r="L53" s="8">
        <f>TB_Vendas[[#This Row],[Preço Unitário]]*TB_Vendas[[#This Row],[Qtd]]</f>
        <v>360</v>
      </c>
      <c r="M53" s="1" t="s">
        <v>126</v>
      </c>
    </row>
    <row r="54" spans="1:13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">
        <v>2</v>
      </c>
      <c r="F54" s="29">
        <f>_xlfn.XLOOKUP(TB_Vendas[[#This Row],[Código]],TB_Produtos[Código],TB_Produtos[Preço Unitário],0,0)</f>
        <v>42.5</v>
      </c>
      <c r="G54" s="10">
        <f>MATCH(TB_Vendas[[#This Row],[Qtd]],dsc_qtde,1)</f>
        <v>3</v>
      </c>
      <c r="H54" s="10">
        <f>MATCH(_xlfn.XLOOKUP(TB_Vendas[[#This Row],[Código]],TB_Produtos[Código],TB_Produtos[Categoria]),dsc_categoria,0)</f>
        <v>3</v>
      </c>
      <c r="I54" s="70" cm="1">
        <f t="array" ref="I54">INDEX(tb_desconto,TB_Vendas[[#This Row],[Linha]],TB_Vendas[[#This Row],[Coluna]])</f>
        <v>0.15</v>
      </c>
      <c r="J54" s="70">
        <f>_xlfn.XLOOKUP(TB_Vendas[[#This Row],[Vendedor]],Vendedores!$A$5:$A$9,Vendedores!$D$5:$D$9)</f>
        <v>0.1</v>
      </c>
      <c r="K54" s="70">
        <f>IF(TB_Vendas[[#This Row],[Desc. Vendedor]]&gt;TB_Vendas[[#This Row],[Desc.]],TB_Vendas[[#This Row],[Desc.]],TB_Vendas[[#This Row],[Desc. Vendedor]])</f>
        <v>0.1</v>
      </c>
      <c r="L54" s="8">
        <f>TB_Vendas[[#This Row],[Preço Unitário]]*TB_Vendas[[#This Row],[Qtd]]</f>
        <v>85</v>
      </c>
      <c r="M54" s="1" t="s">
        <v>128</v>
      </c>
    </row>
    <row r="55" spans="1:13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">
        <v>1</v>
      </c>
      <c r="F55" s="29">
        <f>_xlfn.XLOOKUP(TB_Vendas[[#This Row],[Código]],TB_Produtos[Código],TB_Produtos[Preço Unitário],0,0)</f>
        <v>65.900000000000006</v>
      </c>
      <c r="G55" s="10">
        <f>MATCH(TB_Vendas[[#This Row],[Qtd]],dsc_qtde,1)</f>
        <v>2</v>
      </c>
      <c r="H55" s="10">
        <f>MATCH(_xlfn.XLOOKUP(TB_Vendas[[#This Row],[Código]],TB_Produtos[Código],TB_Produtos[Categoria]),dsc_categoria,0)</f>
        <v>3</v>
      </c>
      <c r="I55" s="70" cm="1">
        <f t="array" ref="I55">INDEX(tb_desconto,TB_Vendas[[#This Row],[Linha]],TB_Vendas[[#This Row],[Coluna]])</f>
        <v>0.1</v>
      </c>
      <c r="J55" s="70">
        <f>_xlfn.XLOOKUP(TB_Vendas[[#This Row],[Vendedor]],Vendedores!$A$5:$A$9,Vendedores!$D$5:$D$9)</f>
        <v>0.25</v>
      </c>
      <c r="K55" s="70">
        <f>IF(TB_Vendas[[#This Row],[Desc. Vendedor]]&gt;TB_Vendas[[#This Row],[Desc.]],TB_Vendas[[#This Row],[Desc.]],TB_Vendas[[#This Row],[Desc. Vendedor]])</f>
        <v>0.1</v>
      </c>
      <c r="L55" s="8">
        <f>TB_Vendas[[#This Row],[Preço Unitário]]*TB_Vendas[[#This Row],[Qtd]]</f>
        <v>65.900000000000006</v>
      </c>
      <c r="M55" s="1" t="s">
        <v>127</v>
      </c>
    </row>
    <row r="56" spans="1:13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">
        <v>1</v>
      </c>
      <c r="F56" s="29">
        <f>_xlfn.XLOOKUP(TB_Vendas[[#This Row],[Código]],TB_Produtos[Código],TB_Produtos[Preço Unitário],0,0)</f>
        <v>180</v>
      </c>
      <c r="G56" s="10">
        <f>MATCH(TB_Vendas[[#This Row],[Qtd]],dsc_qtde,1)</f>
        <v>2</v>
      </c>
      <c r="H56" s="10">
        <f>MATCH(_xlfn.XLOOKUP(TB_Vendas[[#This Row],[Código]],TB_Produtos[Código],TB_Produtos[Categoria]),dsc_categoria,0)</f>
        <v>3</v>
      </c>
      <c r="I56" s="70" cm="1">
        <f t="array" ref="I56">INDEX(tb_desconto,TB_Vendas[[#This Row],[Linha]],TB_Vendas[[#This Row],[Coluna]])</f>
        <v>0.1</v>
      </c>
      <c r="J56" s="70">
        <f>_xlfn.XLOOKUP(TB_Vendas[[#This Row],[Vendedor]],Vendedores!$A$5:$A$9,Vendedores!$D$5:$D$9)</f>
        <v>0.1</v>
      </c>
      <c r="K56" s="70">
        <f>IF(TB_Vendas[[#This Row],[Desc. Vendedor]]&gt;TB_Vendas[[#This Row],[Desc.]],TB_Vendas[[#This Row],[Desc.]],TB_Vendas[[#This Row],[Desc. Vendedor]])</f>
        <v>0.1</v>
      </c>
      <c r="L56" s="8">
        <f>TB_Vendas[[#This Row],[Preço Unitário]]*TB_Vendas[[#This Row],[Qtd]]</f>
        <v>180</v>
      </c>
      <c r="M56" s="1" t="s">
        <v>128</v>
      </c>
    </row>
    <row r="57" spans="1:13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">
        <v>3</v>
      </c>
      <c r="F57" s="29">
        <f>_xlfn.XLOOKUP(TB_Vendas[[#This Row],[Código]],TB_Produtos[Código],TB_Produtos[Preço Unitário],0,0)</f>
        <v>32.9</v>
      </c>
      <c r="G57" s="10">
        <f>MATCH(TB_Vendas[[#This Row],[Qtd]],dsc_qtde,1)</f>
        <v>4</v>
      </c>
      <c r="H57" s="10">
        <f>MATCH(_xlfn.XLOOKUP(TB_Vendas[[#This Row],[Código]],TB_Produtos[Código],TB_Produtos[Categoria]),dsc_categoria,0)</f>
        <v>3</v>
      </c>
      <c r="I57" s="70" cm="1">
        <f t="array" ref="I57">INDEX(tb_desconto,TB_Vendas[[#This Row],[Linha]],TB_Vendas[[#This Row],[Coluna]])</f>
        <v>0.2</v>
      </c>
      <c r="J57" s="70">
        <f>_xlfn.XLOOKUP(TB_Vendas[[#This Row],[Vendedor]],Vendedores!$A$5:$A$9,Vendedores!$D$5:$D$9)</f>
        <v>0.25</v>
      </c>
      <c r="K57" s="70">
        <f>IF(TB_Vendas[[#This Row],[Desc. Vendedor]]&gt;TB_Vendas[[#This Row],[Desc.]],TB_Vendas[[#This Row],[Desc.]],TB_Vendas[[#This Row],[Desc. Vendedor]])</f>
        <v>0.2</v>
      </c>
      <c r="L57" s="8">
        <f>TB_Vendas[[#This Row],[Preço Unitário]]*TB_Vendas[[#This Row],[Qtd]]</f>
        <v>98.699999999999989</v>
      </c>
      <c r="M57" s="1" t="s">
        <v>127</v>
      </c>
    </row>
    <row r="58" spans="1:13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">
        <v>4</v>
      </c>
      <c r="F58" s="29">
        <f>_xlfn.XLOOKUP(TB_Vendas[[#This Row],[Código]],TB_Produtos[Código],TB_Produtos[Preço Unitário],0,0)</f>
        <v>92.9</v>
      </c>
      <c r="G58" s="10">
        <f>MATCH(TB_Vendas[[#This Row],[Qtd]],dsc_qtde,1)</f>
        <v>4</v>
      </c>
      <c r="H58" s="10">
        <f>MATCH(_xlfn.XLOOKUP(TB_Vendas[[#This Row],[Código]],TB_Produtos[Código],TB_Produtos[Categoria]),dsc_categoria,0)</f>
        <v>3</v>
      </c>
      <c r="I58" s="70" cm="1">
        <f t="array" ref="I58">INDEX(tb_desconto,TB_Vendas[[#This Row],[Linha]],TB_Vendas[[#This Row],[Coluna]])</f>
        <v>0.2</v>
      </c>
      <c r="J58" s="70">
        <f>_xlfn.XLOOKUP(TB_Vendas[[#This Row],[Vendedor]],Vendedores!$A$5:$A$9,Vendedores!$D$5:$D$9)</f>
        <v>0.2</v>
      </c>
      <c r="K58" s="70">
        <f>IF(TB_Vendas[[#This Row],[Desc. Vendedor]]&gt;TB_Vendas[[#This Row],[Desc.]],TB_Vendas[[#This Row],[Desc.]],TB_Vendas[[#This Row],[Desc. Vendedor]])</f>
        <v>0.2</v>
      </c>
      <c r="L58" s="8">
        <f>TB_Vendas[[#This Row],[Preço Unitário]]*TB_Vendas[[#This Row],[Qtd]]</f>
        <v>371.6</v>
      </c>
      <c r="M58" s="1" t="s">
        <v>126</v>
      </c>
    </row>
    <row r="59" spans="1:13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">
        <v>2</v>
      </c>
      <c r="F59" s="29">
        <f>_xlfn.XLOOKUP(TB_Vendas[[#This Row],[Código]],TB_Produtos[Código],TB_Produtos[Preço Unitário],0,0)</f>
        <v>259.89999999999998</v>
      </c>
      <c r="G59" s="10">
        <f>MATCH(TB_Vendas[[#This Row],[Qtd]],dsc_qtde,1)</f>
        <v>3</v>
      </c>
      <c r="H59" s="10">
        <f>MATCH(_xlfn.XLOOKUP(TB_Vendas[[#This Row],[Código]],TB_Produtos[Código],TB_Produtos[Categoria]),dsc_categoria,0)</f>
        <v>4</v>
      </c>
      <c r="I59" s="70" cm="1">
        <f t="array" ref="I59">INDEX(tb_desconto,TB_Vendas[[#This Row],[Linha]],TB_Vendas[[#This Row],[Coluna]])</f>
        <v>0.1</v>
      </c>
      <c r="J59" s="70">
        <f>_xlfn.XLOOKUP(TB_Vendas[[#This Row],[Vendedor]],Vendedores!$A$5:$A$9,Vendedores!$D$5:$D$9)</f>
        <v>0.1</v>
      </c>
      <c r="K59" s="70">
        <f>IF(TB_Vendas[[#This Row],[Desc. Vendedor]]&gt;TB_Vendas[[#This Row],[Desc.]],TB_Vendas[[#This Row],[Desc.]],TB_Vendas[[#This Row],[Desc. Vendedor]])</f>
        <v>0.1</v>
      </c>
      <c r="L59" s="8">
        <f>TB_Vendas[[#This Row],[Preço Unitário]]*TB_Vendas[[#This Row],[Qtd]]</f>
        <v>519.79999999999995</v>
      </c>
      <c r="M59" s="1" t="s">
        <v>128</v>
      </c>
    </row>
    <row r="60" spans="1:13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">
        <v>1</v>
      </c>
      <c r="F60" s="29">
        <f>_xlfn.XLOOKUP(TB_Vendas[[#This Row],[Código]],TB_Produtos[Código],TB_Produtos[Preço Unitário],0,0)</f>
        <v>259.89999999999998</v>
      </c>
      <c r="G60" s="10">
        <f>MATCH(TB_Vendas[[#This Row],[Qtd]],dsc_qtde,1)</f>
        <v>2</v>
      </c>
      <c r="H60" s="10">
        <f>MATCH(_xlfn.XLOOKUP(TB_Vendas[[#This Row],[Código]],TB_Produtos[Código],TB_Produtos[Categoria]),dsc_categoria,0)</f>
        <v>3</v>
      </c>
      <c r="I60" s="70" cm="1">
        <f t="array" ref="I60">INDEX(tb_desconto,TB_Vendas[[#This Row],[Linha]],TB_Vendas[[#This Row],[Coluna]])</f>
        <v>0.1</v>
      </c>
      <c r="J60" s="70">
        <f>_xlfn.XLOOKUP(TB_Vendas[[#This Row],[Vendedor]],Vendedores!$A$5:$A$9,Vendedores!$D$5:$D$9)</f>
        <v>0.15</v>
      </c>
      <c r="K60" s="70">
        <f>IF(TB_Vendas[[#This Row],[Desc. Vendedor]]&gt;TB_Vendas[[#This Row],[Desc.]],TB_Vendas[[#This Row],[Desc.]],TB_Vendas[[#This Row],[Desc. Vendedor]])</f>
        <v>0.1</v>
      </c>
      <c r="L60" s="8">
        <f>TB_Vendas[[#This Row],[Preço Unitário]]*TB_Vendas[[#This Row],[Qtd]]</f>
        <v>259.89999999999998</v>
      </c>
      <c r="M60" s="1" t="s">
        <v>130</v>
      </c>
    </row>
    <row r="61" spans="1:13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">
        <v>5</v>
      </c>
      <c r="F61" s="29">
        <f>_xlfn.XLOOKUP(TB_Vendas[[#This Row],[Código]],TB_Produtos[Código],TB_Produtos[Preço Unitário],0,0)</f>
        <v>42.5</v>
      </c>
      <c r="G61" s="10">
        <f>MATCH(TB_Vendas[[#This Row],[Qtd]],dsc_qtde,1)</f>
        <v>5</v>
      </c>
      <c r="H61" s="10">
        <f>MATCH(_xlfn.XLOOKUP(TB_Vendas[[#This Row],[Código]],TB_Produtos[Código],TB_Produtos[Categoria]),dsc_categoria,0)</f>
        <v>3</v>
      </c>
      <c r="I61" s="70" cm="1">
        <f t="array" ref="I61">INDEX(tb_desconto,TB_Vendas[[#This Row],[Linha]],TB_Vendas[[#This Row],[Coluna]])</f>
        <v>0.25</v>
      </c>
      <c r="J61" s="70">
        <f>_xlfn.XLOOKUP(TB_Vendas[[#This Row],[Vendedor]],Vendedores!$A$5:$A$9,Vendedores!$D$5:$D$9)</f>
        <v>0.15</v>
      </c>
      <c r="K61" s="70">
        <f>IF(TB_Vendas[[#This Row],[Desc. Vendedor]]&gt;TB_Vendas[[#This Row],[Desc.]],TB_Vendas[[#This Row],[Desc.]],TB_Vendas[[#This Row],[Desc. Vendedor]])</f>
        <v>0.15</v>
      </c>
      <c r="L61" s="8">
        <f>TB_Vendas[[#This Row],[Preço Unitário]]*TB_Vendas[[#This Row],[Qtd]]</f>
        <v>212.5</v>
      </c>
      <c r="M61" s="1" t="s">
        <v>130</v>
      </c>
    </row>
    <row r="62" spans="1:13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">
        <v>2</v>
      </c>
      <c r="F62" s="29">
        <f>_xlfn.XLOOKUP(TB_Vendas[[#This Row],[Código]],TB_Produtos[Código],TB_Produtos[Preço Unitário],0,0)</f>
        <v>32.9</v>
      </c>
      <c r="G62" s="10">
        <f>MATCH(TB_Vendas[[#This Row],[Qtd]],dsc_qtde,1)</f>
        <v>3</v>
      </c>
      <c r="H62" s="10">
        <f>MATCH(_xlfn.XLOOKUP(TB_Vendas[[#This Row],[Código]],TB_Produtos[Código],TB_Produtos[Categoria]),dsc_categoria,0)</f>
        <v>3</v>
      </c>
      <c r="I62" s="70" cm="1">
        <f t="array" ref="I62">INDEX(tb_desconto,TB_Vendas[[#This Row],[Linha]],TB_Vendas[[#This Row],[Coluna]])</f>
        <v>0.15</v>
      </c>
      <c r="J62" s="70">
        <f>_xlfn.XLOOKUP(TB_Vendas[[#This Row],[Vendedor]],Vendedores!$A$5:$A$9,Vendedores!$D$5:$D$9)</f>
        <v>0.15</v>
      </c>
      <c r="K62" s="70">
        <f>IF(TB_Vendas[[#This Row],[Desc. Vendedor]]&gt;TB_Vendas[[#This Row],[Desc.]],TB_Vendas[[#This Row],[Desc.]],TB_Vendas[[#This Row],[Desc. Vendedor]])</f>
        <v>0.15</v>
      </c>
      <c r="L62" s="8">
        <f>TB_Vendas[[#This Row],[Preço Unitário]]*TB_Vendas[[#This Row],[Qtd]]</f>
        <v>65.8</v>
      </c>
      <c r="M62" s="1" t="s">
        <v>130</v>
      </c>
    </row>
    <row r="63" spans="1:13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">
        <v>3</v>
      </c>
      <c r="F63" s="29">
        <f>_xlfn.XLOOKUP(TB_Vendas[[#This Row],[Código]],TB_Produtos[Código],TB_Produtos[Preço Unitário],0,0)</f>
        <v>92.9</v>
      </c>
      <c r="G63" s="10">
        <f>MATCH(TB_Vendas[[#This Row],[Qtd]],dsc_qtde,1)</f>
        <v>4</v>
      </c>
      <c r="H63" s="10">
        <f>MATCH(_xlfn.XLOOKUP(TB_Vendas[[#This Row],[Código]],TB_Produtos[Código],TB_Produtos[Categoria]),dsc_categoria,0)</f>
        <v>3</v>
      </c>
      <c r="I63" s="70" cm="1">
        <f t="array" ref="I63">INDEX(tb_desconto,TB_Vendas[[#This Row],[Linha]],TB_Vendas[[#This Row],[Coluna]])</f>
        <v>0.2</v>
      </c>
      <c r="J63" s="70">
        <f>_xlfn.XLOOKUP(TB_Vendas[[#This Row],[Vendedor]],Vendedores!$A$5:$A$9,Vendedores!$D$5:$D$9)</f>
        <v>0.2</v>
      </c>
      <c r="K63" s="70">
        <f>IF(TB_Vendas[[#This Row],[Desc. Vendedor]]&gt;TB_Vendas[[#This Row],[Desc.]],TB_Vendas[[#This Row],[Desc.]],TB_Vendas[[#This Row],[Desc. Vendedor]])</f>
        <v>0.2</v>
      </c>
      <c r="L63" s="8">
        <f>TB_Vendas[[#This Row],[Preço Unitário]]*TB_Vendas[[#This Row],[Qtd]]</f>
        <v>278.70000000000005</v>
      </c>
      <c r="M63" s="1" t="s">
        <v>126</v>
      </c>
    </row>
    <row r="64" spans="1:13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">
        <v>10</v>
      </c>
      <c r="F64" s="29">
        <f>_xlfn.XLOOKUP(TB_Vendas[[#This Row],[Código]],TB_Produtos[Código],TB_Produtos[Preço Unitário],0,0)</f>
        <v>25.9</v>
      </c>
      <c r="G64" s="10">
        <f>MATCH(TB_Vendas[[#This Row],[Qtd]],dsc_qtde,1)</f>
        <v>6</v>
      </c>
      <c r="H64" s="10">
        <f>MATCH(_xlfn.XLOOKUP(TB_Vendas[[#This Row],[Código]],TB_Produtos[Código],TB_Produtos[Categoria]),dsc_categoria,0)</f>
        <v>3</v>
      </c>
      <c r="I64" s="70" cm="1">
        <f t="array" ref="I64">INDEX(tb_desconto,TB_Vendas[[#This Row],[Linha]],TB_Vendas[[#This Row],[Coluna]])</f>
        <v>0.3</v>
      </c>
      <c r="J64" s="70">
        <f>_xlfn.XLOOKUP(TB_Vendas[[#This Row],[Vendedor]],Vendedores!$A$5:$A$9,Vendedores!$D$5:$D$9)</f>
        <v>0.2</v>
      </c>
      <c r="K64" s="70">
        <f>IF(TB_Vendas[[#This Row],[Desc. Vendedor]]&gt;TB_Vendas[[#This Row],[Desc.]],TB_Vendas[[#This Row],[Desc.]],TB_Vendas[[#This Row],[Desc. Vendedor]])</f>
        <v>0.2</v>
      </c>
      <c r="L64" s="8">
        <f>TB_Vendas[[#This Row],[Preço Unitário]]*TB_Vendas[[#This Row],[Qtd]]</f>
        <v>259</v>
      </c>
      <c r="M64" s="1" t="s">
        <v>126</v>
      </c>
    </row>
    <row r="65" spans="1:13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">
        <v>1</v>
      </c>
      <c r="F65" s="29">
        <f>_xlfn.XLOOKUP(TB_Vendas[[#This Row],[Código]],TB_Produtos[Código],TB_Produtos[Preço Unitário],0,0)</f>
        <v>72.5</v>
      </c>
      <c r="G65" s="10">
        <f>MATCH(TB_Vendas[[#This Row],[Qtd]],dsc_qtde,1)</f>
        <v>2</v>
      </c>
      <c r="H65" s="10">
        <f>MATCH(_xlfn.XLOOKUP(TB_Vendas[[#This Row],[Código]],TB_Produtos[Código],TB_Produtos[Categoria]),dsc_categoria,0)</f>
        <v>3</v>
      </c>
      <c r="I65" s="70" cm="1">
        <f t="array" ref="I65">INDEX(tb_desconto,TB_Vendas[[#This Row],[Linha]],TB_Vendas[[#This Row],[Coluna]])</f>
        <v>0.1</v>
      </c>
      <c r="J65" s="70">
        <f>_xlfn.XLOOKUP(TB_Vendas[[#This Row],[Vendedor]],Vendedores!$A$5:$A$9,Vendedores!$D$5:$D$9)</f>
        <v>0.25</v>
      </c>
      <c r="K65" s="70">
        <f>IF(TB_Vendas[[#This Row],[Desc. Vendedor]]&gt;TB_Vendas[[#This Row],[Desc.]],TB_Vendas[[#This Row],[Desc.]],TB_Vendas[[#This Row],[Desc. Vendedor]])</f>
        <v>0.1</v>
      </c>
      <c r="L65" s="8">
        <f>TB_Vendas[[#This Row],[Preço Unitário]]*TB_Vendas[[#This Row],[Qtd]]</f>
        <v>72.5</v>
      </c>
      <c r="M65" s="1" t="s">
        <v>127</v>
      </c>
    </row>
    <row r="66" spans="1:13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">
        <v>4</v>
      </c>
      <c r="F66" s="29">
        <f>_xlfn.XLOOKUP(TB_Vendas[[#This Row],[Código]],TB_Produtos[Código],TB_Produtos[Preço Unitário],0,0)</f>
        <v>302.89999999999998</v>
      </c>
      <c r="G66" s="10">
        <f>MATCH(TB_Vendas[[#This Row],[Qtd]],dsc_qtde,1)</f>
        <v>4</v>
      </c>
      <c r="H66" s="10">
        <f>MATCH(_xlfn.XLOOKUP(TB_Vendas[[#This Row],[Código]],TB_Produtos[Código],TB_Produtos[Categoria]),dsc_categoria,0)</f>
        <v>3</v>
      </c>
      <c r="I66" s="70" cm="1">
        <f t="array" ref="I66">INDEX(tb_desconto,TB_Vendas[[#This Row],[Linha]],TB_Vendas[[#This Row],[Coluna]])</f>
        <v>0.2</v>
      </c>
      <c r="J66" s="70">
        <f>_xlfn.XLOOKUP(TB_Vendas[[#This Row],[Vendedor]],Vendedores!$A$5:$A$9,Vendedores!$D$5:$D$9)</f>
        <v>0.15</v>
      </c>
      <c r="K66" s="70">
        <f>IF(TB_Vendas[[#This Row],[Desc. Vendedor]]&gt;TB_Vendas[[#This Row],[Desc.]],TB_Vendas[[#This Row],[Desc.]],TB_Vendas[[#This Row],[Desc. Vendedor]])</f>
        <v>0.15</v>
      </c>
      <c r="L66" s="8">
        <f>TB_Vendas[[#This Row],[Preço Unitário]]*TB_Vendas[[#This Row],[Qtd]]</f>
        <v>1211.5999999999999</v>
      </c>
      <c r="M66" s="1" t="s">
        <v>130</v>
      </c>
    </row>
    <row r="67" spans="1:13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">
        <v>8</v>
      </c>
      <c r="F67" s="29">
        <f>_xlfn.XLOOKUP(TB_Vendas[[#This Row],[Código]],TB_Produtos[Código],TB_Produtos[Preço Unitário],0,0)</f>
        <v>289.89999999999998</v>
      </c>
      <c r="G67" s="10">
        <f>MATCH(TB_Vendas[[#This Row],[Qtd]],dsc_qtde,1)</f>
        <v>5</v>
      </c>
      <c r="H67" s="10">
        <f>MATCH(_xlfn.XLOOKUP(TB_Vendas[[#This Row],[Código]],TB_Produtos[Código],TB_Produtos[Categoria]),dsc_categoria,0)</f>
        <v>3</v>
      </c>
      <c r="I67" s="70" cm="1">
        <f t="array" ref="I67">INDEX(tb_desconto,TB_Vendas[[#This Row],[Linha]],TB_Vendas[[#This Row],[Coluna]])</f>
        <v>0.25</v>
      </c>
      <c r="J67" s="70">
        <f>_xlfn.XLOOKUP(TB_Vendas[[#This Row],[Vendedor]],Vendedores!$A$5:$A$9,Vendedores!$D$5:$D$9)</f>
        <v>0.2</v>
      </c>
      <c r="K67" s="70">
        <f>IF(TB_Vendas[[#This Row],[Desc. Vendedor]]&gt;TB_Vendas[[#This Row],[Desc.]],TB_Vendas[[#This Row],[Desc.]],TB_Vendas[[#This Row],[Desc. Vendedor]])</f>
        <v>0.2</v>
      </c>
      <c r="L67" s="8">
        <f>TB_Vendas[[#This Row],[Preço Unitário]]*TB_Vendas[[#This Row],[Qtd]]</f>
        <v>2319.1999999999998</v>
      </c>
      <c r="M67" s="1" t="s">
        <v>126</v>
      </c>
    </row>
    <row r="68" spans="1:13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">
        <v>2</v>
      </c>
      <c r="F68" s="29">
        <f>_xlfn.XLOOKUP(TB_Vendas[[#This Row],[Código]],TB_Produtos[Código],TB_Produtos[Preço Unitário],0,0)</f>
        <v>54.9</v>
      </c>
      <c r="G68" s="10">
        <f>MATCH(TB_Vendas[[#This Row],[Qtd]],dsc_qtde,1)</f>
        <v>3</v>
      </c>
      <c r="H68" s="10">
        <f>MATCH(_xlfn.XLOOKUP(TB_Vendas[[#This Row],[Código]],TB_Produtos[Código],TB_Produtos[Categoria]),dsc_categoria,0)</f>
        <v>3</v>
      </c>
      <c r="I68" s="70" cm="1">
        <f t="array" ref="I68">INDEX(tb_desconto,TB_Vendas[[#This Row],[Linha]],TB_Vendas[[#This Row],[Coluna]])</f>
        <v>0.15</v>
      </c>
      <c r="J68" s="70">
        <f>_xlfn.XLOOKUP(TB_Vendas[[#This Row],[Vendedor]],Vendedores!$A$5:$A$9,Vendedores!$D$5:$D$9)</f>
        <v>0.2</v>
      </c>
      <c r="K68" s="70">
        <f>IF(TB_Vendas[[#This Row],[Desc. Vendedor]]&gt;TB_Vendas[[#This Row],[Desc.]],TB_Vendas[[#This Row],[Desc.]],TB_Vendas[[#This Row],[Desc. Vendedor]])</f>
        <v>0.15</v>
      </c>
      <c r="L68" s="8">
        <f>TB_Vendas[[#This Row],[Preço Unitário]]*TB_Vendas[[#This Row],[Qtd]]</f>
        <v>109.8</v>
      </c>
      <c r="M68" s="1" t="s">
        <v>126</v>
      </c>
    </row>
    <row r="69" spans="1:13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">
        <v>2</v>
      </c>
      <c r="F69" s="29">
        <f>_xlfn.XLOOKUP(TB_Vendas[[#This Row],[Código]],TB_Produtos[Código],TB_Produtos[Preço Unitário],0,0)</f>
        <v>39.9</v>
      </c>
      <c r="G69" s="10">
        <f>MATCH(TB_Vendas[[#This Row],[Qtd]],dsc_qtde,1)</f>
        <v>3</v>
      </c>
      <c r="H69" s="10">
        <f>MATCH(_xlfn.XLOOKUP(TB_Vendas[[#This Row],[Código]],TB_Produtos[Código],TB_Produtos[Categoria]),dsc_categoria,0)</f>
        <v>3</v>
      </c>
      <c r="I69" s="70" cm="1">
        <f t="array" ref="I69">INDEX(tb_desconto,TB_Vendas[[#This Row],[Linha]],TB_Vendas[[#This Row],[Coluna]])</f>
        <v>0.15</v>
      </c>
      <c r="J69" s="70">
        <f>_xlfn.XLOOKUP(TB_Vendas[[#This Row],[Vendedor]],Vendedores!$A$5:$A$9,Vendedores!$D$5:$D$9)</f>
        <v>0.15</v>
      </c>
      <c r="K69" s="70">
        <f>IF(TB_Vendas[[#This Row],[Desc. Vendedor]]&gt;TB_Vendas[[#This Row],[Desc.]],TB_Vendas[[#This Row],[Desc.]],TB_Vendas[[#This Row],[Desc. Vendedor]])</f>
        <v>0.15</v>
      </c>
      <c r="L69" s="8">
        <f>TB_Vendas[[#This Row],[Preço Unitário]]*TB_Vendas[[#This Row],[Qtd]]</f>
        <v>79.8</v>
      </c>
      <c r="M69" s="1" t="s">
        <v>130</v>
      </c>
    </row>
    <row r="70" spans="1:13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">
        <v>7</v>
      </c>
      <c r="F70" s="29">
        <f>_xlfn.XLOOKUP(TB_Vendas[[#This Row],[Código]],TB_Produtos[Código],TB_Produtos[Preço Unitário],0,0)</f>
        <v>54.9</v>
      </c>
      <c r="G70" s="10">
        <f>MATCH(TB_Vendas[[#This Row],[Qtd]],dsc_qtde,1)</f>
        <v>5</v>
      </c>
      <c r="H70" s="10">
        <f>MATCH(_xlfn.XLOOKUP(TB_Vendas[[#This Row],[Código]],TB_Produtos[Código],TB_Produtos[Categoria]),dsc_categoria,0)</f>
        <v>3</v>
      </c>
      <c r="I70" s="70" cm="1">
        <f t="array" ref="I70">INDEX(tb_desconto,TB_Vendas[[#This Row],[Linha]],TB_Vendas[[#This Row],[Coluna]])</f>
        <v>0.25</v>
      </c>
      <c r="J70" s="70">
        <f>_xlfn.XLOOKUP(TB_Vendas[[#This Row],[Vendedor]],Vendedores!$A$5:$A$9,Vendedores!$D$5:$D$9)</f>
        <v>0.2</v>
      </c>
      <c r="K70" s="70">
        <f>IF(TB_Vendas[[#This Row],[Desc. Vendedor]]&gt;TB_Vendas[[#This Row],[Desc.]],TB_Vendas[[#This Row],[Desc.]],TB_Vendas[[#This Row],[Desc. Vendedor]])</f>
        <v>0.2</v>
      </c>
      <c r="L70" s="8">
        <f>TB_Vendas[[#This Row],[Preço Unitário]]*TB_Vendas[[#This Row],[Qtd]]</f>
        <v>384.3</v>
      </c>
      <c r="M70" s="1" t="s">
        <v>129</v>
      </c>
    </row>
    <row r="71" spans="1:13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">
        <v>4</v>
      </c>
      <c r="F71" s="29">
        <f>_xlfn.XLOOKUP(TB_Vendas[[#This Row],[Código]],TB_Produtos[Código],TB_Produtos[Preço Unitário],0,0)</f>
        <v>299.89999999999998</v>
      </c>
      <c r="G71" s="10">
        <f>MATCH(TB_Vendas[[#This Row],[Qtd]],dsc_qtde,1)</f>
        <v>4</v>
      </c>
      <c r="H71" s="10">
        <f>MATCH(_xlfn.XLOOKUP(TB_Vendas[[#This Row],[Código]],TB_Produtos[Código],TB_Produtos[Categoria]),dsc_categoria,0)</f>
        <v>3</v>
      </c>
      <c r="I71" s="70" cm="1">
        <f t="array" ref="I71">INDEX(tb_desconto,TB_Vendas[[#This Row],[Linha]],TB_Vendas[[#This Row],[Coluna]])</f>
        <v>0.2</v>
      </c>
      <c r="J71" s="70">
        <f>_xlfn.XLOOKUP(TB_Vendas[[#This Row],[Vendedor]],Vendedores!$A$5:$A$9,Vendedores!$D$5:$D$9)</f>
        <v>0.15</v>
      </c>
      <c r="K71" s="70">
        <f>IF(TB_Vendas[[#This Row],[Desc. Vendedor]]&gt;TB_Vendas[[#This Row],[Desc.]],TB_Vendas[[#This Row],[Desc.]],TB_Vendas[[#This Row],[Desc. Vendedor]])</f>
        <v>0.15</v>
      </c>
      <c r="L71" s="8">
        <f>TB_Vendas[[#This Row],[Preço Unitário]]*TB_Vendas[[#This Row],[Qtd]]</f>
        <v>1199.5999999999999</v>
      </c>
      <c r="M71" s="1" t="s">
        <v>130</v>
      </c>
    </row>
    <row r="72" spans="1:13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">
        <v>3</v>
      </c>
      <c r="F72" s="29">
        <f>_xlfn.XLOOKUP(TB_Vendas[[#This Row],[Código]],TB_Produtos[Código],TB_Produtos[Preço Unitário],0,0)</f>
        <v>259.89999999999998</v>
      </c>
      <c r="G72" s="10">
        <f>MATCH(TB_Vendas[[#This Row],[Qtd]],dsc_qtde,1)</f>
        <v>4</v>
      </c>
      <c r="H72" s="10">
        <f>MATCH(_xlfn.XLOOKUP(TB_Vendas[[#This Row],[Código]],TB_Produtos[Código],TB_Produtos[Categoria]),dsc_categoria,0)</f>
        <v>3</v>
      </c>
      <c r="I72" s="70" cm="1">
        <f t="array" ref="I72">INDEX(tb_desconto,TB_Vendas[[#This Row],[Linha]],TB_Vendas[[#This Row],[Coluna]])</f>
        <v>0.2</v>
      </c>
      <c r="J72" s="70">
        <f>_xlfn.XLOOKUP(TB_Vendas[[#This Row],[Vendedor]],Vendedores!$A$5:$A$9,Vendedores!$D$5:$D$9)</f>
        <v>0.2</v>
      </c>
      <c r="K72" s="70">
        <f>IF(TB_Vendas[[#This Row],[Desc. Vendedor]]&gt;TB_Vendas[[#This Row],[Desc.]],TB_Vendas[[#This Row],[Desc.]],TB_Vendas[[#This Row],[Desc. Vendedor]])</f>
        <v>0.2</v>
      </c>
      <c r="L72" s="8">
        <f>TB_Vendas[[#This Row],[Preço Unitário]]*TB_Vendas[[#This Row],[Qtd]]</f>
        <v>779.69999999999993</v>
      </c>
      <c r="M72" s="1" t="s">
        <v>129</v>
      </c>
    </row>
    <row r="73" spans="1:13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">
        <v>9</v>
      </c>
      <c r="F73" s="29">
        <f>_xlfn.XLOOKUP(TB_Vendas[[#This Row],[Código]],TB_Produtos[Código],TB_Produtos[Preço Unitário],0,0)</f>
        <v>72.5</v>
      </c>
      <c r="G73" s="10">
        <f>MATCH(TB_Vendas[[#This Row],[Qtd]],dsc_qtde,1)</f>
        <v>5</v>
      </c>
      <c r="H73" s="10">
        <f>MATCH(_xlfn.XLOOKUP(TB_Vendas[[#This Row],[Código]],TB_Produtos[Código],TB_Produtos[Categoria]),dsc_categoria,0)</f>
        <v>3</v>
      </c>
      <c r="I73" s="70" cm="1">
        <f t="array" ref="I73">INDEX(tb_desconto,TB_Vendas[[#This Row],[Linha]],TB_Vendas[[#This Row],[Coluna]])</f>
        <v>0.25</v>
      </c>
      <c r="J73" s="70">
        <f>_xlfn.XLOOKUP(TB_Vendas[[#This Row],[Vendedor]],Vendedores!$A$5:$A$9,Vendedores!$D$5:$D$9)</f>
        <v>0.1</v>
      </c>
      <c r="K73" s="70">
        <f>IF(TB_Vendas[[#This Row],[Desc. Vendedor]]&gt;TB_Vendas[[#This Row],[Desc.]],TB_Vendas[[#This Row],[Desc.]],TB_Vendas[[#This Row],[Desc. Vendedor]])</f>
        <v>0.1</v>
      </c>
      <c r="L73" s="8">
        <f>TB_Vendas[[#This Row],[Preço Unitário]]*TB_Vendas[[#This Row],[Qtd]]</f>
        <v>652.5</v>
      </c>
      <c r="M73" s="1" t="s">
        <v>128</v>
      </c>
    </row>
    <row r="74" spans="1:13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">
        <v>4</v>
      </c>
      <c r="F74" s="29">
        <f>_xlfn.XLOOKUP(TB_Vendas[[#This Row],[Código]],TB_Produtos[Código],TB_Produtos[Preço Unitário],0,0)</f>
        <v>300</v>
      </c>
      <c r="G74" s="10">
        <f>MATCH(TB_Vendas[[#This Row],[Qtd]],dsc_qtde,1)</f>
        <v>4</v>
      </c>
      <c r="H74" s="10">
        <f>MATCH(_xlfn.XLOOKUP(TB_Vendas[[#This Row],[Código]],TB_Produtos[Código],TB_Produtos[Categoria]),dsc_categoria,0)</f>
        <v>3</v>
      </c>
      <c r="I74" s="70" cm="1">
        <f t="array" ref="I74">INDEX(tb_desconto,TB_Vendas[[#This Row],[Linha]],TB_Vendas[[#This Row],[Coluna]])</f>
        <v>0.2</v>
      </c>
      <c r="J74" s="70">
        <f>_xlfn.XLOOKUP(TB_Vendas[[#This Row],[Vendedor]],Vendedores!$A$5:$A$9,Vendedores!$D$5:$D$9)</f>
        <v>0.15</v>
      </c>
      <c r="K74" s="70">
        <f>IF(TB_Vendas[[#This Row],[Desc. Vendedor]]&gt;TB_Vendas[[#This Row],[Desc.]],TB_Vendas[[#This Row],[Desc.]],TB_Vendas[[#This Row],[Desc. Vendedor]])</f>
        <v>0.15</v>
      </c>
      <c r="L74" s="8">
        <f>TB_Vendas[[#This Row],[Preço Unitário]]*TB_Vendas[[#This Row],[Qtd]]</f>
        <v>1200</v>
      </c>
      <c r="M74" s="1" t="s">
        <v>130</v>
      </c>
    </row>
    <row r="75" spans="1:13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">
        <v>9</v>
      </c>
      <c r="F75" s="29">
        <f>_xlfn.XLOOKUP(TB_Vendas[[#This Row],[Código]],TB_Produtos[Código],TB_Produtos[Preço Unitário],0,0)</f>
        <v>65.900000000000006</v>
      </c>
      <c r="G75" s="10">
        <f>MATCH(TB_Vendas[[#This Row],[Qtd]],dsc_qtde,1)</f>
        <v>5</v>
      </c>
      <c r="H75" s="10">
        <f>MATCH(_xlfn.XLOOKUP(TB_Vendas[[#This Row],[Código]],TB_Produtos[Código],TB_Produtos[Categoria]),dsc_categoria,0)</f>
        <v>3</v>
      </c>
      <c r="I75" s="70" cm="1">
        <f t="array" ref="I75">INDEX(tb_desconto,TB_Vendas[[#This Row],[Linha]],TB_Vendas[[#This Row],[Coluna]])</f>
        <v>0.25</v>
      </c>
      <c r="J75" s="70">
        <f>_xlfn.XLOOKUP(TB_Vendas[[#This Row],[Vendedor]],Vendedores!$A$5:$A$9,Vendedores!$D$5:$D$9)</f>
        <v>0.15</v>
      </c>
      <c r="K75" s="70">
        <f>IF(TB_Vendas[[#This Row],[Desc. Vendedor]]&gt;TB_Vendas[[#This Row],[Desc.]],TB_Vendas[[#This Row],[Desc.]],TB_Vendas[[#This Row],[Desc. Vendedor]])</f>
        <v>0.15</v>
      </c>
      <c r="L75" s="8">
        <f>TB_Vendas[[#This Row],[Preço Unitário]]*TB_Vendas[[#This Row],[Qtd]]</f>
        <v>593.1</v>
      </c>
      <c r="M75" s="1" t="s">
        <v>130</v>
      </c>
    </row>
    <row r="76" spans="1:13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">
        <v>10</v>
      </c>
      <c r="F76" s="29">
        <f>_xlfn.XLOOKUP(TB_Vendas[[#This Row],[Código]],TB_Produtos[Código],TB_Produtos[Preço Unitário],0,0)</f>
        <v>92.9</v>
      </c>
      <c r="G76" s="10">
        <f>MATCH(TB_Vendas[[#This Row],[Qtd]],dsc_qtde,1)</f>
        <v>6</v>
      </c>
      <c r="H76" s="10">
        <f>MATCH(_xlfn.XLOOKUP(TB_Vendas[[#This Row],[Código]],TB_Produtos[Código],TB_Produtos[Categoria]),dsc_categoria,0)</f>
        <v>3</v>
      </c>
      <c r="I76" s="70" cm="1">
        <f t="array" ref="I76">INDEX(tb_desconto,TB_Vendas[[#This Row],[Linha]],TB_Vendas[[#This Row],[Coluna]])</f>
        <v>0.3</v>
      </c>
      <c r="J76" s="70">
        <f>_xlfn.XLOOKUP(TB_Vendas[[#This Row],[Vendedor]],Vendedores!$A$5:$A$9,Vendedores!$D$5:$D$9)</f>
        <v>0.15</v>
      </c>
      <c r="K76" s="70">
        <f>IF(TB_Vendas[[#This Row],[Desc. Vendedor]]&gt;TB_Vendas[[#This Row],[Desc.]],TB_Vendas[[#This Row],[Desc.]],TB_Vendas[[#This Row],[Desc. Vendedor]])</f>
        <v>0.15</v>
      </c>
      <c r="L76" s="8">
        <f>TB_Vendas[[#This Row],[Preço Unitário]]*TB_Vendas[[#This Row],[Qtd]]</f>
        <v>929</v>
      </c>
      <c r="M76" s="1" t="s">
        <v>130</v>
      </c>
    </row>
    <row r="77" spans="1:13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">
        <v>1</v>
      </c>
      <c r="F77" s="29">
        <f>_xlfn.XLOOKUP(TB_Vendas[[#This Row],[Código]],TB_Produtos[Código],TB_Produtos[Preço Unitário],0,0)</f>
        <v>89.9</v>
      </c>
      <c r="G77" s="10">
        <f>MATCH(TB_Vendas[[#This Row],[Qtd]],dsc_qtde,1)</f>
        <v>2</v>
      </c>
      <c r="H77" s="10">
        <f>MATCH(_xlfn.XLOOKUP(TB_Vendas[[#This Row],[Código]],TB_Produtos[Código],TB_Produtos[Categoria]),dsc_categoria,0)</f>
        <v>4</v>
      </c>
      <c r="I77" s="70" cm="1">
        <f t="array" ref="I77">INDEX(tb_desconto,TB_Vendas[[#This Row],[Linha]],TB_Vendas[[#This Row],[Coluna]])</f>
        <v>0</v>
      </c>
      <c r="J77" s="70">
        <f>_xlfn.XLOOKUP(TB_Vendas[[#This Row],[Vendedor]],Vendedores!$A$5:$A$9,Vendedores!$D$5:$D$9)</f>
        <v>0.1</v>
      </c>
      <c r="K77" s="70">
        <f>IF(TB_Vendas[[#This Row],[Desc. Vendedor]]&gt;TB_Vendas[[#This Row],[Desc.]],TB_Vendas[[#This Row],[Desc.]],TB_Vendas[[#This Row],[Desc. Vendedor]])</f>
        <v>0</v>
      </c>
      <c r="L77" s="8">
        <f>TB_Vendas[[#This Row],[Preço Unitário]]*TB_Vendas[[#This Row],[Qtd]]</f>
        <v>89.9</v>
      </c>
      <c r="M77" s="1" t="s">
        <v>128</v>
      </c>
    </row>
    <row r="78" spans="1:13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">
        <v>2</v>
      </c>
      <c r="F78" s="29">
        <f>_xlfn.XLOOKUP(TB_Vendas[[#This Row],[Código]],TB_Produtos[Código],TB_Produtos[Preço Unitário],0,0)</f>
        <v>49.9</v>
      </c>
      <c r="G78" s="10">
        <f>MATCH(TB_Vendas[[#This Row],[Qtd]],dsc_qtde,1)</f>
        <v>3</v>
      </c>
      <c r="H78" s="10">
        <f>MATCH(_xlfn.XLOOKUP(TB_Vendas[[#This Row],[Código]],TB_Produtos[Código],TB_Produtos[Categoria]),dsc_categoria,0)</f>
        <v>3</v>
      </c>
      <c r="I78" s="70" cm="1">
        <f t="array" ref="I78">INDEX(tb_desconto,TB_Vendas[[#This Row],[Linha]],TB_Vendas[[#This Row],[Coluna]])</f>
        <v>0.15</v>
      </c>
      <c r="J78" s="70">
        <f>_xlfn.XLOOKUP(TB_Vendas[[#This Row],[Vendedor]],Vendedores!$A$5:$A$9,Vendedores!$D$5:$D$9)</f>
        <v>0.1</v>
      </c>
      <c r="K78" s="70">
        <f>IF(TB_Vendas[[#This Row],[Desc. Vendedor]]&gt;TB_Vendas[[#This Row],[Desc.]],TB_Vendas[[#This Row],[Desc.]],TB_Vendas[[#This Row],[Desc. Vendedor]])</f>
        <v>0.1</v>
      </c>
      <c r="L78" s="8">
        <f>TB_Vendas[[#This Row],[Preço Unitário]]*TB_Vendas[[#This Row],[Qtd]]</f>
        <v>99.8</v>
      </c>
      <c r="M78" s="1" t="s">
        <v>128</v>
      </c>
    </row>
    <row r="79" spans="1:13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">
        <v>8</v>
      </c>
      <c r="F79" s="29">
        <f>_xlfn.XLOOKUP(TB_Vendas[[#This Row],[Código]],TB_Produtos[Código],TB_Produtos[Preço Unitário],0,0)</f>
        <v>70</v>
      </c>
      <c r="G79" s="10">
        <f>MATCH(TB_Vendas[[#This Row],[Qtd]],dsc_qtde,1)</f>
        <v>5</v>
      </c>
      <c r="H79" s="10">
        <f>MATCH(_xlfn.XLOOKUP(TB_Vendas[[#This Row],[Código]],TB_Produtos[Código],TB_Produtos[Categoria]),dsc_categoria,0)</f>
        <v>3</v>
      </c>
      <c r="I79" s="70" cm="1">
        <f t="array" ref="I79">INDEX(tb_desconto,TB_Vendas[[#This Row],[Linha]],TB_Vendas[[#This Row],[Coluna]])</f>
        <v>0.25</v>
      </c>
      <c r="J79" s="70">
        <f>_xlfn.XLOOKUP(TB_Vendas[[#This Row],[Vendedor]],Vendedores!$A$5:$A$9,Vendedores!$D$5:$D$9)</f>
        <v>0.25</v>
      </c>
      <c r="K79" s="70">
        <f>IF(TB_Vendas[[#This Row],[Desc. Vendedor]]&gt;TB_Vendas[[#This Row],[Desc.]],TB_Vendas[[#This Row],[Desc.]],TB_Vendas[[#This Row],[Desc. Vendedor]])</f>
        <v>0.25</v>
      </c>
      <c r="L79" s="8">
        <f>TB_Vendas[[#This Row],[Preço Unitário]]*TB_Vendas[[#This Row],[Qtd]]</f>
        <v>560</v>
      </c>
      <c r="M79" s="1" t="s">
        <v>127</v>
      </c>
    </row>
    <row r="80" spans="1:13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">
        <v>5</v>
      </c>
      <c r="F80" s="29">
        <f>_xlfn.XLOOKUP(TB_Vendas[[#This Row],[Código]],TB_Produtos[Código],TB_Produtos[Preço Unitário],0,0)</f>
        <v>46.9</v>
      </c>
      <c r="G80" s="10">
        <f>MATCH(TB_Vendas[[#This Row],[Qtd]],dsc_qtde,1)</f>
        <v>5</v>
      </c>
      <c r="H80" s="10">
        <f>MATCH(_xlfn.XLOOKUP(TB_Vendas[[#This Row],[Código]],TB_Produtos[Código],TB_Produtos[Categoria]),dsc_categoria,0)</f>
        <v>3</v>
      </c>
      <c r="I80" s="70" cm="1">
        <f t="array" ref="I80">INDEX(tb_desconto,TB_Vendas[[#This Row],[Linha]],TB_Vendas[[#This Row],[Coluna]])</f>
        <v>0.25</v>
      </c>
      <c r="J80" s="70">
        <f>_xlfn.XLOOKUP(TB_Vendas[[#This Row],[Vendedor]],Vendedores!$A$5:$A$9,Vendedores!$D$5:$D$9)</f>
        <v>0.1</v>
      </c>
      <c r="K80" s="70">
        <f>IF(TB_Vendas[[#This Row],[Desc. Vendedor]]&gt;TB_Vendas[[#This Row],[Desc.]],TB_Vendas[[#This Row],[Desc.]],TB_Vendas[[#This Row],[Desc. Vendedor]])</f>
        <v>0.1</v>
      </c>
      <c r="L80" s="8">
        <f>TB_Vendas[[#This Row],[Preço Unitário]]*TB_Vendas[[#This Row],[Qtd]]</f>
        <v>234.5</v>
      </c>
      <c r="M80" s="1" t="s">
        <v>128</v>
      </c>
    </row>
    <row r="81" spans="1:13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">
        <v>10</v>
      </c>
      <c r="F81" s="29">
        <f>_xlfn.XLOOKUP(TB_Vendas[[#This Row],[Código]],TB_Produtos[Código],TB_Produtos[Preço Unitário],0,0)</f>
        <v>289.89999999999998</v>
      </c>
      <c r="G81" s="10">
        <f>MATCH(TB_Vendas[[#This Row],[Qtd]],dsc_qtde,1)</f>
        <v>6</v>
      </c>
      <c r="H81" s="10">
        <f>MATCH(_xlfn.XLOOKUP(TB_Vendas[[#This Row],[Código]],TB_Produtos[Código],TB_Produtos[Categoria]),dsc_categoria,0)</f>
        <v>3</v>
      </c>
      <c r="I81" s="70" cm="1">
        <f t="array" ref="I81">INDEX(tb_desconto,TB_Vendas[[#This Row],[Linha]],TB_Vendas[[#This Row],[Coluna]])</f>
        <v>0.3</v>
      </c>
      <c r="J81" s="70">
        <f>_xlfn.XLOOKUP(TB_Vendas[[#This Row],[Vendedor]],Vendedores!$A$5:$A$9,Vendedores!$D$5:$D$9)</f>
        <v>0.25</v>
      </c>
      <c r="K81" s="70">
        <f>IF(TB_Vendas[[#This Row],[Desc. Vendedor]]&gt;TB_Vendas[[#This Row],[Desc.]],TB_Vendas[[#This Row],[Desc.]],TB_Vendas[[#This Row],[Desc. Vendedor]])</f>
        <v>0.25</v>
      </c>
      <c r="L81" s="8">
        <f>TB_Vendas[[#This Row],[Preço Unitário]]*TB_Vendas[[#This Row],[Qtd]]</f>
        <v>2899</v>
      </c>
      <c r="M81" s="1" t="s">
        <v>127</v>
      </c>
    </row>
    <row r="82" spans="1:13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">
        <v>1</v>
      </c>
      <c r="F82" s="29">
        <f>_xlfn.XLOOKUP(TB_Vendas[[#This Row],[Código]],TB_Produtos[Código],TB_Produtos[Preço Unitário],0,0)</f>
        <v>42.5</v>
      </c>
      <c r="G82" s="10">
        <f>MATCH(TB_Vendas[[#This Row],[Qtd]],dsc_qtde,1)</f>
        <v>2</v>
      </c>
      <c r="H82" s="10">
        <f>MATCH(_xlfn.XLOOKUP(TB_Vendas[[#This Row],[Código]],TB_Produtos[Código],TB_Produtos[Categoria]),dsc_categoria,0)</f>
        <v>3</v>
      </c>
      <c r="I82" s="70" cm="1">
        <f t="array" ref="I82">INDEX(tb_desconto,TB_Vendas[[#This Row],[Linha]],TB_Vendas[[#This Row],[Coluna]])</f>
        <v>0.1</v>
      </c>
      <c r="J82" s="70">
        <f>_xlfn.XLOOKUP(TB_Vendas[[#This Row],[Vendedor]],Vendedores!$A$5:$A$9,Vendedores!$D$5:$D$9)</f>
        <v>0.1</v>
      </c>
      <c r="K82" s="70">
        <f>IF(TB_Vendas[[#This Row],[Desc. Vendedor]]&gt;TB_Vendas[[#This Row],[Desc.]],TB_Vendas[[#This Row],[Desc.]],TB_Vendas[[#This Row],[Desc. Vendedor]])</f>
        <v>0.1</v>
      </c>
      <c r="L82" s="8">
        <f>TB_Vendas[[#This Row],[Preço Unitário]]*TB_Vendas[[#This Row],[Qtd]]</f>
        <v>42.5</v>
      </c>
      <c r="M82" s="1" t="s">
        <v>128</v>
      </c>
    </row>
    <row r="83" spans="1:13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">
        <v>2</v>
      </c>
      <c r="F83" s="29">
        <f>_xlfn.XLOOKUP(TB_Vendas[[#This Row],[Código]],TB_Produtos[Código],TB_Produtos[Preço Unitário],0,0)</f>
        <v>89.9</v>
      </c>
      <c r="G83" s="10">
        <f>MATCH(TB_Vendas[[#This Row],[Qtd]],dsc_qtde,1)</f>
        <v>3</v>
      </c>
      <c r="H83" s="10">
        <f>MATCH(_xlfn.XLOOKUP(TB_Vendas[[#This Row],[Código]],TB_Produtos[Código],TB_Produtos[Categoria]),dsc_categoria,0)</f>
        <v>4</v>
      </c>
      <c r="I83" s="70" cm="1">
        <f t="array" ref="I83">INDEX(tb_desconto,TB_Vendas[[#This Row],[Linha]],TB_Vendas[[#This Row],[Coluna]])</f>
        <v>0.1</v>
      </c>
      <c r="J83" s="70">
        <f>_xlfn.XLOOKUP(TB_Vendas[[#This Row],[Vendedor]],Vendedores!$A$5:$A$9,Vendedores!$D$5:$D$9)</f>
        <v>0.25</v>
      </c>
      <c r="K83" s="70">
        <f>IF(TB_Vendas[[#This Row],[Desc. Vendedor]]&gt;TB_Vendas[[#This Row],[Desc.]],TB_Vendas[[#This Row],[Desc.]],TB_Vendas[[#This Row],[Desc. Vendedor]])</f>
        <v>0.1</v>
      </c>
      <c r="L83" s="8">
        <f>TB_Vendas[[#This Row],[Preço Unitário]]*TB_Vendas[[#This Row],[Qtd]]</f>
        <v>179.8</v>
      </c>
      <c r="M83" s="1" t="s">
        <v>127</v>
      </c>
    </row>
    <row r="84" spans="1:13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">
        <v>3</v>
      </c>
      <c r="F84" s="29">
        <f>_xlfn.XLOOKUP(TB_Vendas[[#This Row],[Código]],TB_Produtos[Código],TB_Produtos[Preço Unitário],0,0)</f>
        <v>255</v>
      </c>
      <c r="G84" s="10">
        <f>MATCH(TB_Vendas[[#This Row],[Qtd]],dsc_qtde,1)</f>
        <v>4</v>
      </c>
      <c r="H84" s="10">
        <f>MATCH(_xlfn.XLOOKUP(TB_Vendas[[#This Row],[Código]],TB_Produtos[Código],TB_Produtos[Categoria]),dsc_categoria,0)</f>
        <v>4</v>
      </c>
      <c r="I84" s="70" cm="1">
        <f t="array" ref="I84">INDEX(tb_desconto,TB_Vendas[[#This Row],[Linha]],TB_Vendas[[#This Row],[Coluna]])</f>
        <v>0.15</v>
      </c>
      <c r="J84" s="70">
        <f>_xlfn.XLOOKUP(TB_Vendas[[#This Row],[Vendedor]],Vendedores!$A$5:$A$9,Vendedores!$D$5:$D$9)</f>
        <v>0.2</v>
      </c>
      <c r="K84" s="70">
        <f>IF(TB_Vendas[[#This Row],[Desc. Vendedor]]&gt;TB_Vendas[[#This Row],[Desc.]],TB_Vendas[[#This Row],[Desc.]],TB_Vendas[[#This Row],[Desc. Vendedor]])</f>
        <v>0.15</v>
      </c>
      <c r="L84" s="8">
        <f>TB_Vendas[[#This Row],[Preço Unitário]]*TB_Vendas[[#This Row],[Qtd]]</f>
        <v>765</v>
      </c>
      <c r="M84" s="1" t="s">
        <v>126</v>
      </c>
    </row>
    <row r="85" spans="1:13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">
        <v>6</v>
      </c>
      <c r="F85" s="29">
        <f>_xlfn.XLOOKUP(TB_Vendas[[#This Row],[Código]],TB_Produtos[Código],TB_Produtos[Preço Unitário],0,0)</f>
        <v>42.5</v>
      </c>
      <c r="G85" s="10">
        <f>MATCH(TB_Vendas[[#This Row],[Qtd]],dsc_qtde,1)</f>
        <v>5</v>
      </c>
      <c r="H85" s="10">
        <f>MATCH(_xlfn.XLOOKUP(TB_Vendas[[#This Row],[Código]],TB_Produtos[Código],TB_Produtos[Categoria]),dsc_categoria,0)</f>
        <v>3</v>
      </c>
      <c r="I85" s="70" cm="1">
        <f t="array" ref="I85">INDEX(tb_desconto,TB_Vendas[[#This Row],[Linha]],TB_Vendas[[#This Row],[Coluna]])</f>
        <v>0.25</v>
      </c>
      <c r="J85" s="70">
        <f>_xlfn.XLOOKUP(TB_Vendas[[#This Row],[Vendedor]],Vendedores!$A$5:$A$9,Vendedores!$D$5:$D$9)</f>
        <v>0.2</v>
      </c>
      <c r="K85" s="70">
        <f>IF(TB_Vendas[[#This Row],[Desc. Vendedor]]&gt;TB_Vendas[[#This Row],[Desc.]],TB_Vendas[[#This Row],[Desc.]],TB_Vendas[[#This Row],[Desc. Vendedor]])</f>
        <v>0.2</v>
      </c>
      <c r="L85" s="8">
        <f>TB_Vendas[[#This Row],[Preço Unitário]]*TB_Vendas[[#This Row],[Qtd]]</f>
        <v>255</v>
      </c>
      <c r="M85" s="1" t="s">
        <v>129</v>
      </c>
    </row>
    <row r="86" spans="1:13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">
        <v>8</v>
      </c>
      <c r="F86" s="29">
        <f>_xlfn.XLOOKUP(TB_Vendas[[#This Row],[Código]],TB_Produtos[Código],TB_Produtos[Preço Unitário],0,0)</f>
        <v>39.9</v>
      </c>
      <c r="G86" s="10">
        <f>MATCH(TB_Vendas[[#This Row],[Qtd]],dsc_qtde,1)</f>
        <v>5</v>
      </c>
      <c r="H86" s="10">
        <f>MATCH(_xlfn.XLOOKUP(TB_Vendas[[#This Row],[Código]],TB_Produtos[Código],TB_Produtos[Categoria]),dsc_categoria,0)</f>
        <v>3</v>
      </c>
      <c r="I86" s="70" cm="1">
        <f t="array" ref="I86">INDEX(tb_desconto,TB_Vendas[[#This Row],[Linha]],TB_Vendas[[#This Row],[Coluna]])</f>
        <v>0.25</v>
      </c>
      <c r="J86" s="70">
        <f>_xlfn.XLOOKUP(TB_Vendas[[#This Row],[Vendedor]],Vendedores!$A$5:$A$9,Vendedores!$D$5:$D$9)</f>
        <v>0.25</v>
      </c>
      <c r="K86" s="70">
        <f>IF(TB_Vendas[[#This Row],[Desc. Vendedor]]&gt;TB_Vendas[[#This Row],[Desc.]],TB_Vendas[[#This Row],[Desc.]],TB_Vendas[[#This Row],[Desc. Vendedor]])</f>
        <v>0.25</v>
      </c>
      <c r="L86" s="8">
        <f>TB_Vendas[[#This Row],[Preço Unitário]]*TB_Vendas[[#This Row],[Qtd]]</f>
        <v>319.2</v>
      </c>
      <c r="M86" s="1" t="s">
        <v>127</v>
      </c>
    </row>
  </sheetData>
  <phoneticPr fontId="12" type="noConversion"/>
  <conditionalFormatting sqref="E4:K4">
    <cfRule type="cellIs" dxfId="1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workbookViewId="0">
      <selection activeCell="F6" sqref="F6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40" customFormat="1" ht="40.200000000000003" customHeight="1">
      <c r="A1" s="43"/>
      <c r="B1" s="47" t="s">
        <v>145</v>
      </c>
      <c r="C1" s="45"/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23.25" customHeight="1">
      <c r="A4" s="42"/>
      <c r="B4" s="82" t="s">
        <v>154</v>
      </c>
      <c r="C4" s="82"/>
      <c r="D4" s="42"/>
      <c r="E4" s="82" t="s">
        <v>161</v>
      </c>
      <c r="F4" s="82"/>
    </row>
    <row r="5" spans="1:9" ht="5.25" customHeight="1" thickBot="1"/>
    <row r="6" spans="1:9" ht="24.6" customHeight="1" thickBot="1">
      <c r="B6" s="72" t="s">
        <v>155</v>
      </c>
      <c r="C6" s="71" t="s">
        <v>103</v>
      </c>
      <c r="E6" s="72" t="s">
        <v>160</v>
      </c>
      <c r="F6" s="76">
        <v>45038</v>
      </c>
    </row>
    <row r="7" spans="1:9" ht="24.6" customHeight="1" thickTop="1" thickBot="1">
      <c r="B7" s="72" t="s">
        <v>156</v>
      </c>
      <c r="C7" s="50" t="str">
        <f>IFERROR(VLOOKUP($C$6,TB_Produtos[#All],2,FALSE), "Não encontrado")</f>
        <v>Jaqueta de Couro</v>
      </c>
      <c r="E7" s="72" t="s">
        <v>163</v>
      </c>
      <c r="F7" s="50" t="str">
        <f>_xlfn.XLOOKUP(WEEKDAY(F6), 'Cadastros Auxiliares'!C4:I4,'Cadastros Auxiliares'!C5:I5, "Não Encontrado")</f>
        <v>Sábado</v>
      </c>
      <c r="G7" s="49"/>
    </row>
    <row r="8" spans="1:9" ht="24.6" customHeight="1" thickTop="1" thickBot="1">
      <c r="B8" s="73" t="s">
        <v>157</v>
      </c>
      <c r="C8" s="48" t="str">
        <f>_xlfn.XLOOKUP($C$6,TB_Produtos[Código],TB_Produtos[Tamanho],"Não encontrado")</f>
        <v>P</v>
      </c>
      <c r="E8" s="73" t="s">
        <v>164</v>
      </c>
      <c r="F8" s="51">
        <f>SUMIF(TB_Vendas[[#All],[Data]],Consultas!$F$6,TB_Vendas[[#All],[Total]])</f>
        <v>179.8</v>
      </c>
      <c r="G8" s="49"/>
    </row>
    <row r="9" spans="1:9" ht="24.6" customHeight="1" thickTop="1" thickBot="1">
      <c r="B9" s="74" t="s">
        <v>158</v>
      </c>
      <c r="C9" s="48" t="str">
        <f>_xlfn.XLOOKUP($C$6,TB_Produtos[Código],TB_Produtos[Categoria],"Não encontrado")</f>
        <v>Vestuário</v>
      </c>
      <c r="E9" s="75" t="s">
        <v>162</v>
      </c>
      <c r="F9" s="51">
        <f>SUMIF(TB_Vendas[[#All],[Data]],Consultas!$F$6,TB_Vendas[[#All],[Qtd]])</f>
        <v>2</v>
      </c>
      <c r="G9" s="49"/>
    </row>
    <row r="10" spans="1:9" ht="24.6" customHeight="1" thickTop="1" thickBot="1">
      <c r="B10" s="74" t="s">
        <v>165</v>
      </c>
      <c r="C10" s="48">
        <f>_xlfn.XLOOKUP($C$6,TB_Produtos[Código],TB_Produtos[Preço Unitário],"Não encontrado")</f>
        <v>289.89999999999998</v>
      </c>
      <c r="G10" s="49"/>
    </row>
    <row r="11" spans="1:9" ht="24.6" customHeight="1" thickTop="1" thickBot="1">
      <c r="B11" s="72" t="s">
        <v>159</v>
      </c>
      <c r="C11" s="48">
        <f>_xlfn.XLOOKUP($C$6,TB_Produtos[Código],TB_Produtos[Estoque],"Não encontrado")</f>
        <v>15</v>
      </c>
      <c r="G11" s="49"/>
    </row>
    <row r="12" spans="1:9" ht="22.8" thickTop="1" thickBot="1">
      <c r="B12" s="77" t="s">
        <v>166</v>
      </c>
      <c r="C12" s="48" t="str" cm="1">
        <f t="array" ref="C12">_xlfn.IFS(C11=0,"Estoque Zerado",C11&lt;=_xlfn.XLOOKUP(Consultas!C9,'Cadastros Auxiliares'!G9:G11,'Cadastros Auxiliares'!H9:H11,"Não Informado",0),"Rever Estoque",1,"Estoque OK")</f>
        <v>Estoque OK</v>
      </c>
      <c r="E12" s="78"/>
    </row>
    <row r="13" spans="1:9" ht="24" thickBot="1">
      <c r="B13" s="77" t="s">
        <v>167</v>
      </c>
      <c r="C13" s="48">
        <f>_xlfn.XLOOKUP(Consultas!C9,'Cadastros Auxiliares'!G9:G11,'Cadastros Auxiliares'!H9:H11,"Não Informado",0)</f>
        <v>10</v>
      </c>
      <c r="E13" s="79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13"/>
  <sheetViews>
    <sheetView workbookViewId="0">
      <selection activeCell="D17" sqref="D17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40" customFormat="1" ht="40.200000000000003" customHeight="1">
      <c r="B1" s="63" t="s">
        <v>136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>
      <c r="B2" s="44"/>
      <c r="C2" s="44"/>
      <c r="D2" s="44"/>
      <c r="E2" s="44"/>
      <c r="F2" s="44"/>
      <c r="G2" s="44"/>
    </row>
    <row r="3" spans="2:10" ht="4.5" customHeight="1" thickBot="1">
      <c r="B3" s="42"/>
      <c r="C3" s="42"/>
      <c r="D3" s="42"/>
      <c r="E3" s="42"/>
      <c r="F3" s="42"/>
      <c r="G3" s="42"/>
    </row>
    <row r="4" spans="2:10" ht="22.2" thickBot="1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22.2" thickBot="1">
      <c r="B5" s="54" t="s">
        <v>137</v>
      </c>
      <c r="C5" s="55" t="s">
        <v>138</v>
      </c>
      <c r="D5" s="55" t="s">
        <v>139</v>
      </c>
      <c r="E5" s="55" t="s">
        <v>140</v>
      </c>
      <c r="F5" s="55" t="s">
        <v>141</v>
      </c>
      <c r="G5" s="55" t="s">
        <v>142</v>
      </c>
      <c r="H5" s="55" t="s">
        <v>143</v>
      </c>
      <c r="I5" s="55" t="s">
        <v>144</v>
      </c>
    </row>
    <row r="7" spans="2:10" ht="15" thickBot="1"/>
    <row r="8" spans="2:10" ht="43.8" thickBot="1">
      <c r="B8" s="60" t="s">
        <v>153</v>
      </c>
      <c r="C8" s="61" t="s">
        <v>13</v>
      </c>
      <c r="D8" s="61" t="s">
        <v>12</v>
      </c>
      <c r="E8" s="61" t="s">
        <v>14</v>
      </c>
      <c r="G8" s="61" t="s">
        <v>10</v>
      </c>
      <c r="H8" s="60" t="s">
        <v>168</v>
      </c>
    </row>
    <row r="9" spans="2:10" ht="17.399999999999999" thickBot="1">
      <c r="B9" s="55">
        <v>1</v>
      </c>
      <c r="C9" s="59">
        <v>0</v>
      </c>
      <c r="D9" s="59">
        <v>0.1</v>
      </c>
      <c r="E9" s="62">
        <v>0</v>
      </c>
      <c r="G9" s="55" t="s">
        <v>13</v>
      </c>
      <c r="H9" s="55">
        <v>5</v>
      </c>
    </row>
    <row r="10" spans="2:10" ht="17.399999999999999" thickBot="1">
      <c r="B10" s="55">
        <v>2</v>
      </c>
      <c r="C10" s="59">
        <v>0.05</v>
      </c>
      <c r="D10" s="59">
        <v>0.15</v>
      </c>
      <c r="E10" s="62">
        <v>0.1</v>
      </c>
      <c r="G10" s="55" t="s">
        <v>12</v>
      </c>
      <c r="H10" s="55">
        <v>10</v>
      </c>
    </row>
    <row r="11" spans="2:10" ht="17.399999999999999" thickBot="1">
      <c r="B11" s="55">
        <v>3</v>
      </c>
      <c r="C11" s="59">
        <v>0.15</v>
      </c>
      <c r="D11" s="59">
        <v>0.2</v>
      </c>
      <c r="E11" s="62">
        <v>0.15</v>
      </c>
      <c r="G11" s="55" t="s">
        <v>14</v>
      </c>
      <c r="H11" s="55">
        <v>15</v>
      </c>
    </row>
    <row r="12" spans="2:10" ht="17.399999999999999" thickBot="1">
      <c r="B12" s="55">
        <v>5</v>
      </c>
      <c r="C12" s="59">
        <v>0.25</v>
      </c>
      <c r="D12" s="59">
        <v>0.25</v>
      </c>
      <c r="E12" s="62">
        <v>0.25</v>
      </c>
    </row>
    <row r="13" spans="2:10" ht="17.399999999999999" thickBot="1">
      <c r="B13" s="55">
        <v>10</v>
      </c>
      <c r="C13" s="59">
        <v>0.3</v>
      </c>
      <c r="D13" s="59">
        <v>0.3</v>
      </c>
      <c r="E13" s="62">
        <v>0.3</v>
      </c>
      <c r="G13" s="69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4.4"/>
  <cols>
    <col min="1" max="1" width="17.109375" customWidth="1"/>
    <col min="2" max="2" width="20.88671875" customWidth="1"/>
    <col min="3" max="3" width="1.33203125" customWidth="1"/>
    <col min="6" max="6" width="13.5546875" customWidth="1"/>
    <col min="8" max="8" width="1.33203125" customWidth="1"/>
    <col min="9" max="11" width="13" customWidth="1"/>
    <col min="12" max="12" width="15.33203125" customWidth="1"/>
  </cols>
  <sheetData>
    <row r="1" spans="1:12" s="14" customFormat="1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" thickBot="1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20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20">
        <f>SUMIF(TB_Vendas[Nº],D6,TB_Vendas[Qtd])</f>
        <v>17</v>
      </c>
    </row>
    <row r="7" spans="1:12" ht="15" thickBot="1">
      <c r="D7" s="4">
        <v>6</v>
      </c>
      <c r="E7" s="5" t="s">
        <v>93</v>
      </c>
      <c r="F7" s="7">
        <f>SUMIF(TB_Vendas[Nº],D7,TB_Vendas[Total])</f>
        <v>3477.7000000000007</v>
      </c>
      <c r="G7" s="21">
        <f>SUMIF(TB_Vendas[Nº],D7,TB_Vendas[Qtd])</f>
        <v>41</v>
      </c>
    </row>
    <row r="11" spans="1:12">
      <c r="I11" s="30"/>
      <c r="J11" s="30"/>
      <c r="K11" s="30"/>
      <c r="L11" s="30"/>
    </row>
    <row r="12" spans="1:12">
      <c r="J12" s="31"/>
      <c r="K12" s="32"/>
      <c r="L12" s="8"/>
    </row>
    <row r="13" spans="1:12">
      <c r="J13" s="31"/>
      <c r="K13" s="32"/>
      <c r="L13" s="8"/>
    </row>
    <row r="14" spans="1:12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2"/>
  </cols>
  <sheetData>
    <row r="1" spans="3:80" ht="9.75" customHeight="1" thickBot="1"/>
    <row r="2" spans="3:80" ht="9.75" customHeight="1">
      <c r="W2" s="83" t="s">
        <v>78</v>
      </c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5"/>
      <c r="AQ2" s="83" t="s">
        <v>79</v>
      </c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5"/>
      <c r="BK2" s="83" t="s">
        <v>80</v>
      </c>
      <c r="BL2" s="84"/>
      <c r="BM2" s="84"/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/>
      <c r="BZ2" s="84"/>
      <c r="CA2" s="84"/>
      <c r="CB2" s="85"/>
    </row>
    <row r="3" spans="3:80" ht="9.75" customHeight="1" thickBot="1">
      <c r="W3" s="86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8"/>
      <c r="AQ3" s="86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8"/>
      <c r="BK3" s="86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  <c r="CB3" s="88"/>
    </row>
    <row r="4" spans="3:80" ht="9.75" customHeight="1">
      <c r="W4" s="98">
        <f>COUNTA(TB_Produtos[Código])</f>
        <v>60</v>
      </c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100"/>
      <c r="AQ4" s="98">
        <f>SUM(TB_Vendas[Qtd])</f>
        <v>250</v>
      </c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100"/>
      <c r="BK4" s="107">
        <f>SUM(TB_Vendas[Total])</f>
        <v>33304.799999999988</v>
      </c>
      <c r="BL4" s="108"/>
      <c r="BM4" s="108"/>
      <c r="BN4" s="108"/>
      <c r="BO4" s="108"/>
      <c r="BP4" s="108"/>
      <c r="BQ4" s="108"/>
      <c r="BR4" s="108"/>
      <c r="BS4" s="108"/>
      <c r="BT4" s="108"/>
      <c r="BU4" s="108"/>
      <c r="BV4" s="108"/>
      <c r="BW4" s="108"/>
      <c r="BX4" s="108"/>
      <c r="BY4" s="108"/>
      <c r="BZ4" s="108"/>
      <c r="CA4" s="108"/>
      <c r="CB4" s="109"/>
    </row>
    <row r="5" spans="3:80" ht="9.75" customHeight="1">
      <c r="W5" s="101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3"/>
      <c r="AQ5" s="101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3"/>
      <c r="BK5" s="110"/>
      <c r="BL5" s="111"/>
      <c r="BM5" s="111"/>
      <c r="BN5" s="111"/>
      <c r="BO5" s="111"/>
      <c r="BP5" s="111"/>
      <c r="BQ5" s="111"/>
      <c r="BR5" s="111"/>
      <c r="BS5" s="111"/>
      <c r="BT5" s="111"/>
      <c r="BU5" s="111"/>
      <c r="BV5" s="111"/>
      <c r="BW5" s="111"/>
      <c r="BX5" s="111"/>
      <c r="BY5" s="111"/>
      <c r="BZ5" s="111"/>
      <c r="CA5" s="111"/>
      <c r="CB5" s="112"/>
    </row>
    <row r="6" spans="3:80" ht="9.75" customHeight="1">
      <c r="W6" s="101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  <c r="AQ6" s="101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3"/>
      <c r="BK6" s="110"/>
      <c r="BL6" s="111"/>
      <c r="BM6" s="111"/>
      <c r="BN6" s="111"/>
      <c r="BO6" s="111"/>
      <c r="BP6" s="111"/>
      <c r="BQ6" s="111"/>
      <c r="BR6" s="111"/>
      <c r="BS6" s="111"/>
      <c r="BT6" s="111"/>
      <c r="BU6" s="111"/>
      <c r="BV6" s="111"/>
      <c r="BW6" s="111"/>
      <c r="BX6" s="111"/>
      <c r="BY6" s="111"/>
      <c r="BZ6" s="111"/>
      <c r="CA6" s="111"/>
      <c r="CB6" s="112"/>
    </row>
    <row r="7" spans="3:80" ht="9.75" customHeight="1" thickBot="1">
      <c r="W7" s="104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6"/>
      <c r="AQ7" s="104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6"/>
      <c r="BK7" s="113"/>
      <c r="BL7" s="114"/>
      <c r="BM7" s="114"/>
      <c r="BN7" s="114"/>
      <c r="BO7" s="114"/>
      <c r="BP7" s="114"/>
      <c r="BQ7" s="114"/>
      <c r="BR7" s="114"/>
      <c r="BS7" s="114"/>
      <c r="BT7" s="114"/>
      <c r="BU7" s="114"/>
      <c r="BV7" s="114"/>
      <c r="BW7" s="114"/>
      <c r="BX7" s="114"/>
      <c r="BY7" s="114"/>
      <c r="BZ7" s="114"/>
      <c r="CA7" s="114"/>
      <c r="CB7" s="115"/>
    </row>
    <row r="8" spans="3:80" ht="9.75" customHeight="1" thickBot="1"/>
    <row r="9" spans="3:80" ht="9.75" customHeight="1">
      <c r="C9" s="83" t="s">
        <v>81</v>
      </c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5"/>
    </row>
    <row r="10" spans="3:80" ht="9.75" customHeight="1" thickBot="1">
      <c r="C10" s="86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8"/>
    </row>
    <row r="11" spans="3:80" ht="9.75" customHeight="1">
      <c r="C11" s="89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1"/>
    </row>
    <row r="12" spans="3:80" ht="9.75" customHeight="1">
      <c r="C12" s="92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4"/>
    </row>
    <row r="13" spans="3:80" ht="9.75" customHeight="1">
      <c r="C13" s="92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4"/>
    </row>
    <row r="14" spans="3:80" ht="9.75" customHeight="1">
      <c r="C14" s="92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4"/>
    </row>
    <row r="15" spans="3:80" ht="9.75" customHeight="1">
      <c r="C15" s="92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4"/>
    </row>
    <row r="16" spans="3:80" ht="9.75" customHeight="1">
      <c r="C16" s="92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4"/>
    </row>
    <row r="17" spans="3:80" ht="9.75" customHeight="1">
      <c r="C17" s="92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4"/>
    </row>
    <row r="18" spans="3:80" ht="9.75" customHeight="1">
      <c r="C18" s="92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4"/>
    </row>
    <row r="19" spans="3:80" ht="9.75" customHeight="1">
      <c r="C19" s="92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4"/>
    </row>
    <row r="20" spans="3:80" ht="9.75" customHeight="1">
      <c r="C20" s="92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4"/>
    </row>
    <row r="21" spans="3:80" ht="9.75" customHeight="1">
      <c r="C21" s="92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4"/>
    </row>
    <row r="22" spans="3:80" ht="9.75" customHeight="1">
      <c r="C22" s="92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4"/>
    </row>
    <row r="23" spans="3:80" ht="9.75" customHeight="1">
      <c r="C23" s="92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4"/>
    </row>
    <row r="24" spans="3:80" ht="9.75" customHeight="1" thickBot="1">
      <c r="C24" s="95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7"/>
    </row>
    <row r="25" spans="3:80" ht="9.75" customHeight="1" thickBot="1"/>
    <row r="26" spans="3:80" ht="9.75" customHeight="1">
      <c r="C26" s="83" t="s">
        <v>82</v>
      </c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5"/>
      <c r="AO26" s="13"/>
      <c r="AP26" s="13"/>
      <c r="AQ26" s="83" t="s">
        <v>83</v>
      </c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  <c r="BP26" s="84"/>
      <c r="BQ26" s="84"/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5"/>
    </row>
    <row r="27" spans="3:80" ht="9.75" customHeight="1" thickBot="1">
      <c r="C27" s="86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8"/>
      <c r="AO27" s="13"/>
      <c r="AP27" s="13"/>
      <c r="AQ27" s="86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/>
      <c r="BZ27" s="87"/>
      <c r="CA27" s="87"/>
      <c r="CB27" s="88"/>
    </row>
    <row r="28" spans="3:80" ht="9.75" customHeight="1">
      <c r="C28" s="89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1"/>
      <c r="AQ28" s="89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1"/>
    </row>
    <row r="29" spans="3:80" ht="9.75" customHeight="1">
      <c r="C29" s="92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4"/>
      <c r="AQ29" s="92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3"/>
      <c r="CB29" s="94"/>
    </row>
    <row r="30" spans="3:80" ht="9.75" customHeight="1">
      <c r="C30" s="92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4"/>
      <c r="AQ30" s="92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4"/>
    </row>
    <row r="31" spans="3:80" ht="9.75" customHeight="1">
      <c r="C31" s="92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4"/>
      <c r="AQ31" s="92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/>
      <c r="BZ31" s="93"/>
      <c r="CA31" s="93"/>
      <c r="CB31" s="94"/>
    </row>
    <row r="32" spans="3:80" ht="9.75" customHeight="1">
      <c r="C32" s="92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4"/>
      <c r="AQ32" s="92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  <c r="BP32" s="93"/>
      <c r="BQ32" s="93"/>
      <c r="BR32" s="93"/>
      <c r="BS32" s="93"/>
      <c r="BT32" s="93"/>
      <c r="BU32" s="93"/>
      <c r="BV32" s="93"/>
      <c r="BW32" s="93"/>
      <c r="BX32" s="93"/>
      <c r="BY32" s="93"/>
      <c r="BZ32" s="93"/>
      <c r="CA32" s="93"/>
      <c r="CB32" s="94"/>
    </row>
    <row r="33" spans="3:80" ht="9.75" customHeight="1">
      <c r="C33" s="92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4"/>
      <c r="AQ33" s="92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/>
      <c r="BS33" s="93"/>
      <c r="BT33" s="93"/>
      <c r="BU33" s="93"/>
      <c r="BV33" s="93"/>
      <c r="BW33" s="93"/>
      <c r="BX33" s="93"/>
      <c r="BY33" s="93"/>
      <c r="BZ33" s="93"/>
      <c r="CA33" s="93"/>
      <c r="CB33" s="94"/>
    </row>
    <row r="34" spans="3:80" ht="9.75" customHeight="1">
      <c r="C34" s="92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4"/>
      <c r="AQ34" s="92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3"/>
      <c r="BP34" s="93"/>
      <c r="BQ34" s="93"/>
      <c r="BR34" s="93"/>
      <c r="BS34" s="93"/>
      <c r="BT34" s="93"/>
      <c r="BU34" s="93"/>
      <c r="BV34" s="93"/>
      <c r="BW34" s="93"/>
      <c r="BX34" s="93"/>
      <c r="BY34" s="93"/>
      <c r="BZ34" s="93"/>
      <c r="CA34" s="93"/>
      <c r="CB34" s="94"/>
    </row>
    <row r="35" spans="3:80" ht="9.75" customHeight="1">
      <c r="C35" s="92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4"/>
      <c r="AQ35" s="92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4"/>
    </row>
    <row r="36" spans="3:80" ht="9.75" customHeight="1">
      <c r="C36" s="92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4"/>
      <c r="AQ36" s="92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  <c r="BP36" s="93"/>
      <c r="BQ36" s="93"/>
      <c r="BR36" s="93"/>
      <c r="BS36" s="93"/>
      <c r="BT36" s="93"/>
      <c r="BU36" s="93"/>
      <c r="BV36" s="93"/>
      <c r="BW36" s="93"/>
      <c r="BX36" s="93"/>
      <c r="BY36" s="93"/>
      <c r="BZ36" s="93"/>
      <c r="CA36" s="93"/>
      <c r="CB36" s="94"/>
    </row>
    <row r="37" spans="3:80" ht="9.75" customHeight="1">
      <c r="C37" s="92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4"/>
      <c r="AQ37" s="92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93"/>
      <c r="BZ37" s="93"/>
      <c r="CA37" s="93"/>
      <c r="CB37" s="94"/>
    </row>
    <row r="38" spans="3:80" ht="9.75" customHeight="1">
      <c r="C38" s="92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4"/>
      <c r="AQ38" s="92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93"/>
      <c r="BO38" s="93"/>
      <c r="BP38" s="93"/>
      <c r="BQ38" s="93"/>
      <c r="BR38" s="93"/>
      <c r="BS38" s="93"/>
      <c r="BT38" s="93"/>
      <c r="BU38" s="93"/>
      <c r="BV38" s="93"/>
      <c r="BW38" s="93"/>
      <c r="BX38" s="93"/>
      <c r="BY38" s="93"/>
      <c r="BZ38" s="93"/>
      <c r="CA38" s="93"/>
      <c r="CB38" s="94"/>
    </row>
    <row r="39" spans="3:80" ht="9.75" customHeight="1">
      <c r="C39" s="92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4"/>
      <c r="AQ39" s="92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93"/>
      <c r="BZ39" s="93"/>
      <c r="CA39" s="93"/>
      <c r="CB39" s="94"/>
    </row>
    <row r="40" spans="3:80" ht="9.75" customHeight="1">
      <c r="C40" s="92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4"/>
      <c r="AQ40" s="92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3"/>
      <c r="BP40" s="93"/>
      <c r="BQ40" s="93"/>
      <c r="BR40" s="93"/>
      <c r="BS40" s="93"/>
      <c r="BT40" s="93"/>
      <c r="BU40" s="93"/>
      <c r="BV40" s="93"/>
      <c r="BW40" s="93"/>
      <c r="BX40" s="93"/>
      <c r="BY40" s="93"/>
      <c r="BZ40" s="93"/>
      <c r="CA40" s="93"/>
      <c r="CB40" s="94"/>
    </row>
    <row r="41" spans="3:80" ht="9.75" customHeight="1">
      <c r="C41" s="92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4"/>
      <c r="AQ41" s="92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93"/>
      <c r="BO41" s="93"/>
      <c r="BP41" s="93"/>
      <c r="BQ41" s="93"/>
      <c r="BR41" s="93"/>
      <c r="BS41" s="93"/>
      <c r="BT41" s="93"/>
      <c r="BU41" s="93"/>
      <c r="BV41" s="93"/>
      <c r="BW41" s="93"/>
      <c r="BX41" s="93"/>
      <c r="BY41" s="93"/>
      <c r="BZ41" s="93"/>
      <c r="CA41" s="93"/>
      <c r="CB41" s="94"/>
    </row>
    <row r="42" spans="3:80" ht="9.75" customHeight="1">
      <c r="C42" s="92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4"/>
      <c r="AQ42" s="92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3"/>
      <c r="BP42" s="93"/>
      <c r="BQ42" s="93"/>
      <c r="BR42" s="93"/>
      <c r="BS42" s="93"/>
      <c r="BT42" s="93"/>
      <c r="BU42" s="93"/>
      <c r="BV42" s="93"/>
      <c r="BW42" s="93"/>
      <c r="BX42" s="93"/>
      <c r="BY42" s="93"/>
      <c r="BZ42" s="93"/>
      <c r="CA42" s="93"/>
      <c r="CB42" s="94"/>
    </row>
    <row r="43" spans="3:80" ht="9.75" customHeight="1">
      <c r="C43" s="92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4"/>
      <c r="AQ43" s="92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  <c r="BP43" s="93"/>
      <c r="BQ43" s="93"/>
      <c r="BR43" s="93"/>
      <c r="BS43" s="93"/>
      <c r="BT43" s="93"/>
      <c r="BU43" s="93"/>
      <c r="BV43" s="93"/>
      <c r="BW43" s="93"/>
      <c r="BX43" s="93"/>
      <c r="BY43" s="93"/>
      <c r="BZ43" s="93"/>
      <c r="CA43" s="93"/>
      <c r="CB43" s="94"/>
    </row>
    <row r="44" spans="3:80" ht="9.75" customHeight="1">
      <c r="C44" s="92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4"/>
      <c r="AQ44" s="92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  <c r="BP44" s="93"/>
      <c r="BQ44" s="93"/>
      <c r="BR44" s="93"/>
      <c r="BS44" s="93"/>
      <c r="BT44" s="93"/>
      <c r="BU44" s="93"/>
      <c r="BV44" s="93"/>
      <c r="BW44" s="93"/>
      <c r="BX44" s="93"/>
      <c r="BY44" s="93"/>
      <c r="BZ44" s="93"/>
      <c r="CA44" s="93"/>
      <c r="CB44" s="94"/>
    </row>
    <row r="45" spans="3:80" ht="9.75" customHeight="1">
      <c r="C45" s="92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4"/>
      <c r="AQ45" s="92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  <c r="CB45" s="94"/>
    </row>
    <row r="46" spans="3:80" ht="9.75" customHeight="1" thickBot="1">
      <c r="C46" s="95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7"/>
      <c r="AQ46" s="95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7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3</vt:i4>
      </vt:variant>
    </vt:vector>
  </HeadingPairs>
  <TitlesOfParts>
    <vt:vector size="11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  <vt:lpstr>dsc_categoria</vt:lpstr>
      <vt:lpstr>dsc_qtde</vt:lpstr>
      <vt:lpstr>tb_desconto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Marcos Aguiar</cp:lastModifiedBy>
  <cp:lastPrinted>2023-06-07T14:57:58Z</cp:lastPrinted>
  <dcterms:created xsi:type="dcterms:W3CDTF">2023-06-02T17:54:12Z</dcterms:created>
  <dcterms:modified xsi:type="dcterms:W3CDTF">2025-10-16T17:28:58Z</dcterms:modified>
</cp:coreProperties>
</file>