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edfengroup-my.sharepoint.com/personal/pedro_pereira_edf-re_com_br/Documents/Área de Trabalho/Avaliações/"/>
    </mc:Choice>
  </mc:AlternateContent>
  <xr:revisionPtr revIDLastSave="85" documentId="13_ncr:1_{CDBAA4D0-8B1F-4B15-8A36-2BA5C3021EE3}" xr6:coauthVersionLast="47" xr6:coauthVersionMax="47" xr10:uidLastSave="{E656714D-6E09-484D-9EB1-2CDF8FAD3409}"/>
  <bookViews>
    <workbookView xWindow="30405" yWindow="1605" windowWidth="24780" windowHeight="13290" activeTab="2" xr2:uid="{15D92F08-C62F-4361-9C96-C87E11D49E41}"/>
  </bookViews>
  <sheets>
    <sheet name="metodologia" sheetId="1" r:id="rId1"/>
    <sheet name="FLN" sheetId="4" r:id="rId2"/>
    <sheet name="SDS" sheetId="2" r:id="rId3"/>
    <sheet name="PIR" sheetId="5" r:id="rId4"/>
    <sheet name="comentários" sheetId="3" r:id="rId5"/>
  </sheets>
  <definedNames>
    <definedName name="_xlnm._FilterDatabase" localSheetId="1" hidden="1">FLN!$A$1:$O$54</definedName>
    <definedName name="_xlnm._FilterDatabase" localSheetId="2" hidden="1">SDS!$A$1:$O$109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2" i="4" l="1"/>
  <c r="N52" i="4"/>
  <c r="M52" i="4"/>
  <c r="L52" i="4"/>
  <c r="K52" i="4"/>
  <c r="J52" i="4"/>
  <c r="I52" i="4"/>
  <c r="H52" i="4"/>
  <c r="G52" i="4"/>
  <c r="F52" i="4"/>
  <c r="E52" i="4"/>
  <c r="D52" i="4"/>
  <c r="O47" i="4"/>
  <c r="N47" i="4"/>
  <c r="M47" i="4"/>
  <c r="L47" i="4"/>
  <c r="K47" i="4"/>
  <c r="J47" i="4"/>
  <c r="I47" i="4"/>
  <c r="H47" i="4"/>
  <c r="G47" i="4"/>
  <c r="F47" i="4"/>
  <c r="E47" i="4"/>
  <c r="D47" i="4"/>
  <c r="O42" i="4"/>
  <c r="N42" i="4"/>
  <c r="M42" i="4"/>
  <c r="L42" i="4"/>
  <c r="K42" i="4"/>
  <c r="J42" i="4"/>
  <c r="I42" i="4"/>
  <c r="H42" i="4"/>
  <c r="G42" i="4"/>
  <c r="F42" i="4"/>
  <c r="E42" i="4"/>
  <c r="D42" i="4"/>
  <c r="O37" i="4"/>
  <c r="N37" i="4"/>
  <c r="M37" i="4"/>
  <c r="L37" i="4"/>
  <c r="K37" i="4"/>
  <c r="J37" i="4"/>
  <c r="I37" i="4"/>
  <c r="H37" i="4"/>
  <c r="G37" i="4"/>
  <c r="F37" i="4"/>
  <c r="E37" i="4"/>
  <c r="D37" i="4"/>
  <c r="O32" i="4"/>
  <c r="N32" i="4"/>
  <c r="M32" i="4"/>
  <c r="L32" i="4"/>
  <c r="K32" i="4"/>
  <c r="J32" i="4"/>
  <c r="I32" i="4"/>
  <c r="H32" i="4"/>
  <c r="G32" i="4"/>
  <c r="F32" i="4"/>
  <c r="E32" i="4"/>
  <c r="D32" i="4"/>
  <c r="O26" i="4"/>
  <c r="N26" i="4"/>
  <c r="M26" i="4"/>
  <c r="L26" i="4"/>
  <c r="K26" i="4"/>
  <c r="J26" i="4"/>
  <c r="I26" i="4"/>
  <c r="H26" i="4"/>
  <c r="G26" i="4"/>
  <c r="F26" i="4"/>
  <c r="E26" i="4"/>
  <c r="D26" i="4"/>
  <c r="O19" i="4"/>
  <c r="N19" i="4"/>
  <c r="M19" i="4"/>
  <c r="L19" i="4"/>
  <c r="K19" i="4"/>
  <c r="J19" i="4"/>
  <c r="I19" i="4"/>
  <c r="H19" i="4"/>
  <c r="G19" i="4"/>
  <c r="F19" i="4"/>
  <c r="E19" i="4"/>
  <c r="D19" i="4"/>
  <c r="O12" i="4"/>
  <c r="N12" i="4"/>
  <c r="M12" i="4"/>
  <c r="L12" i="4"/>
  <c r="K12" i="4"/>
  <c r="J12" i="4"/>
  <c r="I12" i="4"/>
  <c r="H12" i="4"/>
  <c r="G12" i="4"/>
  <c r="F12" i="4"/>
  <c r="E12" i="4"/>
  <c r="D12" i="4"/>
  <c r="O5" i="4"/>
  <c r="N5" i="4"/>
  <c r="M5" i="4"/>
  <c r="L5" i="4"/>
  <c r="K5" i="4"/>
  <c r="J5" i="4"/>
  <c r="I5" i="4"/>
  <c r="H5" i="4"/>
  <c r="G5" i="4"/>
  <c r="F5" i="4"/>
  <c r="E5" i="4"/>
  <c r="D5" i="4"/>
  <c r="D49" i="2"/>
  <c r="E49" i="2"/>
  <c r="F49" i="2"/>
  <c r="G49" i="2"/>
  <c r="H49" i="2"/>
  <c r="I49" i="2"/>
  <c r="J49" i="2"/>
  <c r="K49" i="2"/>
  <c r="L49" i="2"/>
  <c r="M49" i="2"/>
  <c r="N49" i="2"/>
  <c r="O49" i="2"/>
  <c r="D41" i="2"/>
  <c r="E41" i="2"/>
  <c r="F41" i="2"/>
  <c r="G41" i="2"/>
  <c r="H41" i="2"/>
  <c r="I41" i="2"/>
  <c r="J41" i="2"/>
  <c r="K41" i="2"/>
  <c r="L41" i="2"/>
  <c r="M41" i="2"/>
  <c r="N41" i="2"/>
  <c r="O41" i="2"/>
  <c r="D33" i="2"/>
  <c r="E33" i="2"/>
  <c r="F33" i="2"/>
  <c r="G33" i="2"/>
  <c r="H33" i="2"/>
  <c r="I33" i="2"/>
  <c r="J33" i="2"/>
  <c r="K33" i="2"/>
  <c r="L33" i="2"/>
  <c r="M33" i="2"/>
  <c r="N33" i="2"/>
  <c r="O33" i="2"/>
  <c r="D25" i="2"/>
  <c r="E25" i="2"/>
  <c r="F25" i="2"/>
  <c r="G25" i="2"/>
  <c r="H25" i="2"/>
  <c r="I25" i="2"/>
  <c r="J25" i="2"/>
  <c r="K25" i="2"/>
  <c r="L25" i="2"/>
  <c r="M25" i="2"/>
  <c r="N25" i="2"/>
  <c r="O25" i="2"/>
  <c r="D17" i="2"/>
  <c r="E17" i="2"/>
  <c r="F17" i="2"/>
  <c r="G17" i="2"/>
  <c r="H17" i="2"/>
  <c r="I17" i="2"/>
  <c r="J17" i="2"/>
  <c r="K17" i="2"/>
  <c r="L17" i="2"/>
  <c r="M17" i="2"/>
  <c r="N17" i="2"/>
  <c r="O17" i="2"/>
  <c r="E9" i="2"/>
  <c r="F9" i="2"/>
  <c r="G9" i="2"/>
  <c r="H9" i="2"/>
  <c r="I9" i="2"/>
  <c r="J9" i="2"/>
  <c r="K9" i="2"/>
  <c r="L9" i="2"/>
  <c r="M9" i="2"/>
  <c r="N9" i="2"/>
  <c r="O9" i="2"/>
  <c r="D9" i="2"/>
  <c r="J158" i="2" l="1"/>
  <c r="J154" i="2"/>
  <c r="G159" i="2"/>
  <c r="G158" i="2"/>
  <c r="G155" i="2"/>
  <c r="G154" i="2"/>
  <c r="G160" i="2" l="1"/>
  <c r="H160" i="2" s="1"/>
  <c r="G156" i="2"/>
  <c r="H156" i="2" s="1"/>
  <c r="E114" i="2" l="1"/>
  <c r="F114" i="2"/>
  <c r="G114" i="2"/>
  <c r="H114" i="2"/>
  <c r="I114" i="2"/>
  <c r="J114" i="2"/>
  <c r="K114" i="2"/>
  <c r="L114" i="2"/>
  <c r="M114" i="2"/>
  <c r="N114" i="2"/>
  <c r="O114" i="2"/>
  <c r="D114" i="2"/>
  <c r="E115" i="2"/>
  <c r="F115" i="2"/>
  <c r="G115" i="2"/>
  <c r="H115" i="2"/>
  <c r="I115" i="2"/>
  <c r="J115" i="2"/>
  <c r="K115" i="2"/>
  <c r="L115" i="2"/>
  <c r="M115" i="2"/>
  <c r="N115" i="2"/>
  <c r="O115" i="2"/>
  <c r="D115" i="2"/>
  <c r="E119" i="2"/>
  <c r="F119" i="2"/>
  <c r="G119" i="2"/>
  <c r="H119" i="2"/>
  <c r="I119" i="2"/>
  <c r="J119" i="2"/>
  <c r="K119" i="2"/>
  <c r="L119" i="2"/>
  <c r="M119" i="2"/>
  <c r="N119" i="2"/>
  <c r="O119" i="2"/>
  <c r="D119" i="2"/>
  <c r="D60" i="4" l="1"/>
  <c r="D59" i="4"/>
  <c r="D65" i="4"/>
  <c r="D64" i="4"/>
  <c r="O89" i="2"/>
  <c r="N89" i="2"/>
  <c r="M89" i="2"/>
  <c r="L89" i="2"/>
  <c r="K89" i="2"/>
  <c r="J89" i="2"/>
  <c r="I89" i="2"/>
  <c r="H89" i="2"/>
  <c r="G89" i="2"/>
  <c r="F89" i="2"/>
  <c r="E89" i="2"/>
  <c r="D89" i="2"/>
  <c r="E69" i="2"/>
  <c r="F69" i="2"/>
  <c r="G69" i="2"/>
  <c r="H69" i="2"/>
  <c r="I69" i="2"/>
  <c r="J69" i="2"/>
  <c r="K69" i="2"/>
  <c r="L69" i="2"/>
  <c r="M69" i="2"/>
  <c r="N69" i="2"/>
  <c r="O69" i="2"/>
  <c r="D69" i="2"/>
  <c r="H55" i="2" l="1"/>
  <c r="H56" i="2" s="1"/>
  <c r="D61" i="4"/>
  <c r="D66" i="4"/>
  <c r="I55" i="2"/>
  <c r="I56" i="2" s="1"/>
  <c r="J55" i="2"/>
  <c r="J56" i="2" s="1"/>
  <c r="O55" i="2"/>
  <c r="O56" i="2" s="1"/>
  <c r="F55" i="2"/>
  <c r="F56" i="2" s="1"/>
  <c r="N55" i="2"/>
  <c r="N56" i="2" s="1"/>
  <c r="K55" i="2"/>
  <c r="K56" i="2" s="1"/>
  <c r="G55" i="2"/>
  <c r="G56" i="2" s="1"/>
  <c r="L55" i="2"/>
  <c r="L56" i="2" s="1"/>
  <c r="D55" i="2"/>
  <c r="D53" i="2" s="1"/>
  <c r="M55" i="2"/>
  <c r="M56" i="2" s="1"/>
  <c r="E55" i="2"/>
  <c r="E56" i="2" s="1"/>
  <c r="G85" i="2"/>
  <c r="E105" i="2"/>
  <c r="G105" i="2"/>
  <c r="J85" i="2"/>
  <c r="K85" i="2"/>
  <c r="D85" i="2"/>
  <c r="L85" i="2"/>
  <c r="E75" i="2"/>
  <c r="L105" i="2"/>
  <c r="E85" i="2"/>
  <c r="M85" i="2"/>
  <c r="M75" i="2"/>
  <c r="O105" i="2"/>
  <c r="F85" i="2"/>
  <c r="N85" i="2"/>
  <c r="E95" i="2"/>
  <c r="O85" i="2"/>
  <c r="J95" i="2"/>
  <c r="H85" i="2"/>
  <c r="K95" i="2"/>
  <c r="I85" i="2"/>
  <c r="M95" i="2"/>
  <c r="N75" i="2"/>
  <c r="M105" i="2"/>
  <c r="G75" i="2"/>
  <c r="O75" i="2"/>
  <c r="D95" i="2"/>
  <c r="L95" i="2"/>
  <c r="F105" i="2"/>
  <c r="N105" i="2"/>
  <c r="H75" i="2"/>
  <c r="I75" i="2"/>
  <c r="H105" i="2"/>
  <c r="J65" i="2"/>
  <c r="J75" i="2"/>
  <c r="G95" i="2"/>
  <c r="G93" i="2" s="1"/>
  <c r="O95" i="2"/>
  <c r="O93" i="2" s="1"/>
  <c r="I105" i="2"/>
  <c r="N95" i="2"/>
  <c r="N93" i="2" s="1"/>
  <c r="L65" i="2"/>
  <c r="K75" i="2"/>
  <c r="H95" i="2"/>
  <c r="H93" i="2" s="1"/>
  <c r="J105" i="2"/>
  <c r="F75" i="2"/>
  <c r="F95" i="2"/>
  <c r="F93" i="2" s="1"/>
  <c r="D75" i="2"/>
  <c r="L75" i="2"/>
  <c r="I95" i="2"/>
  <c r="I93" i="2" s="1"/>
  <c r="K105" i="2"/>
  <c r="D105" i="2"/>
  <c r="M86" i="2"/>
  <c r="I65" i="2"/>
  <c r="I63" i="2" s="1"/>
  <c r="K65" i="2"/>
  <c r="K63" i="2" s="1"/>
  <c r="D65" i="2"/>
  <c r="D63" i="2" s="1"/>
  <c r="E65" i="2"/>
  <c r="E63" i="2" s="1"/>
  <c r="F65" i="2"/>
  <c r="N65" i="2"/>
  <c r="M65" i="2"/>
  <c r="G65" i="2"/>
  <c r="O65" i="2"/>
  <c r="O63" i="2" s="1"/>
  <c r="H65" i="2"/>
  <c r="H63" i="2" s="1"/>
  <c r="J51" i="2" l="1"/>
  <c r="H51" i="2"/>
  <c r="H53" i="2"/>
  <c r="N51" i="2"/>
  <c r="I51" i="2"/>
  <c r="O53" i="2"/>
  <c r="F51" i="2"/>
  <c r="F53" i="2"/>
  <c r="O51" i="2"/>
  <c r="N53" i="2"/>
  <c r="I53" i="2"/>
  <c r="K51" i="2"/>
  <c r="G51" i="2"/>
  <c r="J53" i="2"/>
  <c r="L51" i="2"/>
  <c r="K53" i="2"/>
  <c r="D56" i="2"/>
  <c r="G53" i="2"/>
  <c r="D51" i="2"/>
  <c r="M51" i="2"/>
  <c r="L53" i="2"/>
  <c r="M53" i="2"/>
  <c r="E51" i="2"/>
  <c r="E53" i="2"/>
  <c r="K96" i="2"/>
  <c r="K93" i="2"/>
  <c r="M71" i="2"/>
  <c r="M116" i="2"/>
  <c r="M73" i="2"/>
  <c r="G61" i="2"/>
  <c r="G63" i="2"/>
  <c r="J101" i="2"/>
  <c r="J103" i="2"/>
  <c r="J116" i="2"/>
  <c r="J73" i="2"/>
  <c r="D91" i="2"/>
  <c r="D154" i="2" s="1"/>
  <c r="D93" i="2"/>
  <c r="H86" i="2"/>
  <c r="H83" i="2"/>
  <c r="M81" i="2"/>
  <c r="M83" i="2"/>
  <c r="K86" i="2"/>
  <c r="K83" i="2"/>
  <c r="G106" i="2"/>
  <c r="G103" i="2"/>
  <c r="G101" i="2"/>
  <c r="O106" i="2"/>
  <c r="O103" i="2"/>
  <c r="O101" i="2"/>
  <c r="E81" i="2"/>
  <c r="E83" i="2"/>
  <c r="K101" i="2"/>
  <c r="K103" i="2"/>
  <c r="K116" i="2"/>
  <c r="K73" i="2"/>
  <c r="H101" i="2"/>
  <c r="H103" i="2"/>
  <c r="G73" i="2"/>
  <c r="G116" i="2"/>
  <c r="O86" i="2"/>
  <c r="O83" i="2"/>
  <c r="L103" i="2"/>
  <c r="L101" i="2"/>
  <c r="F103" i="2"/>
  <c r="F101" i="2"/>
  <c r="F116" i="2"/>
  <c r="F73" i="2"/>
  <c r="D103" i="2"/>
  <c r="D101" i="2"/>
  <c r="D158" i="2" s="1"/>
  <c r="O73" i="2"/>
  <c r="O116" i="2"/>
  <c r="F61" i="2"/>
  <c r="F63" i="2"/>
  <c r="L66" i="2"/>
  <c r="L63" i="2"/>
  <c r="I116" i="2"/>
  <c r="I73" i="2"/>
  <c r="M106" i="2"/>
  <c r="M103" i="2"/>
  <c r="M101" i="2"/>
  <c r="E91" i="2"/>
  <c r="E93" i="2"/>
  <c r="E76" i="2"/>
  <c r="E116" i="2"/>
  <c r="E73" i="2"/>
  <c r="J86" i="2"/>
  <c r="J83" i="2"/>
  <c r="I81" i="2"/>
  <c r="I83" i="2"/>
  <c r="L91" i="2"/>
  <c r="L93" i="2"/>
  <c r="J66" i="2"/>
  <c r="J63" i="2"/>
  <c r="J96" i="2"/>
  <c r="J93" i="2"/>
  <c r="N66" i="2"/>
  <c r="N63" i="2"/>
  <c r="L71" i="2"/>
  <c r="L116" i="2"/>
  <c r="L73" i="2"/>
  <c r="H73" i="2"/>
  <c r="H116" i="2"/>
  <c r="N116" i="2"/>
  <c r="N73" i="2"/>
  <c r="N86" i="2"/>
  <c r="N83" i="2"/>
  <c r="L86" i="2"/>
  <c r="L83" i="2"/>
  <c r="E106" i="2"/>
  <c r="E103" i="2"/>
  <c r="E101" i="2"/>
  <c r="M66" i="2"/>
  <c r="M63" i="2"/>
  <c r="D76" i="2"/>
  <c r="D116" i="2"/>
  <c r="D73" i="2"/>
  <c r="I101" i="2"/>
  <c r="I103" i="2"/>
  <c r="N103" i="2"/>
  <c r="N101" i="2"/>
  <c r="M91" i="2"/>
  <c r="M93" i="2"/>
  <c r="F86" i="2"/>
  <c r="F83" i="2"/>
  <c r="D86" i="2"/>
  <c r="D83" i="2"/>
  <c r="G86" i="2"/>
  <c r="G83" i="2"/>
  <c r="G81" i="2"/>
  <c r="G66" i="2"/>
  <c r="E86" i="2"/>
  <c r="H81" i="2"/>
  <c r="K81" i="2"/>
  <c r="N81" i="2"/>
  <c r="J81" i="2"/>
  <c r="L81" i="2"/>
  <c r="D71" i="2"/>
  <c r="E71" i="2"/>
  <c r="L106" i="2"/>
  <c r="O81" i="2"/>
  <c r="L96" i="2"/>
  <c r="K91" i="2"/>
  <c r="D96" i="2"/>
  <c r="D155" i="2" s="1"/>
  <c r="D81" i="2"/>
  <c r="D106" i="2"/>
  <c r="D159" i="2" s="1"/>
  <c r="M96" i="2"/>
  <c r="E96" i="2"/>
  <c r="F81" i="2"/>
  <c r="I86" i="2"/>
  <c r="M76" i="2"/>
  <c r="J91" i="2"/>
  <c r="N96" i="2"/>
  <c r="N91" i="2"/>
  <c r="I76" i="2"/>
  <c r="I71" i="2"/>
  <c r="J61" i="2"/>
  <c r="F96" i="2"/>
  <c r="F91" i="2"/>
  <c r="I106" i="2"/>
  <c r="H76" i="2"/>
  <c r="H71" i="2"/>
  <c r="N76" i="2"/>
  <c r="N71" i="2"/>
  <c r="I96" i="2"/>
  <c r="I91" i="2"/>
  <c r="F76" i="2"/>
  <c r="F71" i="2"/>
  <c r="O96" i="2"/>
  <c r="O91" i="2"/>
  <c r="N106" i="2"/>
  <c r="H106" i="2"/>
  <c r="L61" i="2"/>
  <c r="J106" i="2"/>
  <c r="G96" i="2"/>
  <c r="G91" i="2"/>
  <c r="F106" i="2"/>
  <c r="O76" i="2"/>
  <c r="O71" i="2"/>
  <c r="G76" i="2"/>
  <c r="G71" i="2"/>
  <c r="H96" i="2"/>
  <c r="H91" i="2"/>
  <c r="J76" i="2"/>
  <c r="J71" i="2"/>
  <c r="L76" i="2"/>
  <c r="K106" i="2"/>
  <c r="K76" i="2"/>
  <c r="K71" i="2"/>
  <c r="F66" i="2"/>
  <c r="E66" i="2"/>
  <c r="E61" i="2"/>
  <c r="D66" i="2"/>
  <c r="D61" i="2"/>
  <c r="N61" i="2"/>
  <c r="M61" i="2"/>
  <c r="H61" i="2"/>
  <c r="H66" i="2"/>
  <c r="K66" i="2"/>
  <c r="K61" i="2"/>
  <c r="O66" i="2"/>
  <c r="O61" i="2"/>
  <c r="I61" i="2"/>
  <c r="I66" i="2"/>
  <c r="D156" i="2" l="1"/>
  <c r="E156" i="2" s="1"/>
  <c r="D160" i="2"/>
  <c r="E160" i="2" s="1"/>
  <c r="D129" i="2"/>
  <c r="E129" i="2"/>
  <c r="G124" i="2"/>
  <c r="G125" i="2" s="1"/>
  <c r="G126" i="2" s="1"/>
  <c r="E130" i="2"/>
  <c r="J129" i="2"/>
  <c r="H129" i="2"/>
  <c r="I130" i="2"/>
  <c r="M124" i="2"/>
  <c r="M125" i="2" s="1"/>
  <c r="M126" i="2" s="1"/>
  <c r="I124" i="2"/>
  <c r="I125" i="2" s="1"/>
  <c r="I126" i="2" s="1"/>
  <c r="N129" i="2"/>
  <c r="L130" i="2"/>
  <c r="L124" i="2"/>
  <c r="L125" i="2" s="1"/>
  <c r="O129" i="2"/>
  <c r="D124" i="2"/>
  <c r="D125" i="2" s="1"/>
  <c r="D126" i="2" s="1"/>
  <c r="G129" i="2"/>
  <c r="O130" i="2"/>
  <c r="D130" i="2"/>
  <c r="M130" i="2"/>
  <c r="F129" i="2"/>
  <c r="F124" i="2"/>
  <c r="F125" i="2" s="1"/>
  <c r="F126" i="2" s="1"/>
  <c r="K129" i="2"/>
  <c r="K124" i="2"/>
  <c r="K125" i="2" s="1"/>
  <c r="K126" i="2" s="1"/>
  <c r="L129" i="2"/>
  <c r="O124" i="2"/>
  <c r="O125" i="2" s="1"/>
  <c r="O126" i="2" s="1"/>
  <c r="H124" i="2"/>
  <c r="H125" i="2" s="1"/>
  <c r="H126" i="2" s="1"/>
  <c r="N130" i="2"/>
  <c r="E124" i="2"/>
  <c r="E125" i="2" s="1"/>
  <c r="E126" i="2" s="1"/>
  <c r="M129" i="2"/>
  <c r="K130" i="2"/>
  <c r="N124" i="2"/>
  <c r="N125" i="2" s="1"/>
  <c r="J124" i="2"/>
  <c r="J125" i="2" s="1"/>
  <c r="J126" i="2" s="1"/>
  <c r="I129" i="2"/>
  <c r="H130" i="2"/>
  <c r="F130" i="2"/>
  <c r="G130" i="2"/>
  <c r="J130" i="2"/>
  <c r="D131" i="2" l="1"/>
  <c r="J131" i="2"/>
  <c r="E131" i="2"/>
  <c r="M131" i="2"/>
  <c r="L131" i="2"/>
  <c r="I131" i="2"/>
  <c r="G131" i="2"/>
  <c r="O131" i="2"/>
  <c r="F131" i="2"/>
  <c r="H131" i="2"/>
  <c r="N131" i="2"/>
  <c r="L126" i="2"/>
  <c r="K131" i="2"/>
  <c r="N126" i="2"/>
  <c r="D7" i="2" l="1"/>
  <c r="D15" i="2"/>
  <c r="V33" i="5" l="1"/>
  <c r="V34" i="5"/>
  <c r="V32" i="5"/>
  <c r="V25" i="5"/>
  <c r="V26" i="5"/>
  <c r="V27" i="5"/>
  <c r="V28" i="5"/>
  <c r="V29" i="5"/>
  <c r="V30" i="5"/>
  <c r="V31" i="5"/>
  <c r="V24" i="5"/>
  <c r="E64" i="4"/>
  <c r="F64" i="4"/>
  <c r="G64" i="4"/>
  <c r="H64" i="4"/>
  <c r="I64" i="4"/>
  <c r="J64" i="4"/>
  <c r="K64" i="4"/>
  <c r="L64" i="4"/>
  <c r="M64" i="4"/>
  <c r="N64" i="4"/>
  <c r="O64" i="4"/>
  <c r="E65" i="4"/>
  <c r="F65" i="4"/>
  <c r="G65" i="4"/>
  <c r="H65" i="4"/>
  <c r="I65" i="4"/>
  <c r="J65" i="4"/>
  <c r="K65" i="4"/>
  <c r="L65" i="4"/>
  <c r="M65" i="4"/>
  <c r="N65" i="4"/>
  <c r="O65" i="4"/>
  <c r="E60" i="4"/>
  <c r="F60" i="4"/>
  <c r="G60" i="4"/>
  <c r="H60" i="4"/>
  <c r="I60" i="4"/>
  <c r="J60" i="4"/>
  <c r="K60" i="4"/>
  <c r="L60" i="4"/>
  <c r="M60" i="4"/>
  <c r="N60" i="4"/>
  <c r="O60" i="4"/>
  <c r="E59" i="4"/>
  <c r="F59" i="4"/>
  <c r="G59" i="4"/>
  <c r="H59" i="4"/>
  <c r="I59" i="4"/>
  <c r="J59" i="4"/>
  <c r="K59" i="4"/>
  <c r="L59" i="4"/>
  <c r="M59" i="4"/>
  <c r="N59" i="4"/>
  <c r="O59" i="4"/>
  <c r="O47" i="2"/>
  <c r="N47" i="2"/>
  <c r="M47" i="2"/>
  <c r="L47" i="2"/>
  <c r="K47" i="2"/>
  <c r="J47" i="2"/>
  <c r="I47" i="2"/>
  <c r="H47" i="2"/>
  <c r="G47" i="2"/>
  <c r="F47" i="2"/>
  <c r="E47" i="2"/>
  <c r="D47" i="2"/>
  <c r="J159" i="2" s="1"/>
  <c r="J160" i="2" s="1"/>
  <c r="K160" i="2" s="1"/>
  <c r="E39" i="2"/>
  <c r="F39" i="2"/>
  <c r="G39" i="2"/>
  <c r="H39" i="2"/>
  <c r="I39" i="2"/>
  <c r="J39" i="2"/>
  <c r="K39" i="2"/>
  <c r="L39" i="2"/>
  <c r="M39" i="2"/>
  <c r="N39" i="2"/>
  <c r="O39" i="2"/>
  <c r="D39" i="2"/>
  <c r="J155" i="2" s="1"/>
  <c r="J156" i="2" s="1"/>
  <c r="K156" i="2" s="1"/>
  <c r="E31" i="2"/>
  <c r="F31" i="2"/>
  <c r="G31" i="2"/>
  <c r="H31" i="2"/>
  <c r="I31" i="2"/>
  <c r="J31" i="2"/>
  <c r="K31" i="2"/>
  <c r="L31" i="2"/>
  <c r="M31" i="2"/>
  <c r="N31" i="2"/>
  <c r="O31" i="2"/>
  <c r="D31" i="2"/>
  <c r="O23" i="2"/>
  <c r="N23" i="2"/>
  <c r="M23" i="2"/>
  <c r="L23" i="2"/>
  <c r="K23" i="2"/>
  <c r="J23" i="2"/>
  <c r="I23" i="2"/>
  <c r="H23" i="2"/>
  <c r="G23" i="2"/>
  <c r="F23" i="2"/>
  <c r="E23" i="2"/>
  <c r="D23" i="2"/>
  <c r="O15" i="2"/>
  <c r="N15" i="2"/>
  <c r="M15" i="2"/>
  <c r="L15" i="2"/>
  <c r="K15" i="2"/>
  <c r="J15" i="2"/>
  <c r="I15" i="2"/>
  <c r="H15" i="2"/>
  <c r="G15" i="2"/>
  <c r="F15" i="2"/>
  <c r="E15" i="2"/>
  <c r="E7" i="2"/>
  <c r="F7" i="2"/>
  <c r="G7" i="2"/>
  <c r="H7" i="2"/>
  <c r="I7" i="2"/>
  <c r="J7" i="2"/>
  <c r="K7" i="2"/>
  <c r="L7" i="2"/>
  <c r="M7" i="2"/>
  <c r="N7" i="2"/>
  <c r="O7" i="2"/>
  <c r="F61" i="4" l="1"/>
  <c r="N61" i="4"/>
  <c r="E61" i="4"/>
  <c r="H66" i="4"/>
  <c r="M61" i="4"/>
  <c r="K66" i="4"/>
  <c r="D120" i="2"/>
  <c r="D121" i="2" s="1"/>
  <c r="H120" i="2"/>
  <c r="H121" i="2" s="1"/>
  <c r="L120" i="2"/>
  <c r="L121" i="2" s="1"/>
  <c r="F120" i="2"/>
  <c r="F121" i="2" s="1"/>
  <c r="N120" i="2"/>
  <c r="N121" i="2" s="1"/>
  <c r="J120" i="2"/>
  <c r="J121" i="2" s="1"/>
  <c r="I66" i="4"/>
  <c r="I120" i="2"/>
  <c r="I121" i="2" s="1"/>
  <c r="O120" i="2"/>
  <c r="O121" i="2" s="1"/>
  <c r="G120" i="2"/>
  <c r="G121" i="2" s="1"/>
  <c r="M120" i="2"/>
  <c r="M121" i="2" s="1"/>
  <c r="E120" i="2"/>
  <c r="E121" i="2" s="1"/>
  <c r="K120" i="2"/>
  <c r="K121" i="2" s="1"/>
  <c r="J66" i="4"/>
  <c r="K61" i="4"/>
  <c r="L61" i="4"/>
  <c r="M66" i="4"/>
  <c r="J61" i="4"/>
  <c r="N66" i="4"/>
  <c r="I61" i="4"/>
  <c r="H61" i="4"/>
  <c r="L66" i="4"/>
  <c r="O61" i="4"/>
  <c r="G61" i="4"/>
  <c r="O66" i="4"/>
  <c r="F66" i="4"/>
  <c r="G66" i="4"/>
  <c r="E66" i="4"/>
  <c r="U34" i="5" l="1"/>
  <c r="W34" i="5" s="1"/>
  <c r="U29" i="5"/>
  <c r="W29" i="5" s="1"/>
  <c r="U24" i="5"/>
  <c r="W24" i="5" s="1"/>
  <c r="U26" i="5"/>
  <c r="W26" i="5" s="1"/>
  <c r="U30" i="5"/>
  <c r="W30" i="5" s="1"/>
  <c r="U25" i="5"/>
  <c r="W25" i="5" s="1"/>
  <c r="U32" i="5"/>
  <c r="W32" i="5" s="1"/>
  <c r="U28" i="5"/>
  <c r="W28" i="5" s="1"/>
  <c r="U31" i="5"/>
  <c r="W31" i="5" s="1"/>
  <c r="U33" i="5"/>
  <c r="W33" i="5" s="1"/>
  <c r="U27" i="5" l="1"/>
  <c r="W2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tc={C6AB38A8-8575-409B-81E7-27D38191693C}</author>
  </authors>
  <commentList>
    <comment ref="J6" authorId="0" shapeId="0" xr:uid="{C6AB38A8-8575-409B-81E7-27D3819169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PPAs = PPA ACL + PPA ACR Q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tc={0EB72412-4BB8-4713-8FCA-9FF36D6DA661}</author>
    <author>tc={2392F4B3-2C08-4521-AA7A-EAA3F0D7E245}</author>
    <author>tc={4CEB628A-EF15-41B3-BD77-BA6BCBA6C9AB}</author>
    <author>tc={47A688CE-5000-4135-9005-8B33C7622AF0}</author>
    <author>tc={B2383534-FCFE-4E96-A2EF-8679585C38AB}</author>
    <author>tc={86CA7779-B698-4604-9C2A-108F1CC8B26E}</author>
    <author>tc={6E4DE332-257F-478E-88E8-D32AFF2892CB}</author>
    <author>tc={4115D19E-548C-4A23-B086-AEE0E47B6335}</author>
    <author>tc={9BFB37B6-6862-4A62-96A2-18C689F468BF}</author>
    <author>tc={75053A84-8641-4BD0-A256-A23C38015053}</author>
    <author>tc={37F6AC22-75E8-4233-BB15-18264036D73D}</author>
    <author>tc={4DC0A98A-3E72-45C5-9D15-A0A898619E39}</author>
  </authors>
  <commentList>
    <comment ref="C5" authorId="0" shapeId="0" xr:uid="{0EB72412-4BB8-4713-8FCA-9FF36D6D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  <comment ref="C13" authorId="1" shapeId="0" xr:uid="{2392F4B3-2C08-4521-AA7A-EAA3F0D7E2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  <comment ref="C21" authorId="2" shapeId="0" xr:uid="{4CEB628A-EF15-41B3-BD77-BA6BCBA6C9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  <comment ref="C29" authorId="3" shapeId="0" xr:uid="{47A688CE-5000-4135-9005-8B33C7622A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  <comment ref="C37" authorId="4" shapeId="0" xr:uid="{B2383534-FCFE-4E96-A2EF-8679585C38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  <comment ref="C45" authorId="5" shapeId="0" xr:uid="{86CA7779-B698-4604-9C2A-108F1CC8B2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  <comment ref="C57" authorId="6" shapeId="0" xr:uid="{6E4DE332-257F-478E-88E8-D32AFF2892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  <comment ref="C67" authorId="7" shapeId="0" xr:uid="{4115D19E-548C-4A23-B086-AEE0E47B63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  <comment ref="C77" authorId="8" shapeId="0" xr:uid="{9BFB37B6-6862-4A62-96A2-18C689F46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  <comment ref="C87" authorId="9" shapeId="0" xr:uid="{75053A84-8641-4BD0-A256-A23C380150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  <comment ref="C97" authorId="10" shapeId="0" xr:uid="{37F6AC22-75E8-4233-BB15-18264036D7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  <comment ref="C107" authorId="11" shapeId="0" xr:uid="{4DC0A98A-3E72-45C5-9D15-A0A898619E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(geração realizada + projeção até o final do mês) x 0,96</t>
      </text>
    </comment>
  </commentList>
</comments>
</file>

<file path=xl/sharedStrings.xml><?xml version="1.0" encoding="utf-8"?>
<sst xmlns="http://schemas.openxmlformats.org/spreadsheetml/2006/main" count="675" uniqueCount="129">
  <si>
    <t>Mercado de Curto Prazo - ativos</t>
  </si>
  <si>
    <t>Lastro - ativos</t>
  </si>
  <si>
    <t>1. Folha Larga - Fase 1</t>
  </si>
  <si>
    <t>Leonardo Ferreira</t>
  </si>
  <si>
    <t xml:space="preserve">Recurso </t>
  </si>
  <si>
    <t>Requisito</t>
  </si>
  <si>
    <t>2. Folha Larga - Fase 2</t>
  </si>
  <si>
    <r>
      <t xml:space="preserve">(geração realizada + projeção até o final do mês) x 0,96 + </t>
    </r>
    <r>
      <rPr>
        <sz val="11"/>
        <color rgb="FFFF0000"/>
        <rFont val="Aptos Narrow"/>
        <family val="2"/>
        <scheme val="minor"/>
      </rPr>
      <t>PPAs compra</t>
    </r>
  </si>
  <si>
    <t>sazonalização gf liquida</t>
  </si>
  <si>
    <t>3. Pirapora</t>
  </si>
  <si>
    <t>Leticia Sasse</t>
  </si>
  <si>
    <t>4. Seridó - Fase 1</t>
  </si>
  <si>
    <t>Recurso</t>
  </si>
  <si>
    <t>PPA consumo</t>
  </si>
  <si>
    <t>consumo realizado + projeção</t>
  </si>
  <si>
    <t>Paula Souza</t>
  </si>
  <si>
    <t>5. Seridó - Fase 2</t>
  </si>
  <si>
    <t>cond 1 (SDS 11 e 14)</t>
  </si>
  <si>
    <t>PPA Engie flex + demais PPAs</t>
  </si>
  <si>
    <t>recurso</t>
  </si>
  <si>
    <t>SPE</t>
  </si>
  <si>
    <t>Comentários</t>
  </si>
  <si>
    <t>1. Geração realizado x projetado - verificar com performance.</t>
  </si>
  <si>
    <t>2. Trazer comparativo nos momentos de fechamento de cp antecipado - gestão de energia.</t>
  </si>
  <si>
    <t>3. Comparativos da Tempo OK entre P50/P75/P90 - verificar com performance.</t>
  </si>
  <si>
    <t>4. Efeito da indisponibilidade na geração dos ativos - verificar com performance.</t>
  </si>
  <si>
    <t>Complexo</t>
  </si>
  <si>
    <t>CCEAR-D (MWh)</t>
  </si>
  <si>
    <t>Atendimento ACR (%)</t>
  </si>
  <si>
    <t>Item</t>
  </si>
  <si>
    <t>GF Líquida (MWh)</t>
  </si>
  <si>
    <t>PPA Cemig flex (MWh)</t>
  </si>
  <si>
    <t>PPA Engie flex (MWh)</t>
  </si>
  <si>
    <t>SDS 1</t>
  </si>
  <si>
    <t>Geração Líquida (MWh)</t>
  </si>
  <si>
    <r>
      <t xml:space="preserve">geração bruta x 0,96 x </t>
    </r>
    <r>
      <rPr>
        <sz val="11"/>
        <color rgb="FFFF0000"/>
        <rFont val="Aptos Narrow"/>
        <family val="2"/>
        <scheme val="minor"/>
      </rPr>
      <t>% ACR</t>
    </r>
    <r>
      <rPr>
        <sz val="11"/>
        <color theme="1"/>
        <rFont val="Aptos Narrow"/>
        <family val="2"/>
        <scheme val="minor"/>
      </rPr>
      <t xml:space="preserve"> +</t>
    </r>
    <r>
      <rPr>
        <sz val="11"/>
        <color rgb="FFFF0000"/>
        <rFont val="Aptos Narrow"/>
        <family val="2"/>
        <scheme val="minor"/>
      </rPr>
      <t xml:space="preserve"> PPAs</t>
    </r>
  </si>
  <si>
    <t>Sazonalização Cemig (MWh)</t>
  </si>
  <si>
    <t>PPAs = GF liquida - PPA ACR D</t>
  </si>
  <si>
    <t>PPAs (MWh)</t>
  </si>
  <si>
    <t>(geração realizada + projeção até o final do mês) x 0,96 + PPAs Compra</t>
  </si>
  <si>
    <t>PPAs Compra (MWh)</t>
  </si>
  <si>
    <t>MCP</t>
  </si>
  <si>
    <t>Geração Projetada</t>
  </si>
  <si>
    <t>Resultado</t>
  </si>
  <si>
    <t>Lastro</t>
  </si>
  <si>
    <t>GF sazonalizada liquida +PPAs Compra</t>
  </si>
  <si>
    <t>Pirapora</t>
  </si>
  <si>
    <t>P2</t>
  </si>
  <si>
    <t>P3</t>
  </si>
  <si>
    <t>P4</t>
  </si>
  <si>
    <t>P5</t>
  </si>
  <si>
    <t>P6</t>
  </si>
  <si>
    <t>P7</t>
  </si>
  <si>
    <t>P9</t>
  </si>
  <si>
    <t>P10</t>
  </si>
  <si>
    <t>V1</t>
  </si>
  <si>
    <t>V2</t>
  </si>
  <si>
    <t>V3</t>
  </si>
  <si>
    <t>PPA - Compra (MWh)</t>
  </si>
  <si>
    <t>SDS 2</t>
  </si>
  <si>
    <t>Sazonalização Engie (MWh)</t>
  </si>
  <si>
    <r>
      <t xml:space="preserve">(geração realizada + projeção até o final do mês) x 0,96 </t>
    </r>
    <r>
      <rPr>
        <sz val="11"/>
        <color rgb="FFFF0000"/>
        <rFont val="Aptos Narrow"/>
        <family val="2"/>
        <scheme val="minor"/>
      </rPr>
      <t>+ PPAs Compra</t>
    </r>
  </si>
  <si>
    <r>
      <t xml:space="preserve">(geração realizada + projeção até o final do mês) x 0,96 + </t>
    </r>
    <r>
      <rPr>
        <sz val="11"/>
        <color rgb="FFFF0000"/>
        <rFont val="Aptos Narrow"/>
        <family val="2"/>
        <scheme val="minor"/>
      </rPr>
      <t>PPAs compra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+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PPAs Compra Conv</t>
    </r>
  </si>
  <si>
    <t>Sazonalização PPAs (MWh)</t>
  </si>
  <si>
    <t>%Rateio SPEs</t>
  </si>
  <si>
    <t>Sazonalização PPAs Compra (MWh)</t>
  </si>
  <si>
    <t>Sazonalização PPAs Compra Conv (MWh)</t>
  </si>
  <si>
    <t>PPAs Compra Conv (MWh)</t>
  </si>
  <si>
    <t>SDS1</t>
  </si>
  <si>
    <t>SDS2</t>
  </si>
  <si>
    <t>CCEAR-Q (MWh)</t>
  </si>
  <si>
    <t>PPA Cemig flex + demais PPAs - perdas CCEAR</t>
  </si>
  <si>
    <t>PPAs +PPA ACR D - PERDAS CCEAR</t>
  </si>
  <si>
    <t>PERDAS CCEAR = (CCEAR Q + CCEAR D)*(1 - 0,96)</t>
  </si>
  <si>
    <t>PERDAS CCEAR (MWh)</t>
  </si>
  <si>
    <t>FLN1</t>
  </si>
  <si>
    <t>FLN2</t>
  </si>
  <si>
    <t>São Januário I</t>
  </si>
  <si>
    <t>São Januário IV</t>
  </si>
  <si>
    <t>São Januário XIII</t>
  </si>
  <si>
    <t>São Januário XIV</t>
  </si>
  <si>
    <t>São Januário III</t>
  </si>
  <si>
    <t>São Januário V</t>
  </si>
  <si>
    <t>São Januário VI</t>
  </si>
  <si>
    <t>São Januário X</t>
  </si>
  <si>
    <t>São Januário XI</t>
  </si>
  <si>
    <t>Serra do Seridó II</t>
  </si>
  <si>
    <t>Serra do Seridó III</t>
  </si>
  <si>
    <t>Serra do Seridó IV</t>
  </si>
  <si>
    <t>Serra do Seridó VI</t>
  </si>
  <si>
    <t>Serra do Seridó VII</t>
  </si>
  <si>
    <t>Serra do Seridó IX</t>
  </si>
  <si>
    <t>Serra do Seridó X</t>
  </si>
  <si>
    <t>Serra do Seridó XI</t>
  </si>
  <si>
    <t>Serra do Seridó XII</t>
  </si>
  <si>
    <t>Serra do Seridó XIV</t>
  </si>
  <si>
    <t>Serra do Seridó XVI</t>
  </si>
  <si>
    <t>Serra do Seridó XVII</t>
  </si>
  <si>
    <t>(engie flex -&gt; 11,14)</t>
  </si>
  <si>
    <t>elif:</t>
  </si>
  <si>
    <t>if:</t>
  </si>
  <si>
    <t>else</t>
  </si>
  <si>
    <t>SDS 11 &amp; SDS 14</t>
  </si>
  <si>
    <t>demais SPEs F2</t>
  </si>
  <si>
    <r>
      <rPr>
        <b/>
        <sz val="11"/>
        <color theme="1"/>
        <rFont val="Aptos Narrow"/>
        <family val="2"/>
        <scheme val="minor"/>
      </rPr>
      <t>requisito</t>
    </r>
    <r>
      <rPr>
        <sz val="11"/>
        <color theme="1"/>
        <rFont val="Aptos Narrow"/>
        <family val="2"/>
        <scheme val="minor"/>
      </rPr>
      <t xml:space="preserve"> = %rateio * sazo_PPA + PPA_ENGIE_flex * %rateio_engie </t>
    </r>
  </si>
  <si>
    <r>
      <rPr>
        <b/>
        <sz val="11"/>
        <color theme="1"/>
        <rFont val="Aptos Narrow"/>
        <family val="2"/>
        <scheme val="minor"/>
      </rPr>
      <t>requisito</t>
    </r>
    <r>
      <rPr>
        <sz val="11"/>
        <color theme="1"/>
        <rFont val="Aptos Narrow"/>
        <family val="2"/>
        <scheme val="minor"/>
      </rPr>
      <t xml:space="preserve"> = %rateio * sazo_PPA</t>
    </r>
  </si>
  <si>
    <t>recurso =</t>
  </si>
  <si>
    <t>%rateio * sazo_PPA_compra</t>
  </si>
  <si>
    <t>requisito =</t>
  </si>
  <si>
    <t>PPA Cemig flex =</t>
  </si>
  <si>
    <t>PPA_ENGIE_flex_F2</t>
  </si>
  <si>
    <t>PPA_ENGIE_flex_spe =</t>
  </si>
  <si>
    <t>PPA_ENGIE_flex_F2 * %rateio_engie</t>
  </si>
  <si>
    <t>* ADICIONAR PROJEÇÃO PARA TODO NET</t>
  </si>
  <si>
    <r>
      <t>(net_11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 xml:space="preserve"> +net_14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>)*0.68 &gt; sazo_Engie*1,1 -&gt; sazo_Engie*1,1</t>
    </r>
  </si>
  <si>
    <r>
      <t>(net_11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 xml:space="preserve"> +net_14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>)*0.68 &lt; sazo_Engie*0.9 -&gt; sazo_Engie*0.9</t>
    </r>
  </si>
  <si>
    <r>
      <t xml:space="preserve">                                                                   -&gt; (net_11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 xml:space="preserve"> + net_14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>)*0.68</t>
    </r>
  </si>
  <si>
    <r>
      <t>%rateio = (net_spe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 xml:space="preserve"> - PPA_ENGIE_flex_spe) / sum(net_F2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 xml:space="preserve"> - PPA_ENGIE_flex_F2)</t>
    </r>
  </si>
  <si>
    <t>if %rateio &lt;= 0 -&gt; %rateio=0</t>
  </si>
  <si>
    <t>if %rateio_11ou14 &lt;= 0 :</t>
  </si>
  <si>
    <r>
      <t>%rateio = (net_spe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 xml:space="preserve">) / sum(net_F2(exceto 11 e 14) </t>
    </r>
    <r>
      <rPr>
        <sz val="11"/>
        <color rgb="FFFF0000"/>
        <rFont val="Aptos Narrow"/>
        <family val="2"/>
        <scheme val="minor"/>
      </rPr>
      <t>+ proj_mwh(exceto 11 e 14)</t>
    </r>
    <r>
      <rPr>
        <sz val="11"/>
        <color theme="1"/>
        <rFont val="Aptos Narrow"/>
        <family val="2"/>
        <scheme val="minor"/>
      </rPr>
      <t>)</t>
    </r>
  </si>
  <si>
    <r>
      <t xml:space="preserve">                                                                          -&gt; (net_F1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>)*0.443259</t>
    </r>
  </si>
  <si>
    <t>PPA Cemig flex * percent_spe + demais PPAs ("PPAs (MWh)") - perdas CCEAR</t>
  </si>
  <si>
    <r>
      <t>(net_F1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>)*0.443259 &gt;= sazo_Cemig*1,1 -&gt; sazo_Cemig*1,1</t>
    </r>
  </si>
  <si>
    <r>
      <t>(net_F1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>)*0.443259 &lt;= sazo_Cemig*0.9 -&gt; sazo_Cemig*0.9</t>
    </r>
  </si>
  <si>
    <r>
      <t>%rateio_engie = (net_spe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>) / sum(net_spe(11+14)</t>
    </r>
    <r>
      <rPr>
        <sz val="11"/>
        <color rgb="FFFF0000"/>
        <rFont val="Aptos Narrow"/>
        <family val="2"/>
        <scheme val="minor"/>
      </rPr>
      <t>+proj_mwh</t>
    </r>
    <r>
      <rPr>
        <sz val="11"/>
        <color theme="1"/>
        <rFont val="Aptos Narrow"/>
        <family val="2"/>
        <scheme val="minor"/>
      </rPr>
      <t>)</t>
    </r>
  </si>
  <si>
    <r>
      <t>(geração realizada + projeção até o final do mês) x 0,96 +</t>
    </r>
    <r>
      <rPr>
        <u/>
        <sz val="11"/>
        <color theme="1"/>
        <rFont val="Aptos Narrow"/>
        <family val="2"/>
        <scheme val="minor"/>
      </rPr>
      <t xml:space="preserve"> PPAs Compra</t>
    </r>
  </si>
  <si>
    <r>
      <rPr>
        <u/>
        <sz val="11"/>
        <color theme="1"/>
        <rFont val="Aptos Narrow"/>
        <family val="2"/>
        <scheme val="minor"/>
      </rPr>
      <t>PPAs Compra</t>
    </r>
    <r>
      <rPr>
        <sz val="11"/>
        <color theme="1"/>
        <rFont val="Aptos Narrow"/>
        <family val="2"/>
        <scheme val="minor"/>
      </rPr>
      <t xml:space="preserve"> =</t>
    </r>
  </si>
  <si>
    <r>
      <t xml:space="preserve">(geração realizada + projeção até o final do mês) x 0,96 + </t>
    </r>
    <r>
      <rPr>
        <u/>
        <sz val="11"/>
        <color theme="1"/>
        <rFont val="Aptos Narrow"/>
        <family val="2"/>
        <scheme val="minor"/>
      </rPr>
      <t>PPAs Compra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</si>
</sst>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1" fillId="0" borderId="0" xfId="0" applyFont="1"/>
    <xf numFmtId="17" fontId="0" fillId="0" borderId="0" xfId="0" applyNumberFormat="1"/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3" fillId="0" borderId="0" xfId="0" applyFont="1"/>
    <xf numFmtId="3" fontId="0" fillId="0" borderId="0" xfId="0" applyNumberFormat="1"/>
    <xf numFmtId="17" fontId="2" fillId="0" borderId="0" xfId="0" applyNumberFormat="1" applyFont="1"/>
    <xf numFmtId="3" fontId="0" fillId="0" borderId="0" xfId="0" applyNumberFormat="1" applyFill="1"/>
    <xf numFmtId="43" fontId="0" fillId="0" borderId="0" xfId="1" applyFont="1"/>
    <xf numFmtId="43" fontId="0" fillId="0" borderId="0" xfId="0" applyNumberFormat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9" fontId="0" fillId="3" borderId="0" xfId="2" applyFont="1" applyFill="1"/>
    <xf numFmtId="3" fontId="1" fillId="3" borderId="0" xfId="0" applyNumberFormat="1" applyFont="1" applyFill="1"/>
    <xf numFmtId="0" fontId="0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7" xfId="0" applyBorder="1" applyAlignment="1">
      <alignment horizontal="right"/>
    </xf>
    <xf numFmtId="17" fontId="0" fillId="0" borderId="2" xfId="0" applyNumberForma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164" fontId="3" fillId="0" borderId="0" xfId="0" applyNumberFormat="1" applyFont="1" applyBorder="1" applyAlignment="1">
      <alignment vertical="center" wrapText="1"/>
    </xf>
    <xf numFmtId="0" fontId="1" fillId="0" borderId="7" xfId="0" applyFont="1" applyBorder="1"/>
    <xf numFmtId="0" fontId="1" fillId="0" borderId="0" xfId="0" applyFont="1" applyBorder="1"/>
    <xf numFmtId="0" fontId="8" fillId="0" borderId="0" xfId="0" applyFont="1" applyBorder="1" applyAlignment="1">
      <alignment horizontal="left" vertical="top"/>
    </xf>
    <xf numFmtId="0" fontId="0" fillId="0" borderId="4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ula Souza" id="{708B67BB-90C2-4B42-BBAB-56EF5F70283A}" userId="S::paula.souza@edf-re.com.br::803eceec-70a3-4a9b-a7af-214b2781dcf6" providerId="AD"/>
  <person displayName="Leonardo Ferreira" id="{F8652C4D-D7F9-4785-91BB-E9E21F26D340}" userId="S::leonardo.ferreira@edf-re.com.br::7b09bed7-e64c-47e3-8936-725b62c33b2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" dT="2025-01-15T14:45:33.90" personId="{F8652C4D-D7F9-4785-91BB-E9E21F26D340}" id="{C6AB38A8-8575-409B-81E7-27D38191693C}">
    <text>PPAs = PPA ACL + PPA ACR Q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5" dT="2025-01-15T14:45:59.90" personId="{708B67BB-90C2-4B42-BBAB-56EF5F70283A}" id="{0EB72412-4BB8-4713-8FCA-9FF36D6DA661}">
    <text>(geração realizada + projeção até o final do mês) x 0,96</text>
  </threadedComment>
  <threadedComment ref="C13" dT="2025-01-15T14:45:59.90" personId="{708B67BB-90C2-4B42-BBAB-56EF5F70283A}" id="{2392F4B3-2C08-4521-AA7A-EAA3F0D7E245}">
    <text>(geração realizada + projeção até o final do mês) x 0,96</text>
  </threadedComment>
  <threadedComment ref="C21" dT="2025-01-15T14:45:59.90" personId="{708B67BB-90C2-4B42-BBAB-56EF5F70283A}" id="{4CEB628A-EF15-41B3-BD77-BA6BCBA6C9AB}">
    <text>(geração realizada + projeção até o final do mês) x 0,96</text>
  </threadedComment>
  <threadedComment ref="C29" dT="2025-01-15T14:45:59.90" personId="{708B67BB-90C2-4B42-BBAB-56EF5F70283A}" id="{47A688CE-5000-4135-9005-8B33C7622AF0}">
    <text>(geração realizada + projeção até o final do mês) x 0,96</text>
  </threadedComment>
  <threadedComment ref="C37" dT="2025-01-15T14:45:59.90" personId="{708B67BB-90C2-4B42-BBAB-56EF5F70283A}" id="{B2383534-FCFE-4E96-A2EF-8679585C38AB}">
    <text>(geração realizada + projeção até o final do mês) x 0,96</text>
  </threadedComment>
  <threadedComment ref="C45" dT="2025-01-15T14:45:59.90" personId="{708B67BB-90C2-4B42-BBAB-56EF5F70283A}" id="{86CA7779-B698-4604-9C2A-108F1CC8B26E}">
    <text>(geração realizada + projeção até o final do mês) x 0,96</text>
  </threadedComment>
  <threadedComment ref="C57" dT="2025-01-15T14:45:59.90" personId="{708B67BB-90C2-4B42-BBAB-56EF5F70283A}" id="{6E4DE332-257F-478E-88E8-D32AFF2892CB}">
    <text>(geração realizada + projeção até o final do mês) x 0,96</text>
  </threadedComment>
  <threadedComment ref="C67" dT="2025-01-15T14:45:59.90" personId="{708B67BB-90C2-4B42-BBAB-56EF5F70283A}" id="{4115D19E-548C-4A23-B086-AEE0E47B6335}">
    <text>(geração realizada + projeção até o final do mês) x 0,96</text>
  </threadedComment>
  <threadedComment ref="C77" dT="2025-01-15T14:45:59.90" personId="{708B67BB-90C2-4B42-BBAB-56EF5F70283A}" id="{9BFB37B6-6862-4A62-96A2-18C689F468BF}">
    <text>(geração realizada + projeção até o final do mês) x 0,96</text>
  </threadedComment>
  <threadedComment ref="C87" dT="2025-01-15T14:45:59.90" personId="{708B67BB-90C2-4B42-BBAB-56EF5F70283A}" id="{75053A84-8641-4BD0-A256-A23C38015053}">
    <text>(geração realizada + projeção até o final do mês) x 0,96</text>
  </threadedComment>
  <threadedComment ref="C97" dT="2025-01-15T14:45:59.90" personId="{708B67BB-90C2-4B42-BBAB-56EF5F70283A}" id="{37F6AC22-75E8-4233-BB15-18264036D73D}">
    <text>(geração realizada + projeção até o final do mês) x 0,96</text>
  </threadedComment>
  <threadedComment ref="C107" dT="2025-01-15T14:45:59.90" personId="{708B67BB-90C2-4B42-BBAB-56EF5F70283A}" id="{4DC0A98A-3E72-45C5-9D15-A0A898619E39}">
    <text>(geração realizada + projeção até o final do mês) x 0,96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FA76-38F3-4195-BF2F-621B3C3DCEA2}">
  <dimension ref="A1:AM42"/>
  <sheetViews>
    <sheetView showGridLines="0" topLeftCell="N19" zoomScaleNormal="100" workbookViewId="0">
      <selection activeCell="S39" sqref="S39"/>
    </sheetView>
  </sheetViews>
  <sheetFormatPr defaultRowHeight="14.4" x14ac:dyDescent="0.3"/>
  <cols>
    <col min="2" max="2" width="17.33203125" customWidth="1"/>
    <col min="3" max="3" width="9.88671875" customWidth="1"/>
    <col min="8" max="8" width="18.33203125" customWidth="1"/>
    <col min="15" max="15" width="1.6640625" style="5" customWidth="1"/>
    <col min="16" max="16" width="6.88671875" customWidth="1"/>
    <col min="18" max="18" width="17.33203125" customWidth="1"/>
    <col min="19" max="19" width="9.88671875" customWidth="1"/>
  </cols>
  <sheetData>
    <row r="1" spans="1:39" x14ac:dyDescent="0.3">
      <c r="A1" s="1" t="s">
        <v>0</v>
      </c>
      <c r="P1" s="1"/>
      <c r="Q1" s="1" t="s">
        <v>1</v>
      </c>
    </row>
    <row r="4" spans="1:39" x14ac:dyDescent="0.3">
      <c r="B4" t="s">
        <v>2</v>
      </c>
      <c r="D4" t="s">
        <v>3</v>
      </c>
      <c r="R4" t="s">
        <v>2</v>
      </c>
    </row>
    <row r="6" spans="1:39" x14ac:dyDescent="0.3">
      <c r="C6" s="1" t="s">
        <v>4</v>
      </c>
      <c r="D6" t="s">
        <v>39</v>
      </c>
      <c r="J6" s="2" t="s">
        <v>37</v>
      </c>
      <c r="S6" s="1" t="s">
        <v>4</v>
      </c>
      <c r="T6" s="2" t="s">
        <v>45</v>
      </c>
      <c r="Y6" t="s">
        <v>73</v>
      </c>
      <c r="Z6" s="2"/>
    </row>
    <row r="7" spans="1:39" x14ac:dyDescent="0.3">
      <c r="C7" s="1" t="s">
        <v>5</v>
      </c>
      <c r="D7" t="s">
        <v>35</v>
      </c>
      <c r="S7" s="1" t="s">
        <v>5</v>
      </c>
      <c r="T7" s="2" t="s">
        <v>72</v>
      </c>
    </row>
    <row r="8" spans="1:39" x14ac:dyDescent="0.3">
      <c r="AE8" s="23"/>
      <c r="AF8" s="24"/>
      <c r="AG8" s="24"/>
      <c r="AH8" s="24"/>
      <c r="AI8" s="24"/>
      <c r="AJ8" s="24"/>
      <c r="AK8" s="24"/>
      <c r="AL8" s="24"/>
      <c r="AM8" s="25"/>
    </row>
    <row r="9" spans="1:39" x14ac:dyDescent="0.3">
      <c r="B9" t="s">
        <v>6</v>
      </c>
      <c r="D9" t="s">
        <v>3</v>
      </c>
      <c r="R9" t="s">
        <v>6</v>
      </c>
      <c r="AE9" s="26"/>
      <c r="AF9" s="37" t="s">
        <v>108</v>
      </c>
      <c r="AG9" s="27" t="s">
        <v>122</v>
      </c>
      <c r="AH9" s="27"/>
      <c r="AI9" s="27"/>
      <c r="AJ9" s="27"/>
      <c r="AK9" s="27"/>
      <c r="AL9" s="27"/>
      <c r="AM9" s="28"/>
    </row>
    <row r="10" spans="1:39" x14ac:dyDescent="0.3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6"/>
      <c r="T10" s="3"/>
      <c r="U10" s="3"/>
      <c r="V10" s="3"/>
      <c r="W10" s="3"/>
      <c r="X10" s="3"/>
      <c r="Y10" s="3"/>
      <c r="Z10" s="3"/>
      <c r="AA10" s="3"/>
      <c r="AB10" s="3"/>
      <c r="AC10" s="3"/>
      <c r="AE10" s="26"/>
      <c r="AF10" s="27"/>
      <c r="AG10" s="27"/>
      <c r="AH10" s="27"/>
      <c r="AI10" s="27"/>
      <c r="AJ10" s="27"/>
      <c r="AK10" s="27"/>
      <c r="AL10" s="27"/>
      <c r="AM10" s="28"/>
    </row>
    <row r="11" spans="1:39" x14ac:dyDescent="0.3">
      <c r="C11" s="1" t="s">
        <v>4</v>
      </c>
      <c r="D11" t="s">
        <v>7</v>
      </c>
      <c r="S11" s="1" t="s">
        <v>4</v>
      </c>
      <c r="T11" s="2" t="s">
        <v>45</v>
      </c>
      <c r="AE11" s="26"/>
      <c r="AF11" s="29" t="s">
        <v>109</v>
      </c>
      <c r="AG11" s="27" t="s">
        <v>100</v>
      </c>
      <c r="AH11" s="27" t="s">
        <v>123</v>
      </c>
      <c r="AI11" s="27"/>
      <c r="AJ11" s="27"/>
      <c r="AK11" s="27"/>
      <c r="AL11" s="27"/>
      <c r="AM11" s="28"/>
    </row>
    <row r="12" spans="1:39" x14ac:dyDescent="0.3">
      <c r="C12" s="1" t="s">
        <v>5</v>
      </c>
      <c r="D12" s="2" t="s">
        <v>8</v>
      </c>
      <c r="S12" s="1" t="s">
        <v>5</v>
      </c>
      <c r="T12" s="2" t="s">
        <v>72</v>
      </c>
      <c r="Y12" t="s">
        <v>73</v>
      </c>
      <c r="AE12" s="26"/>
      <c r="AF12" s="27"/>
      <c r="AG12" s="27" t="s">
        <v>99</v>
      </c>
      <c r="AH12" s="27" t="s">
        <v>124</v>
      </c>
      <c r="AI12" s="27"/>
      <c r="AJ12" s="27"/>
      <c r="AK12" s="27"/>
      <c r="AL12" s="27"/>
      <c r="AM12" s="28"/>
    </row>
    <row r="13" spans="1:39" x14ac:dyDescent="0.3">
      <c r="AE13" s="26"/>
      <c r="AF13" s="27"/>
      <c r="AG13" s="27" t="s">
        <v>101</v>
      </c>
      <c r="AH13" s="27" t="s">
        <v>121</v>
      </c>
      <c r="AI13" s="27"/>
      <c r="AJ13" s="27"/>
      <c r="AK13" s="27"/>
      <c r="AL13" s="27"/>
      <c r="AM13" s="28"/>
    </row>
    <row r="14" spans="1:39" x14ac:dyDescent="0.3">
      <c r="B14" t="s">
        <v>9</v>
      </c>
      <c r="D14" t="s">
        <v>10</v>
      </c>
      <c r="R14" t="s">
        <v>11</v>
      </c>
      <c r="AE14" s="26"/>
      <c r="AF14" s="27"/>
      <c r="AG14" s="27"/>
      <c r="AH14" s="27"/>
      <c r="AI14" s="27"/>
      <c r="AJ14" s="27"/>
      <c r="AK14" s="27"/>
      <c r="AL14" s="27"/>
      <c r="AM14" s="28"/>
    </row>
    <row r="15" spans="1:39" x14ac:dyDescent="0.3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6"/>
      <c r="T15" s="3"/>
      <c r="U15" s="3"/>
      <c r="V15" s="3"/>
      <c r="W15" s="3"/>
      <c r="X15" s="3"/>
      <c r="Y15" s="3"/>
      <c r="Z15" s="3"/>
      <c r="AA15" s="3"/>
      <c r="AB15" s="3"/>
      <c r="AC15" s="3"/>
      <c r="AE15" s="26"/>
      <c r="AF15" s="27"/>
      <c r="AG15" s="27"/>
      <c r="AH15" s="27"/>
      <c r="AI15" s="27"/>
      <c r="AJ15" s="27"/>
      <c r="AK15" s="27"/>
      <c r="AL15" s="27"/>
      <c r="AM15" s="28"/>
    </row>
    <row r="16" spans="1:39" x14ac:dyDescent="0.3">
      <c r="C16" s="1" t="s">
        <v>12</v>
      </c>
      <c r="D16" s="2" t="s">
        <v>13</v>
      </c>
      <c r="S16" s="1" t="s">
        <v>12</v>
      </c>
      <c r="T16" s="2" t="s">
        <v>45</v>
      </c>
      <c r="Z16" s="2"/>
      <c r="AE16" s="26"/>
      <c r="AF16" s="27"/>
      <c r="AG16" s="27"/>
      <c r="AH16" s="27"/>
      <c r="AI16" s="27"/>
      <c r="AJ16" s="27"/>
      <c r="AK16" s="27"/>
      <c r="AL16" s="27"/>
      <c r="AM16" s="28"/>
    </row>
    <row r="17" spans="2:39" x14ac:dyDescent="0.3">
      <c r="C17" s="1" t="s">
        <v>5</v>
      </c>
      <c r="D17" t="s">
        <v>14</v>
      </c>
      <c r="S17" s="1" t="s">
        <v>5</v>
      </c>
      <c r="T17" s="2" t="s">
        <v>71</v>
      </c>
      <c r="Y17" s="21" t="s">
        <v>73</v>
      </c>
      <c r="Z17" s="2"/>
      <c r="AE17" s="26"/>
      <c r="AF17" s="27"/>
      <c r="AG17" s="27" t="s">
        <v>86</v>
      </c>
      <c r="AH17" s="27"/>
      <c r="AI17" s="38">
        <v>0.06</v>
      </c>
      <c r="AJ17" s="27"/>
      <c r="AK17" s="27"/>
      <c r="AL17" s="27"/>
      <c r="AM17" s="28"/>
    </row>
    <row r="18" spans="2:39" x14ac:dyDescent="0.3">
      <c r="AE18" s="26"/>
      <c r="AF18" s="27"/>
      <c r="AG18" s="27" t="s">
        <v>87</v>
      </c>
      <c r="AH18" s="27"/>
      <c r="AI18" s="38">
        <v>0.16900000000000001</v>
      </c>
      <c r="AJ18" s="27"/>
      <c r="AK18" s="27"/>
      <c r="AL18" s="27"/>
      <c r="AM18" s="28"/>
    </row>
    <row r="19" spans="2:39" x14ac:dyDescent="0.3">
      <c r="B19" t="s">
        <v>11</v>
      </c>
      <c r="D19" t="s">
        <v>15</v>
      </c>
      <c r="R19" t="s">
        <v>16</v>
      </c>
      <c r="AE19" s="26"/>
      <c r="AF19" s="27"/>
      <c r="AG19" s="27" t="s">
        <v>88</v>
      </c>
      <c r="AH19" s="27"/>
      <c r="AI19" s="38">
        <v>0.17599999999999999</v>
      </c>
      <c r="AJ19" s="27"/>
      <c r="AK19" s="27"/>
      <c r="AL19" s="27"/>
      <c r="AM19" s="28"/>
    </row>
    <row r="20" spans="2:39" x14ac:dyDescent="0.3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6"/>
      <c r="T20" s="3"/>
      <c r="U20" s="3"/>
      <c r="V20" s="3"/>
      <c r="W20" s="3"/>
      <c r="X20" s="3"/>
      <c r="Y20" s="3"/>
      <c r="Z20" s="3"/>
      <c r="AA20" s="3"/>
      <c r="AB20" s="3"/>
      <c r="AC20" s="3"/>
      <c r="AE20" s="26"/>
      <c r="AF20" s="27"/>
      <c r="AG20" s="27" t="s">
        <v>89</v>
      </c>
      <c r="AH20" s="27"/>
      <c r="AI20" s="38">
        <v>0.20100000000000001</v>
      </c>
      <c r="AJ20" s="27"/>
      <c r="AK20" s="27"/>
      <c r="AL20" s="27"/>
      <c r="AM20" s="28"/>
    </row>
    <row r="21" spans="2:39" x14ac:dyDescent="0.3">
      <c r="C21" s="1" t="s">
        <v>12</v>
      </c>
      <c r="D21" t="s">
        <v>61</v>
      </c>
      <c r="J21" s="2"/>
      <c r="S21" s="33" t="s">
        <v>12</v>
      </c>
      <c r="T21" t="s">
        <v>39</v>
      </c>
      <c r="Z21" s="2"/>
      <c r="AE21" s="26"/>
      <c r="AF21" s="27"/>
      <c r="AG21" s="27" t="s">
        <v>90</v>
      </c>
      <c r="AH21" s="27"/>
      <c r="AI21" s="38">
        <v>0.189</v>
      </c>
      <c r="AJ21" s="27"/>
      <c r="AK21" s="27"/>
      <c r="AL21" s="47" t="s">
        <v>33</v>
      </c>
      <c r="AM21" s="48"/>
    </row>
    <row r="22" spans="2:39" x14ac:dyDescent="0.3">
      <c r="C22" s="1" t="s">
        <v>5</v>
      </c>
      <c r="D22" s="2" t="s">
        <v>8</v>
      </c>
      <c r="J22" s="2"/>
      <c r="R22" t="s">
        <v>17</v>
      </c>
      <c r="S22" s="1" t="s">
        <v>5</v>
      </c>
      <c r="T22" s="2" t="s">
        <v>18</v>
      </c>
      <c r="Z22" s="2"/>
      <c r="AE22" s="26"/>
      <c r="AF22" s="27"/>
      <c r="AG22" s="27" t="s">
        <v>91</v>
      </c>
      <c r="AH22" s="27"/>
      <c r="AI22" s="38">
        <v>0.20499999999999999</v>
      </c>
      <c r="AJ22" s="27"/>
      <c r="AK22" s="27"/>
      <c r="AL22" s="47"/>
      <c r="AM22" s="48"/>
    </row>
    <row r="23" spans="2:39" x14ac:dyDescent="0.3">
      <c r="R23" t="s">
        <v>98</v>
      </c>
      <c r="AE23" s="30"/>
      <c r="AF23" s="31"/>
      <c r="AG23" s="31"/>
      <c r="AH23" s="31"/>
      <c r="AI23" s="31"/>
      <c r="AJ23" s="31"/>
      <c r="AK23" s="31"/>
      <c r="AL23" s="49"/>
      <c r="AM23" s="50"/>
    </row>
    <row r="24" spans="2:39" x14ac:dyDescent="0.3">
      <c r="B24" t="s">
        <v>16</v>
      </c>
      <c r="D24" t="s">
        <v>15</v>
      </c>
    </row>
    <row r="25" spans="2:39" x14ac:dyDescent="0.3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6"/>
      <c r="Q25" s="23"/>
      <c r="R25" s="24"/>
      <c r="S25" s="24"/>
      <c r="T25" s="24"/>
      <c r="U25" s="24"/>
      <c r="V25" s="24"/>
      <c r="W25" s="24"/>
      <c r="X25" s="24"/>
      <c r="Y25" s="24"/>
      <c r="Z25" s="24"/>
      <c r="AA25" s="35"/>
      <c r="AB25" s="35"/>
      <c r="AC25" s="35"/>
      <c r="AD25" s="35"/>
      <c r="AE25" s="24"/>
      <c r="AF25" s="24"/>
      <c r="AG25" s="24"/>
      <c r="AH25" s="24"/>
      <c r="AI25" s="24"/>
      <c r="AJ25" s="24"/>
      <c r="AK25" s="24"/>
      <c r="AL25" s="25"/>
    </row>
    <row r="26" spans="2:39" x14ac:dyDescent="0.3">
      <c r="C26" s="1" t="s">
        <v>12</v>
      </c>
      <c r="D26" t="s">
        <v>62</v>
      </c>
      <c r="J26" s="2"/>
      <c r="Q26" s="26"/>
      <c r="R26" s="36" t="s">
        <v>102</v>
      </c>
      <c r="S26" s="27"/>
      <c r="T26" s="27"/>
      <c r="U26" s="27"/>
      <c r="V26" s="27"/>
      <c r="W26" s="27"/>
      <c r="X26" s="27"/>
      <c r="Y26" s="27"/>
      <c r="Z26" s="27"/>
      <c r="AA26" s="27"/>
      <c r="AC26" s="36" t="s">
        <v>103</v>
      </c>
      <c r="AD26" s="27"/>
      <c r="AE26" s="27"/>
      <c r="AF26" s="27"/>
      <c r="AG26" s="27"/>
      <c r="AH26" s="27"/>
      <c r="AI26" s="27"/>
      <c r="AJ26" s="27"/>
      <c r="AK26" s="27"/>
      <c r="AL26" s="28"/>
    </row>
    <row r="27" spans="2:39" x14ac:dyDescent="0.3">
      <c r="B27" t="s">
        <v>17</v>
      </c>
      <c r="C27" s="1" t="s">
        <v>5</v>
      </c>
      <c r="D27" s="7" t="s">
        <v>19</v>
      </c>
      <c r="J27" s="2"/>
      <c r="Q27" s="26"/>
      <c r="R27" s="23"/>
      <c r="S27" s="24" t="s">
        <v>104</v>
      </c>
      <c r="T27" s="24"/>
      <c r="U27" s="24"/>
      <c r="V27" s="24"/>
      <c r="W27" s="24"/>
      <c r="X27" s="24"/>
      <c r="Y27" s="24"/>
      <c r="Z27" s="24"/>
      <c r="AA27" s="25"/>
      <c r="AC27" s="23"/>
      <c r="AD27" s="24" t="s">
        <v>105</v>
      </c>
      <c r="AE27" s="24"/>
      <c r="AF27" s="24"/>
      <c r="AG27" s="24"/>
      <c r="AH27" s="24"/>
      <c r="AI27" s="24"/>
      <c r="AJ27" s="24"/>
      <c r="AK27" s="25"/>
      <c r="AL27" s="28"/>
    </row>
    <row r="28" spans="2:39" x14ac:dyDescent="0.3">
      <c r="Q28" s="26"/>
      <c r="R28" s="26"/>
      <c r="S28" s="27"/>
      <c r="T28" s="27"/>
      <c r="U28" s="27"/>
      <c r="V28" s="27"/>
      <c r="W28" s="27"/>
      <c r="X28" s="27"/>
      <c r="Y28" s="27"/>
      <c r="Z28" s="27"/>
      <c r="AA28" s="28"/>
      <c r="AC28" s="26"/>
      <c r="AD28" s="27"/>
      <c r="AE28" s="27"/>
      <c r="AF28" s="27"/>
      <c r="AG28" s="27"/>
      <c r="AH28" s="27"/>
      <c r="AI28" s="27"/>
      <c r="AJ28" s="27"/>
      <c r="AK28" s="28"/>
      <c r="AL28" s="28"/>
    </row>
    <row r="29" spans="2:39" x14ac:dyDescent="0.3">
      <c r="Q29" s="26"/>
      <c r="R29" s="26"/>
      <c r="S29" s="27" t="s">
        <v>117</v>
      </c>
      <c r="T29" s="27"/>
      <c r="U29" s="27"/>
      <c r="V29" s="27"/>
      <c r="W29" s="27"/>
      <c r="X29" s="27"/>
      <c r="Y29" s="27"/>
      <c r="Z29" s="27"/>
      <c r="AA29" s="28"/>
      <c r="AC29" s="26"/>
      <c r="AD29" s="27" t="s">
        <v>117</v>
      </c>
      <c r="AE29" s="27"/>
      <c r="AF29" s="27"/>
      <c r="AG29" s="27"/>
      <c r="AH29" s="27"/>
      <c r="AI29" s="27"/>
      <c r="AJ29" s="27"/>
      <c r="AK29" s="28"/>
      <c r="AL29" s="28"/>
    </row>
    <row r="30" spans="2:39" x14ac:dyDescent="0.3">
      <c r="Q30" s="26"/>
      <c r="R30" s="26"/>
      <c r="S30" s="41" t="s">
        <v>118</v>
      </c>
      <c r="T30" s="27"/>
      <c r="U30" s="27"/>
      <c r="V30" s="27"/>
      <c r="W30" s="27"/>
      <c r="X30" s="27"/>
      <c r="Y30" s="27"/>
      <c r="Z30" s="27"/>
      <c r="AA30" s="28"/>
      <c r="AC30" s="26"/>
      <c r="AD30" s="29"/>
      <c r="AE30" s="27"/>
      <c r="AF30" s="27"/>
      <c r="AG30" s="27"/>
      <c r="AH30" s="27"/>
      <c r="AI30" s="27"/>
      <c r="AJ30" s="27"/>
      <c r="AK30" s="28"/>
      <c r="AL30" s="28"/>
    </row>
    <row r="31" spans="2:39" x14ac:dyDescent="0.3">
      <c r="Q31" s="26"/>
      <c r="R31" s="26"/>
      <c r="S31" s="22" t="s">
        <v>111</v>
      </c>
      <c r="T31" t="s">
        <v>112</v>
      </c>
      <c r="Z31" s="27"/>
      <c r="AA31" s="28"/>
      <c r="AC31" s="26"/>
      <c r="AD31" t="s">
        <v>119</v>
      </c>
      <c r="AE31" s="27"/>
      <c r="AF31" s="27"/>
      <c r="AG31" s="27"/>
      <c r="AH31" s="27"/>
      <c r="AI31" s="27"/>
      <c r="AJ31" s="27"/>
      <c r="AK31" s="28"/>
      <c r="AL31" s="28"/>
    </row>
    <row r="32" spans="2:39" x14ac:dyDescent="0.3">
      <c r="Q32" s="26"/>
      <c r="R32" s="26"/>
      <c r="Z32" s="27"/>
      <c r="AA32" s="28"/>
      <c r="AD32" t="s">
        <v>120</v>
      </c>
      <c r="AL32" s="28"/>
    </row>
    <row r="33" spans="17:38" x14ac:dyDescent="0.3">
      <c r="Q33" s="26"/>
      <c r="R33" s="42" t="s">
        <v>110</v>
      </c>
      <c r="S33" s="27" t="s">
        <v>100</v>
      </c>
      <c r="T33" s="27" t="s">
        <v>114</v>
      </c>
      <c r="U33" s="27"/>
      <c r="V33" s="27"/>
      <c r="W33" s="27"/>
      <c r="X33" s="27"/>
      <c r="Y33" s="27"/>
      <c r="Z33" s="27"/>
      <c r="AA33" s="28"/>
      <c r="AL33" s="28"/>
    </row>
    <row r="34" spans="17:38" x14ac:dyDescent="0.3">
      <c r="Q34" s="26"/>
      <c r="R34" s="42"/>
      <c r="S34" s="27" t="s">
        <v>99</v>
      </c>
      <c r="T34" s="27" t="s">
        <v>115</v>
      </c>
      <c r="U34" s="27"/>
      <c r="V34" s="27"/>
      <c r="W34" s="27"/>
      <c r="X34" s="27"/>
      <c r="Y34" s="27"/>
      <c r="Z34" s="27"/>
      <c r="AA34" s="28"/>
      <c r="AL34" s="28"/>
    </row>
    <row r="35" spans="17:38" x14ac:dyDescent="0.3">
      <c r="Q35" s="26"/>
      <c r="R35" s="42"/>
      <c r="S35" s="27" t="s">
        <v>101</v>
      </c>
      <c r="T35" s="27" t="s">
        <v>116</v>
      </c>
      <c r="U35" s="27"/>
      <c r="V35" s="27"/>
      <c r="W35" s="27"/>
      <c r="X35" s="27"/>
      <c r="Y35" s="27"/>
      <c r="Z35" s="27"/>
      <c r="AA35" s="28"/>
      <c r="AC35" s="26"/>
      <c r="AD35" s="36" t="s">
        <v>106</v>
      </c>
      <c r="AE35" s="27" t="s">
        <v>126</v>
      </c>
      <c r="AF35" s="27"/>
      <c r="AG35" s="27"/>
      <c r="AH35" s="27"/>
      <c r="AI35" s="27"/>
      <c r="AJ35" s="27"/>
      <c r="AK35" s="28"/>
      <c r="AL35" s="28"/>
    </row>
    <row r="36" spans="17:38" x14ac:dyDescent="0.3">
      <c r="Q36" s="26"/>
      <c r="R36" s="26"/>
      <c r="S36" s="27"/>
      <c r="T36" s="27"/>
      <c r="U36" s="27"/>
      <c r="V36" s="27"/>
      <c r="W36" s="27"/>
      <c r="X36" s="27"/>
      <c r="Y36" s="27"/>
      <c r="Z36" s="27"/>
      <c r="AA36" s="28"/>
      <c r="AC36" s="26"/>
      <c r="AD36" s="27"/>
      <c r="AE36" s="27"/>
      <c r="AF36" s="27"/>
      <c r="AG36" s="27"/>
      <c r="AH36" s="27"/>
      <c r="AI36" s="27"/>
      <c r="AJ36" s="27"/>
      <c r="AK36" s="28"/>
      <c r="AL36" s="28"/>
    </row>
    <row r="37" spans="17:38" x14ac:dyDescent="0.3">
      <c r="Q37" s="26"/>
      <c r="R37" s="26"/>
      <c r="S37" s="27" t="s">
        <v>125</v>
      </c>
      <c r="T37" s="27"/>
      <c r="U37" s="27"/>
      <c r="V37" s="27"/>
      <c r="W37" s="27"/>
      <c r="X37" s="27"/>
      <c r="Y37" s="27"/>
      <c r="Z37" s="27"/>
      <c r="AA37" s="28"/>
      <c r="AB37" s="27"/>
      <c r="AC37" s="26"/>
      <c r="AD37" s="29" t="s">
        <v>127</v>
      </c>
      <c r="AE37" s="27" t="s">
        <v>107</v>
      </c>
      <c r="AF37" s="27"/>
      <c r="AG37" s="27"/>
      <c r="AH37" s="27"/>
      <c r="AI37" s="27"/>
      <c r="AJ37" s="27"/>
      <c r="AK37" s="28"/>
      <c r="AL37" s="28"/>
    </row>
    <row r="38" spans="17:38" x14ac:dyDescent="0.3">
      <c r="Q38" s="26"/>
      <c r="R38" s="26"/>
      <c r="S38" s="27"/>
      <c r="T38" s="27"/>
      <c r="U38" s="27"/>
      <c r="V38" s="27"/>
      <c r="W38" s="27"/>
      <c r="X38" s="27"/>
      <c r="Y38" s="27"/>
      <c r="Z38" s="27"/>
      <c r="AA38" s="28"/>
      <c r="AB38" s="27"/>
      <c r="AC38" s="30"/>
      <c r="AD38" s="31"/>
      <c r="AE38" s="31"/>
      <c r="AF38" s="31"/>
      <c r="AG38" s="31"/>
      <c r="AH38" s="31"/>
      <c r="AI38" s="31"/>
      <c r="AJ38" s="31"/>
      <c r="AK38" s="32"/>
      <c r="AL38" s="28"/>
    </row>
    <row r="39" spans="17:38" x14ac:dyDescent="0.3">
      <c r="Q39" s="26"/>
      <c r="R39" s="26"/>
      <c r="S39" s="36" t="s">
        <v>106</v>
      </c>
      <c r="T39" s="27" t="s">
        <v>128</v>
      </c>
      <c r="U39" s="27"/>
      <c r="V39" s="27"/>
      <c r="W39" s="27"/>
      <c r="X39" s="27"/>
      <c r="Y39" s="27"/>
      <c r="Z39" s="27"/>
      <c r="AA39" s="28"/>
      <c r="AB39" s="27"/>
      <c r="AC39" s="40" t="s">
        <v>113</v>
      </c>
      <c r="AD39" s="27"/>
      <c r="AE39" s="27"/>
      <c r="AF39" s="27"/>
      <c r="AG39" s="27"/>
      <c r="AH39" s="27"/>
      <c r="AI39" s="27"/>
      <c r="AJ39" s="27"/>
      <c r="AK39" s="27"/>
      <c r="AL39" s="28"/>
    </row>
    <row r="40" spans="17:38" x14ac:dyDescent="0.3">
      <c r="Q40" s="26"/>
      <c r="R40" s="26"/>
      <c r="S40" s="27"/>
      <c r="T40" s="27"/>
      <c r="U40" s="27"/>
      <c r="V40" s="27"/>
      <c r="W40" s="27"/>
      <c r="X40" s="27"/>
      <c r="Y40" s="27"/>
      <c r="Z40" s="27"/>
      <c r="AA40" s="28"/>
      <c r="AB40" s="27"/>
      <c r="AC40" s="27"/>
      <c r="AD40" s="27"/>
      <c r="AE40" s="27"/>
      <c r="AF40" s="27"/>
      <c r="AG40" s="27"/>
      <c r="AH40" s="27"/>
      <c r="AI40" s="27"/>
      <c r="AJ40" s="43" t="s">
        <v>59</v>
      </c>
      <c r="AK40" s="43"/>
      <c r="AL40" s="44"/>
    </row>
    <row r="41" spans="17:38" x14ac:dyDescent="0.3">
      <c r="Q41" s="26"/>
      <c r="R41" s="30"/>
      <c r="S41" s="34" t="s">
        <v>127</v>
      </c>
      <c r="T41" s="31" t="s">
        <v>107</v>
      </c>
      <c r="U41" s="31"/>
      <c r="V41" s="31"/>
      <c r="W41" s="31"/>
      <c r="X41" s="31"/>
      <c r="Y41" s="31"/>
      <c r="Z41" s="31"/>
      <c r="AA41" s="32"/>
      <c r="AB41" s="27"/>
      <c r="AC41" s="27"/>
      <c r="AD41" s="27"/>
      <c r="AE41" s="27"/>
      <c r="AF41" s="27"/>
      <c r="AG41" s="27"/>
      <c r="AH41" s="27"/>
      <c r="AI41" s="27"/>
      <c r="AJ41" s="43"/>
      <c r="AK41" s="43"/>
      <c r="AL41" s="44"/>
    </row>
    <row r="42" spans="17:38" x14ac:dyDescent="0.3">
      <c r="Q42" s="30"/>
      <c r="R42" s="39" t="s">
        <v>113</v>
      </c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45"/>
      <c r="AK42" s="45"/>
      <c r="AL42" s="46"/>
    </row>
  </sheetData>
  <mergeCells count="3">
    <mergeCell ref="R33:R35"/>
    <mergeCell ref="AJ40:AL42"/>
    <mergeCell ref="AL21:AM2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F59B-05B0-4C90-91D7-5BC341D82313}">
  <dimension ref="A1:O66"/>
  <sheetViews>
    <sheetView showGridLines="0" zoomScale="85" zoomScaleNormal="85" workbookViewId="0"/>
  </sheetViews>
  <sheetFormatPr defaultRowHeight="14.4" x14ac:dyDescent="0.3"/>
  <cols>
    <col min="1" max="1" width="9.77734375" bestFit="1" customWidth="1"/>
    <col min="2" max="2" width="19.109375" customWidth="1"/>
    <col min="3" max="3" width="22.21875" customWidth="1"/>
    <col min="4" max="15" width="10.21875" bestFit="1" customWidth="1"/>
  </cols>
  <sheetData>
    <row r="1" spans="1:15" x14ac:dyDescent="0.3">
      <c r="A1" s="1" t="s">
        <v>26</v>
      </c>
      <c r="B1" s="1" t="s">
        <v>20</v>
      </c>
      <c r="C1" s="1" t="s">
        <v>29</v>
      </c>
      <c r="D1" s="9">
        <v>45658</v>
      </c>
      <c r="E1" s="9">
        <v>45689</v>
      </c>
      <c r="F1" s="9">
        <v>45717</v>
      </c>
      <c r="G1" s="9">
        <v>45748</v>
      </c>
      <c r="H1" s="9">
        <v>45778</v>
      </c>
      <c r="I1" s="9">
        <v>45809</v>
      </c>
      <c r="J1" s="9">
        <v>45839</v>
      </c>
      <c r="K1" s="9">
        <v>45870</v>
      </c>
      <c r="L1" s="9">
        <v>45901</v>
      </c>
      <c r="M1" s="9">
        <v>45931</v>
      </c>
      <c r="N1" s="9">
        <v>45962</v>
      </c>
      <c r="O1" s="9">
        <v>45992</v>
      </c>
    </row>
    <row r="2" spans="1:15" x14ac:dyDescent="0.3">
      <c r="A2" t="s">
        <v>75</v>
      </c>
      <c r="B2" t="s">
        <v>77</v>
      </c>
      <c r="C2" t="s">
        <v>30</v>
      </c>
      <c r="D2">
        <v>11254.994879999998</v>
      </c>
      <c r="E2">
        <v>10027.61472</v>
      </c>
      <c r="F2">
        <v>11519.377920000001</v>
      </c>
      <c r="G2">
        <v>12070.39488</v>
      </c>
      <c r="H2">
        <v>13194.269760000001</v>
      </c>
      <c r="I2">
        <v>13986.65568</v>
      </c>
      <c r="J2">
        <v>16898.334719999999</v>
      </c>
      <c r="K2">
        <v>15385.272000000001</v>
      </c>
      <c r="L2">
        <v>14687.126399999999</v>
      </c>
      <c r="M2">
        <v>14317.13472</v>
      </c>
      <c r="N2">
        <v>12502.713599999999</v>
      </c>
      <c r="O2">
        <v>12256.590719999998</v>
      </c>
    </row>
    <row r="3" spans="1:15" x14ac:dyDescent="0.3">
      <c r="A3" t="s">
        <v>75</v>
      </c>
      <c r="B3" t="s">
        <v>77</v>
      </c>
      <c r="C3" t="s">
        <v>27</v>
      </c>
      <c r="D3">
        <v>4910.3999999999996</v>
      </c>
      <c r="E3">
        <v>4435.2</v>
      </c>
      <c r="F3">
        <v>4910.3999999999996</v>
      </c>
      <c r="G3">
        <v>4752</v>
      </c>
      <c r="H3">
        <v>4910.3999999999996</v>
      </c>
      <c r="I3">
        <v>4752</v>
      </c>
      <c r="J3">
        <v>4910.3999999999996</v>
      </c>
      <c r="K3">
        <v>4910.3999999999996</v>
      </c>
      <c r="L3">
        <v>4752</v>
      </c>
      <c r="M3">
        <v>4910.3999999999996</v>
      </c>
      <c r="N3">
        <v>4752</v>
      </c>
      <c r="O3">
        <v>4910.3999999999996</v>
      </c>
    </row>
    <row r="4" spans="1:15" x14ac:dyDescent="0.3">
      <c r="A4" t="s">
        <v>75</v>
      </c>
      <c r="B4" t="s">
        <v>77</v>
      </c>
      <c r="C4" t="s">
        <v>70</v>
      </c>
      <c r="D4">
        <v>2324.3540000000012</v>
      </c>
      <c r="E4">
        <v>2169.6169999999997</v>
      </c>
      <c r="F4">
        <v>3405.2829999999999</v>
      </c>
      <c r="G4">
        <v>3622.0239999999994</v>
      </c>
      <c r="H4">
        <v>4654.1090000000004</v>
      </c>
      <c r="I4">
        <v>5266.2439999999988</v>
      </c>
      <c r="J4">
        <v>5625.02</v>
      </c>
      <c r="K4">
        <v>4060.86</v>
      </c>
      <c r="L4">
        <v>3877.3710000000001</v>
      </c>
      <c r="M4">
        <v>3615.4069999999997</v>
      </c>
      <c r="N4">
        <v>2738.8310000000006</v>
      </c>
      <c r="O4">
        <v>2440.8719999999998</v>
      </c>
    </row>
    <row r="5" spans="1:15" x14ac:dyDescent="0.3">
      <c r="A5" t="s">
        <v>75</v>
      </c>
      <c r="B5" t="s">
        <v>77</v>
      </c>
      <c r="C5" t="s">
        <v>74</v>
      </c>
      <c r="D5">
        <f>SUM(D3:D4)*0.04</f>
        <v>289.39016000000004</v>
      </c>
      <c r="E5">
        <f t="shared" ref="E5:O5" si="0">SUM(E3:E4)*0.04</f>
        <v>264.19268</v>
      </c>
      <c r="F5">
        <f t="shared" si="0"/>
        <v>332.62732</v>
      </c>
      <c r="G5">
        <f t="shared" si="0"/>
        <v>334.96096</v>
      </c>
      <c r="H5">
        <f t="shared" si="0"/>
        <v>382.58035999999998</v>
      </c>
      <c r="I5">
        <f t="shared" si="0"/>
        <v>400.72975999999994</v>
      </c>
      <c r="J5">
        <f t="shared" si="0"/>
        <v>421.41680000000002</v>
      </c>
      <c r="K5">
        <f t="shared" si="0"/>
        <v>358.85040000000004</v>
      </c>
      <c r="L5">
        <f t="shared" si="0"/>
        <v>345.17483999999996</v>
      </c>
      <c r="M5">
        <f t="shared" si="0"/>
        <v>341.03227999999996</v>
      </c>
      <c r="N5">
        <f t="shared" si="0"/>
        <v>299.63324</v>
      </c>
      <c r="O5">
        <f t="shared" si="0"/>
        <v>294.05087999999995</v>
      </c>
    </row>
    <row r="6" spans="1:15" x14ac:dyDescent="0.3">
      <c r="A6" t="s">
        <v>75</v>
      </c>
      <c r="B6" t="s">
        <v>77</v>
      </c>
      <c r="C6" t="s">
        <v>38</v>
      </c>
      <c r="D6">
        <v>6135.1617496932522</v>
      </c>
      <c r="E6">
        <v>5653.7425705521473</v>
      </c>
      <c r="F6">
        <v>7025.3032748466267</v>
      </c>
      <c r="G6">
        <v>7495.7969865030664</v>
      </c>
      <c r="H6">
        <v>9183.1761705521476</v>
      </c>
      <c r="I6">
        <v>10164.386542331287</v>
      </c>
      <c r="J6">
        <v>11934.018807361965</v>
      </c>
      <c r="K6">
        <v>10431.980466257668</v>
      </c>
      <c r="L6">
        <v>9868.9277705521472</v>
      </c>
      <c r="M6">
        <v>9333.8251447852763</v>
      </c>
      <c r="N6">
        <v>7655.5640895705528</v>
      </c>
      <c r="O6">
        <v>7164.4296687116603</v>
      </c>
    </row>
    <row r="7" spans="1:15" x14ac:dyDescent="0.3">
      <c r="A7" t="s">
        <v>75</v>
      </c>
      <c r="B7" t="s">
        <v>77</v>
      </c>
      <c r="C7" t="s">
        <v>40</v>
      </c>
      <c r="D7">
        <v>1029.7325153374234</v>
      </c>
      <c r="E7">
        <v>930.080981595092</v>
      </c>
      <c r="F7">
        <v>1029.7325153374234</v>
      </c>
      <c r="G7">
        <v>996.51533742331287</v>
      </c>
      <c r="H7">
        <v>1029.7325153374234</v>
      </c>
      <c r="I7">
        <v>996.51533742331287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t="s">
        <v>75</v>
      </c>
      <c r="B8" t="s">
        <v>77</v>
      </c>
      <c r="C8" t="s">
        <v>28</v>
      </c>
      <c r="D8">
        <v>0.36569148936170215</v>
      </c>
      <c r="E8">
        <v>0.36569148936170215</v>
      </c>
      <c r="F8">
        <v>0.36569148936170215</v>
      </c>
      <c r="G8">
        <v>0.36569148936170215</v>
      </c>
      <c r="H8">
        <v>0.36569148936170215</v>
      </c>
      <c r="I8">
        <v>0.36569148936170215</v>
      </c>
      <c r="J8">
        <v>0.36569148936170215</v>
      </c>
      <c r="K8">
        <v>0.36569148936170215</v>
      </c>
      <c r="L8">
        <v>0.36569148936170215</v>
      </c>
      <c r="M8">
        <v>0.36569148936170215</v>
      </c>
      <c r="N8">
        <v>0.36569148936170215</v>
      </c>
      <c r="O8">
        <v>0.36569148936170215</v>
      </c>
    </row>
    <row r="9" spans="1:15" x14ac:dyDescent="0.3">
      <c r="A9" t="s">
        <v>75</v>
      </c>
      <c r="B9" t="s">
        <v>78</v>
      </c>
      <c r="C9" t="s">
        <v>30</v>
      </c>
      <c r="D9">
        <v>10437.945600000001</v>
      </c>
      <c r="E9">
        <v>9364.2211200000002</v>
      </c>
      <c r="F9">
        <v>10281.803519999999</v>
      </c>
      <c r="G9">
        <v>10545.71328</v>
      </c>
      <c r="H9">
        <v>11261.28672</v>
      </c>
      <c r="I9">
        <v>11637.230399999999</v>
      </c>
      <c r="J9">
        <v>14042.395200000001</v>
      </c>
      <c r="K9">
        <v>13326.354240000001</v>
      </c>
      <c r="L9">
        <v>12743.957759999999</v>
      </c>
      <c r="M9">
        <v>12578.129280000001</v>
      </c>
      <c r="N9">
        <v>11293.756799999999</v>
      </c>
      <c r="O9">
        <v>11245.60608</v>
      </c>
    </row>
    <row r="10" spans="1:15" x14ac:dyDescent="0.3">
      <c r="A10" t="s">
        <v>75</v>
      </c>
      <c r="B10" t="s">
        <v>78</v>
      </c>
      <c r="C10" t="s">
        <v>27</v>
      </c>
      <c r="D10">
        <v>5952</v>
      </c>
      <c r="E10">
        <v>5376</v>
      </c>
      <c r="F10">
        <v>5952</v>
      </c>
      <c r="G10">
        <v>5760</v>
      </c>
      <c r="H10">
        <v>5952</v>
      </c>
      <c r="I10">
        <v>5760</v>
      </c>
      <c r="J10">
        <v>5952</v>
      </c>
      <c r="K10">
        <v>5952</v>
      </c>
      <c r="L10">
        <v>5760</v>
      </c>
      <c r="M10">
        <v>5952</v>
      </c>
      <c r="N10">
        <v>5760</v>
      </c>
      <c r="O10">
        <v>5952</v>
      </c>
    </row>
    <row r="11" spans="1:15" x14ac:dyDescent="0.3">
      <c r="A11" t="s">
        <v>75</v>
      </c>
      <c r="B11" t="s">
        <v>78</v>
      </c>
      <c r="C11" t="s">
        <v>70</v>
      </c>
      <c r="D11">
        <v>1117.5140000000001</v>
      </c>
      <c r="E11">
        <v>1124.5430000000001</v>
      </c>
      <c r="F11">
        <v>1637.3279999999995</v>
      </c>
      <c r="G11">
        <v>1667.3720000000001</v>
      </c>
      <c r="H11">
        <v>2237.5249999999996</v>
      </c>
      <c r="I11">
        <v>2506.2460000000001</v>
      </c>
      <c r="J11">
        <v>2688.1659999999993</v>
      </c>
      <c r="K11">
        <v>1952.4119999999998</v>
      </c>
      <c r="L11">
        <v>1864.2259999999997</v>
      </c>
      <c r="M11">
        <v>1738.27</v>
      </c>
      <c r="N11">
        <v>1316.7939999999999</v>
      </c>
      <c r="O11">
        <v>1173.6049999999998</v>
      </c>
    </row>
    <row r="12" spans="1:15" x14ac:dyDescent="0.3">
      <c r="A12" t="s">
        <v>75</v>
      </c>
      <c r="B12" t="s">
        <v>78</v>
      </c>
      <c r="C12" t="s">
        <v>74</v>
      </c>
      <c r="D12">
        <f>SUM(D10:D11)*0.04</f>
        <v>282.78056000000004</v>
      </c>
      <c r="E12">
        <f t="shared" ref="E12" si="1">SUM(E10:E11)*0.04</f>
        <v>260.02172000000002</v>
      </c>
      <c r="F12">
        <f t="shared" ref="F12" si="2">SUM(F10:F11)*0.04</f>
        <v>303.57311999999996</v>
      </c>
      <c r="G12">
        <f t="shared" ref="G12" si="3">SUM(G10:G11)*0.04</f>
        <v>297.09488000000005</v>
      </c>
      <c r="H12">
        <f t="shared" ref="H12" si="4">SUM(H10:H11)*0.04</f>
        <v>327.58100000000002</v>
      </c>
      <c r="I12">
        <f t="shared" ref="I12" si="5">SUM(I10:I11)*0.04</f>
        <v>330.64983999999998</v>
      </c>
      <c r="J12">
        <f t="shared" ref="J12" si="6">SUM(J10:J11)*0.04</f>
        <v>345.60663999999997</v>
      </c>
      <c r="K12">
        <f t="shared" ref="K12" si="7">SUM(K10:K11)*0.04</f>
        <v>316.17648000000003</v>
      </c>
      <c r="L12">
        <f t="shared" ref="L12" si="8">SUM(L10:L11)*0.04</f>
        <v>304.96904000000001</v>
      </c>
      <c r="M12">
        <f t="shared" ref="M12" si="9">SUM(M10:M11)*0.04</f>
        <v>307.61080000000004</v>
      </c>
      <c r="N12">
        <f t="shared" ref="N12" si="10">SUM(N10:N11)*0.04</f>
        <v>283.07175999999998</v>
      </c>
      <c r="O12">
        <f t="shared" ref="O12" si="11">SUM(O10:O11)*0.04</f>
        <v>285.02420000000001</v>
      </c>
    </row>
    <row r="13" spans="1:15" x14ac:dyDescent="0.3">
      <c r="A13" t="s">
        <v>75</v>
      </c>
      <c r="B13" t="s">
        <v>78</v>
      </c>
      <c r="C13" t="s">
        <v>38</v>
      </c>
      <c r="D13">
        <v>4462.1059079754605</v>
      </c>
      <c r="E13">
        <v>4182.4191656441726</v>
      </c>
      <c r="F13">
        <v>4814.47345398773</v>
      </c>
      <c r="G13">
        <v>5067.2259509202459</v>
      </c>
      <c r="H13">
        <v>6212.5041656441717</v>
      </c>
      <c r="I13">
        <v>6805.1476993865035</v>
      </c>
      <c r="J13">
        <v>8225.3192085889568</v>
      </c>
      <c r="K13">
        <v>7544.0868773006132</v>
      </c>
      <c r="L13">
        <v>7122.7731656441711</v>
      </c>
      <c r="M13">
        <v>6757.0944355828233</v>
      </c>
      <c r="N13">
        <v>5632.0118711656432</v>
      </c>
      <c r="O13">
        <v>5319.280613496936</v>
      </c>
    </row>
    <row r="14" spans="1:15" x14ac:dyDescent="0.3">
      <c r="A14" t="s">
        <v>75</v>
      </c>
      <c r="B14" t="s">
        <v>78</v>
      </c>
      <c r="C14" t="s">
        <v>40</v>
      </c>
      <c r="D14">
        <v>903.75460122699383</v>
      </c>
      <c r="E14">
        <v>816.29447852760734</v>
      </c>
      <c r="F14">
        <v>903.75460122699383</v>
      </c>
      <c r="G14">
        <v>874.601226993865</v>
      </c>
      <c r="H14">
        <v>903.75460122699383</v>
      </c>
      <c r="I14">
        <v>874.601226993865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t="s">
        <v>75</v>
      </c>
      <c r="B15" t="s">
        <v>78</v>
      </c>
      <c r="C15" t="s">
        <v>28</v>
      </c>
      <c r="D15">
        <v>0.50505050505050508</v>
      </c>
      <c r="E15">
        <v>0.50505050505050508</v>
      </c>
      <c r="F15">
        <v>0.50505050505050508</v>
      </c>
      <c r="G15">
        <v>0.50505050505050508</v>
      </c>
      <c r="H15">
        <v>0.50505050505050508</v>
      </c>
      <c r="I15">
        <v>0.50505050505050508</v>
      </c>
      <c r="J15">
        <v>0.50505050505050508</v>
      </c>
      <c r="K15">
        <v>0.50505050505050508</v>
      </c>
      <c r="L15">
        <v>0.50505050505050508</v>
      </c>
      <c r="M15">
        <v>0.50505050505050508</v>
      </c>
      <c r="N15">
        <v>0.50505050505050508</v>
      </c>
      <c r="O15">
        <v>0.50505050505050508</v>
      </c>
    </row>
    <row r="16" spans="1:15" x14ac:dyDescent="0.3">
      <c r="A16" t="s">
        <v>75</v>
      </c>
      <c r="B16" t="s">
        <v>79</v>
      </c>
      <c r="C16" t="s">
        <v>30</v>
      </c>
      <c r="D16">
        <v>14415.93312</v>
      </c>
      <c r="E16">
        <v>12844.043519999999</v>
      </c>
      <c r="F16">
        <v>14121.781440000001</v>
      </c>
      <c r="G16">
        <v>14525.71104</v>
      </c>
      <c r="H16">
        <v>15766.460160000001</v>
      </c>
      <c r="I16">
        <v>16517.354879999999</v>
      </c>
      <c r="J16">
        <v>20289.717119999998</v>
      </c>
      <c r="K16">
        <v>18884.399999999998</v>
      </c>
      <c r="L16">
        <v>18034.401599999997</v>
      </c>
      <c r="M16">
        <v>17683.183679999998</v>
      </c>
      <c r="N16">
        <v>15676.384319999999</v>
      </c>
      <c r="O16">
        <v>15502.38912</v>
      </c>
    </row>
    <row r="17" spans="1:15" x14ac:dyDescent="0.3">
      <c r="A17" t="s">
        <v>75</v>
      </c>
      <c r="B17" t="s">
        <v>79</v>
      </c>
      <c r="C17" t="s">
        <v>27</v>
      </c>
      <c r="D17">
        <v>6993.6</v>
      </c>
      <c r="E17">
        <v>6316.8</v>
      </c>
      <c r="F17">
        <v>6993.6</v>
      </c>
      <c r="G17">
        <v>6768</v>
      </c>
      <c r="H17">
        <v>6993.6</v>
      </c>
      <c r="I17">
        <v>6768</v>
      </c>
      <c r="J17">
        <v>6993.6</v>
      </c>
      <c r="K17">
        <v>6993.6</v>
      </c>
      <c r="L17">
        <v>6768</v>
      </c>
      <c r="M17">
        <v>6993.6</v>
      </c>
      <c r="N17">
        <v>6768</v>
      </c>
      <c r="O17">
        <v>6993.6</v>
      </c>
    </row>
    <row r="18" spans="1:15" x14ac:dyDescent="0.3">
      <c r="A18" t="s">
        <v>75</v>
      </c>
      <c r="B18" t="s">
        <v>79</v>
      </c>
      <c r="C18" t="s">
        <v>70</v>
      </c>
      <c r="D18">
        <v>2162.1</v>
      </c>
      <c r="E18">
        <v>2048.2740000000003</v>
      </c>
      <c r="F18">
        <v>2907.3589999999999</v>
      </c>
      <c r="G18">
        <v>2880.5239999999999</v>
      </c>
      <c r="H18">
        <v>3973.1979999999999</v>
      </c>
      <c r="I18">
        <v>4495.7480000000005</v>
      </c>
      <c r="J18">
        <v>4915.1469999999999</v>
      </c>
      <c r="K18">
        <v>3466.8719999999998</v>
      </c>
      <c r="L18">
        <v>3310.1460000000006</v>
      </c>
      <c r="M18">
        <v>3086.6579999999994</v>
      </c>
      <c r="N18">
        <v>2338.1540000000005</v>
      </c>
      <c r="O18">
        <v>2083.8199999999993</v>
      </c>
    </row>
    <row r="19" spans="1:15" x14ac:dyDescent="0.3">
      <c r="A19" t="s">
        <v>75</v>
      </c>
      <c r="B19" t="s">
        <v>79</v>
      </c>
      <c r="C19" t="s">
        <v>74</v>
      </c>
      <c r="D19">
        <f>SUM(D17:D18)*0.04</f>
        <v>366.22800000000001</v>
      </c>
      <c r="E19">
        <f t="shared" ref="E19" si="12">SUM(E17:E18)*0.04</f>
        <v>334.60296000000005</v>
      </c>
      <c r="F19">
        <f t="shared" ref="F19" si="13">SUM(F17:F18)*0.04</f>
        <v>396.03836000000001</v>
      </c>
      <c r="G19">
        <f t="shared" ref="G19" si="14">SUM(G17:G18)*0.04</f>
        <v>385.94095999999996</v>
      </c>
      <c r="H19">
        <f t="shared" ref="H19" si="15">SUM(H17:H18)*0.04</f>
        <v>438.67192000000006</v>
      </c>
      <c r="I19">
        <f t="shared" ref="I19" si="16">SUM(I17:I18)*0.04</f>
        <v>450.54991999999999</v>
      </c>
      <c r="J19">
        <f t="shared" ref="J19" si="17">SUM(J17:J18)*0.04</f>
        <v>476.34987999999998</v>
      </c>
      <c r="K19">
        <f t="shared" ref="K19" si="18">SUM(K17:K18)*0.04</f>
        <v>418.41888</v>
      </c>
      <c r="L19">
        <f t="shared" ref="L19" si="19">SUM(L17:L18)*0.04</f>
        <v>403.12584000000004</v>
      </c>
      <c r="M19">
        <f t="shared" ref="M19" si="20">SUM(M17:M18)*0.04</f>
        <v>403.21032000000002</v>
      </c>
      <c r="N19">
        <f t="shared" ref="N19" si="21">SUM(N17:N18)*0.04</f>
        <v>364.24616000000003</v>
      </c>
      <c r="O19">
        <f t="shared" ref="O19" si="22">SUM(O17:O18)*0.04</f>
        <v>363.09680000000003</v>
      </c>
    </row>
    <row r="20" spans="1:15" x14ac:dyDescent="0.3">
      <c r="A20" t="s">
        <v>75</v>
      </c>
      <c r="B20" t="s">
        <v>79</v>
      </c>
      <c r="C20" t="s">
        <v>38</v>
      </c>
      <c r="D20">
        <v>6844.5286711656445</v>
      </c>
      <c r="E20">
        <v>6329.3006319018414</v>
      </c>
      <c r="F20">
        <v>7355.3626355828219</v>
      </c>
      <c r="G20">
        <v>7640.3195312883436</v>
      </c>
      <c r="H20">
        <v>9538.1688319018413</v>
      </c>
      <c r="I20">
        <v>10514.210379141105</v>
      </c>
      <c r="J20">
        <v>12667.161492024541</v>
      </c>
      <c r="K20">
        <v>11295.21682822086</v>
      </c>
      <c r="L20">
        <v>10672.112031901841</v>
      </c>
      <c r="M20">
        <v>10113.012209815952</v>
      </c>
      <c r="N20">
        <v>8379.4590196319041</v>
      </c>
      <c r="O20">
        <v>7887.7658588957111</v>
      </c>
    </row>
    <row r="21" spans="1:15" x14ac:dyDescent="0.3">
      <c r="A21" t="s">
        <v>75</v>
      </c>
      <c r="B21" t="s">
        <v>79</v>
      </c>
      <c r="C21" t="s">
        <v>40</v>
      </c>
      <c r="D21">
        <v>1265.2564417177916</v>
      </c>
      <c r="E21">
        <v>1142.8122699386504</v>
      </c>
      <c r="F21">
        <v>1265.2564417177916</v>
      </c>
      <c r="G21">
        <v>1224.4417177914111</v>
      </c>
      <c r="H21">
        <v>1265.2564417177916</v>
      </c>
      <c r="I21">
        <v>1224.4417177914111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t="s">
        <v>75</v>
      </c>
      <c r="B22" t="s">
        <v>79</v>
      </c>
      <c r="C22" t="s">
        <v>28</v>
      </c>
      <c r="D22">
        <v>0.42388167388167386</v>
      </c>
      <c r="E22">
        <v>0.42388167388167386</v>
      </c>
      <c r="F22">
        <v>0.42388167388167386</v>
      </c>
      <c r="G22">
        <v>0.42388167388167386</v>
      </c>
      <c r="H22">
        <v>0.42388167388167386</v>
      </c>
      <c r="I22">
        <v>0.42388167388167386</v>
      </c>
      <c r="J22">
        <v>0.42388167388167386</v>
      </c>
      <c r="K22">
        <v>0.42388167388167386</v>
      </c>
      <c r="L22">
        <v>0.42388167388167386</v>
      </c>
      <c r="M22">
        <v>0.42388167388167386</v>
      </c>
      <c r="N22">
        <v>0.42388167388167386</v>
      </c>
      <c r="O22">
        <v>0.42388167388167386</v>
      </c>
    </row>
    <row r="23" spans="1:15" x14ac:dyDescent="0.3">
      <c r="A23" t="s">
        <v>75</v>
      </c>
      <c r="B23" t="s">
        <v>80</v>
      </c>
      <c r="C23" t="s">
        <v>30</v>
      </c>
      <c r="D23">
        <v>14254.848959999999</v>
      </c>
      <c r="E23">
        <v>12807.52224</v>
      </c>
      <c r="F23">
        <v>14135.53248</v>
      </c>
      <c r="G23">
        <v>14595.579839999999</v>
      </c>
      <c r="H23">
        <v>15785.327039999998</v>
      </c>
      <c r="I23">
        <v>16538.9424</v>
      </c>
      <c r="J23">
        <v>20249.69472</v>
      </c>
      <c r="K23">
        <v>18900.973439999998</v>
      </c>
      <c r="L23">
        <v>18050.17152</v>
      </c>
      <c r="M23">
        <v>17697.741119999999</v>
      </c>
      <c r="N23">
        <v>15687.59808</v>
      </c>
      <c r="O23">
        <v>15557.828159999999</v>
      </c>
    </row>
    <row r="24" spans="1:15" x14ac:dyDescent="0.3">
      <c r="A24" t="s">
        <v>75</v>
      </c>
      <c r="B24" t="s">
        <v>80</v>
      </c>
      <c r="C24" t="s">
        <v>27</v>
      </c>
      <c r="D24">
        <v>6993.6</v>
      </c>
      <c r="E24">
        <v>6316.8</v>
      </c>
      <c r="F24">
        <v>6993.6</v>
      </c>
      <c r="G24">
        <v>6768</v>
      </c>
      <c r="H24">
        <v>6993.6</v>
      </c>
      <c r="I24">
        <v>6768</v>
      </c>
      <c r="J24">
        <v>6993.6</v>
      </c>
      <c r="K24">
        <v>6993.6</v>
      </c>
      <c r="L24">
        <v>6768</v>
      </c>
      <c r="M24">
        <v>6993.6</v>
      </c>
      <c r="N24">
        <v>6768</v>
      </c>
      <c r="O24">
        <v>6993.6</v>
      </c>
    </row>
    <row r="25" spans="1:15" x14ac:dyDescent="0.3">
      <c r="A25" t="s">
        <v>75</v>
      </c>
      <c r="B25" t="s">
        <v>80</v>
      </c>
      <c r="C25" t="s">
        <v>70</v>
      </c>
      <c r="D25">
        <v>1994.3040000000003</v>
      </c>
      <c r="E25">
        <v>2010.232</v>
      </c>
      <c r="F25">
        <v>2921.681</v>
      </c>
      <c r="G25">
        <v>2953.3040000000005</v>
      </c>
      <c r="H25">
        <v>3992.8509999999992</v>
      </c>
      <c r="I25">
        <v>4518.2380000000003</v>
      </c>
      <c r="J25">
        <v>4873.4590000000007</v>
      </c>
      <c r="K25">
        <v>3484.1359999999995</v>
      </c>
      <c r="L25">
        <v>3326.5719999999997</v>
      </c>
      <c r="M25">
        <v>3101.8220000000001</v>
      </c>
      <c r="N25">
        <v>2349.8350000000005</v>
      </c>
      <c r="O25">
        <v>2141.5659999999998</v>
      </c>
    </row>
    <row r="26" spans="1:15" x14ac:dyDescent="0.3">
      <c r="A26" t="s">
        <v>75</v>
      </c>
      <c r="B26" t="s">
        <v>80</v>
      </c>
      <c r="C26" t="s">
        <v>74</v>
      </c>
      <c r="D26">
        <f>SUM(D24:D25)*0.04</f>
        <v>359.51616000000001</v>
      </c>
      <c r="E26">
        <f t="shared" ref="E26" si="23">SUM(E24:E25)*0.04</f>
        <v>333.08127999999999</v>
      </c>
      <c r="F26">
        <f t="shared" ref="F26" si="24">SUM(F24:F25)*0.04</f>
        <v>396.61124000000007</v>
      </c>
      <c r="G26">
        <f t="shared" ref="G26" si="25">SUM(G24:G25)*0.04</f>
        <v>388.85216000000003</v>
      </c>
      <c r="H26">
        <f t="shared" ref="H26" si="26">SUM(H24:H25)*0.04</f>
        <v>439.45803999999998</v>
      </c>
      <c r="I26">
        <f t="shared" ref="I26" si="27">SUM(I24:I25)*0.04</f>
        <v>451.44952000000006</v>
      </c>
      <c r="J26">
        <f t="shared" ref="J26" si="28">SUM(J24:J25)*0.04</f>
        <v>474.68236000000007</v>
      </c>
      <c r="K26">
        <f t="shared" ref="K26" si="29">SUM(K24:K25)*0.04</f>
        <v>419.10944000000006</v>
      </c>
      <c r="L26">
        <f t="shared" ref="L26" si="30">SUM(L24:L25)*0.04</f>
        <v>403.78288000000003</v>
      </c>
      <c r="M26">
        <f t="shared" ref="M26" si="31">SUM(M24:M25)*0.04</f>
        <v>403.81688000000003</v>
      </c>
      <c r="N26">
        <f t="shared" ref="N26" si="32">SUM(N24:N25)*0.04</f>
        <v>364.71340000000004</v>
      </c>
      <c r="O26">
        <f t="shared" ref="O26" si="33">SUM(O24:O25)*0.04</f>
        <v>365.40664000000004</v>
      </c>
    </row>
    <row r="27" spans="1:15" x14ac:dyDescent="0.3">
      <c r="A27" t="s">
        <v>75</v>
      </c>
      <c r="B27" t="s">
        <v>80</v>
      </c>
      <c r="C27" t="s">
        <v>38</v>
      </c>
      <c r="D27">
        <v>6676.7326711656451</v>
      </c>
      <c r="E27">
        <v>6291.258631901841</v>
      </c>
      <c r="F27">
        <v>7369.684635582822</v>
      </c>
      <c r="G27">
        <v>7713.0995312883442</v>
      </c>
      <c r="H27">
        <v>9557.8218319018397</v>
      </c>
      <c r="I27">
        <v>10536.700379141104</v>
      </c>
      <c r="J27">
        <v>12625.473492024543</v>
      </c>
      <c r="K27">
        <v>11312.48082822086</v>
      </c>
      <c r="L27">
        <v>10688.53803190184</v>
      </c>
      <c r="M27">
        <v>10128.176209815952</v>
      </c>
      <c r="N27">
        <v>8391.1400196319028</v>
      </c>
      <c r="O27">
        <v>7945.5118588957112</v>
      </c>
    </row>
    <row r="28" spans="1:15" x14ac:dyDescent="0.3">
      <c r="A28" t="s">
        <v>75</v>
      </c>
      <c r="B28" t="s">
        <v>80</v>
      </c>
      <c r="C28" t="s">
        <v>40</v>
      </c>
      <c r="D28">
        <v>1265.2564417177916</v>
      </c>
      <c r="E28">
        <v>1142.8122699386504</v>
      </c>
      <c r="F28">
        <v>1265.2564417177916</v>
      </c>
      <c r="G28">
        <v>1224.4417177914111</v>
      </c>
      <c r="H28">
        <v>1265.2564417177916</v>
      </c>
      <c r="I28">
        <v>1224.4417177914111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t="s">
        <v>75</v>
      </c>
      <c r="B29" t="s">
        <v>80</v>
      </c>
      <c r="C29" t="s">
        <v>28</v>
      </c>
      <c r="D29">
        <v>0.42388167388167386</v>
      </c>
      <c r="E29">
        <v>0.42388167388167386</v>
      </c>
      <c r="F29">
        <v>0.42388167388167386</v>
      </c>
      <c r="G29">
        <v>0.42388167388167386</v>
      </c>
      <c r="H29">
        <v>0.42388167388167386</v>
      </c>
      <c r="I29">
        <v>0.42388167388167386</v>
      </c>
      <c r="J29">
        <v>0.42388167388167386</v>
      </c>
      <c r="K29">
        <v>0.42388167388167386</v>
      </c>
      <c r="L29">
        <v>0.42388167388167386</v>
      </c>
      <c r="M29">
        <v>0.42388167388167386</v>
      </c>
      <c r="N29">
        <v>0.42388167388167386</v>
      </c>
      <c r="O29">
        <v>0.42388167388167386</v>
      </c>
    </row>
    <row r="30" spans="1:15" x14ac:dyDescent="0.3">
      <c r="A30" t="s">
        <v>76</v>
      </c>
      <c r="B30" t="s">
        <v>81</v>
      </c>
      <c r="C30" t="s">
        <v>30</v>
      </c>
      <c r="D30">
        <v>9808.89696</v>
      </c>
      <c r="E30">
        <v>9436.3247999999985</v>
      </c>
      <c r="F30">
        <v>10112.33088</v>
      </c>
      <c r="G30">
        <v>11687.244479999999</v>
      </c>
      <c r="H30">
        <v>13592.845439999999</v>
      </c>
      <c r="I30">
        <v>14384.85792</v>
      </c>
      <c r="J30">
        <v>16786.895039999999</v>
      </c>
      <c r="K30">
        <v>19108.134719999998</v>
      </c>
      <c r="L30">
        <v>15312.4128</v>
      </c>
      <c r="M30">
        <v>15138.733439999998</v>
      </c>
      <c r="N30">
        <v>11424.73632</v>
      </c>
      <c r="O30">
        <v>12148.027199999999</v>
      </c>
    </row>
    <row r="31" spans="1:15" x14ac:dyDescent="0.3">
      <c r="A31" t="s">
        <v>76</v>
      </c>
      <c r="B31" t="s">
        <v>81</v>
      </c>
      <c r="C31" t="s">
        <v>70</v>
      </c>
      <c r="D31">
        <v>5751.4750000000004</v>
      </c>
      <c r="E31">
        <v>6267.6040000000012</v>
      </c>
      <c r="F31">
        <v>6517.8159999999989</v>
      </c>
      <c r="G31">
        <v>7354.1720000000023</v>
      </c>
      <c r="H31">
        <v>8820.0570000000007</v>
      </c>
      <c r="I31">
        <v>9707.8260000000009</v>
      </c>
      <c r="J31">
        <v>7802.8450000000003</v>
      </c>
      <c r="K31">
        <v>8999.3140000000021</v>
      </c>
      <c r="L31">
        <v>6883.5529999999999</v>
      </c>
      <c r="M31">
        <v>6719.6239999999998</v>
      </c>
      <c r="N31">
        <v>5209.5420000000004</v>
      </c>
      <c r="O31">
        <v>4938.1790000000001</v>
      </c>
    </row>
    <row r="32" spans="1:15" x14ac:dyDescent="0.3">
      <c r="A32" t="s">
        <v>76</v>
      </c>
      <c r="B32" t="s">
        <v>81</v>
      </c>
      <c r="C32" t="s">
        <v>74</v>
      </c>
      <c r="D32">
        <f>SUM(D31)*0.04</f>
        <v>230.05900000000003</v>
      </c>
      <c r="E32">
        <f t="shared" ref="E32:O32" si="34">SUM(E31)*0.04</f>
        <v>250.70416000000006</v>
      </c>
      <c r="F32">
        <f t="shared" si="34"/>
        <v>260.71263999999996</v>
      </c>
      <c r="G32">
        <f t="shared" si="34"/>
        <v>294.16688000000011</v>
      </c>
      <c r="H32">
        <f t="shared" si="34"/>
        <v>352.80228000000005</v>
      </c>
      <c r="I32">
        <f t="shared" si="34"/>
        <v>388.31304000000006</v>
      </c>
      <c r="J32">
        <f t="shared" si="34"/>
        <v>312.11380000000003</v>
      </c>
      <c r="K32">
        <f t="shared" si="34"/>
        <v>359.9725600000001</v>
      </c>
      <c r="L32">
        <f t="shared" si="34"/>
        <v>275.34212000000002</v>
      </c>
      <c r="M32">
        <f t="shared" si="34"/>
        <v>268.78496000000001</v>
      </c>
      <c r="N32">
        <f t="shared" si="34"/>
        <v>208.38168000000002</v>
      </c>
      <c r="O32">
        <f t="shared" si="34"/>
        <v>197.52716000000001</v>
      </c>
    </row>
    <row r="33" spans="1:15" x14ac:dyDescent="0.3">
      <c r="A33" t="s">
        <v>76</v>
      </c>
      <c r="B33" t="s">
        <v>81</v>
      </c>
      <c r="C33" t="s">
        <v>38</v>
      </c>
      <c r="D33">
        <v>9180.7613255813958</v>
      </c>
      <c r="E33">
        <v>9430.9893023255827</v>
      </c>
      <c r="F33">
        <v>10587.506848837209</v>
      </c>
      <c r="G33">
        <v>11745.67051162791</v>
      </c>
      <c r="H33">
        <v>14612.863412790699</v>
      </c>
      <c r="I33">
        <v>15412.483508720932</v>
      </c>
      <c r="J33">
        <v>15594.209569767441</v>
      </c>
      <c r="K33">
        <v>17890.932363372096</v>
      </c>
      <c r="L33">
        <v>14180.08956395349</v>
      </c>
      <c r="M33">
        <v>14018.401642441861</v>
      </c>
      <c r="N33">
        <v>10473.411767441863</v>
      </c>
      <c r="O33">
        <v>10921.989325581397</v>
      </c>
    </row>
    <row r="34" spans="1:15" x14ac:dyDescent="0.3">
      <c r="A34" t="s">
        <v>76</v>
      </c>
      <c r="B34" t="s">
        <v>81</v>
      </c>
      <c r="C34" t="s">
        <v>40</v>
      </c>
      <c r="D34">
        <v>1907.5813953488373</v>
      </c>
      <c r="E34">
        <v>1722.9767441860467</v>
      </c>
      <c r="F34">
        <v>1907.5813953488373</v>
      </c>
      <c r="G34">
        <v>1846.0465116279072</v>
      </c>
      <c r="H34">
        <v>1907.5813953488373</v>
      </c>
      <c r="I34">
        <v>1846.0465116279072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t="s">
        <v>76</v>
      </c>
      <c r="B35" t="s">
        <v>82</v>
      </c>
      <c r="C35" t="s">
        <v>30</v>
      </c>
      <c r="D35">
        <v>12527.33088</v>
      </c>
      <c r="E35">
        <v>12101.8896</v>
      </c>
      <c r="F35">
        <v>13012.139519999999</v>
      </c>
      <c r="G35">
        <v>14942.44608</v>
      </c>
      <c r="H35">
        <v>17255.563199999997</v>
      </c>
      <c r="I35">
        <v>18179.898239999999</v>
      </c>
      <c r="J35">
        <v>19954.358400000001</v>
      </c>
      <c r="K35">
        <v>22752.847679999999</v>
      </c>
      <c r="L35">
        <v>18536.660159999999</v>
      </c>
      <c r="M35">
        <v>18431.799360000001</v>
      </c>
      <c r="N35">
        <v>13823.498879999999</v>
      </c>
      <c r="O35">
        <v>14425.248</v>
      </c>
    </row>
    <row r="36" spans="1:15" x14ac:dyDescent="0.3">
      <c r="A36" t="s">
        <v>76</v>
      </c>
      <c r="B36" t="s">
        <v>82</v>
      </c>
      <c r="C36" t="s">
        <v>70</v>
      </c>
      <c r="D36">
        <v>8097.726999999999</v>
      </c>
      <c r="E36">
        <v>8657.0720000000001</v>
      </c>
      <c r="F36">
        <v>9101.9389999999985</v>
      </c>
      <c r="G36">
        <v>10221.088000000002</v>
      </c>
      <c r="H36">
        <v>12055.047999999997</v>
      </c>
      <c r="I36">
        <v>13087.470999999998</v>
      </c>
      <c r="J36">
        <v>10049.731</v>
      </c>
      <c r="K36">
        <v>11610.565999999999</v>
      </c>
      <c r="L36">
        <v>9256.616</v>
      </c>
      <c r="M36">
        <v>9166.2180000000008</v>
      </c>
      <c r="N36">
        <v>6980.9479999999994</v>
      </c>
      <c r="O36">
        <v>6471.5839999999989</v>
      </c>
    </row>
    <row r="37" spans="1:15" x14ac:dyDescent="0.3">
      <c r="A37" t="s">
        <v>76</v>
      </c>
      <c r="B37" t="s">
        <v>82</v>
      </c>
      <c r="C37" t="s">
        <v>74</v>
      </c>
      <c r="D37">
        <f>SUM(D36)*0.04</f>
        <v>323.90907999999996</v>
      </c>
      <c r="E37">
        <f t="shared" ref="E37" si="35">SUM(E36)*0.04</f>
        <v>346.28288000000003</v>
      </c>
      <c r="F37">
        <f t="shared" ref="F37" si="36">SUM(F36)*0.04</f>
        <v>364.07755999999995</v>
      </c>
      <c r="G37">
        <f t="shared" ref="G37" si="37">SUM(G36)*0.04</f>
        <v>408.84352000000007</v>
      </c>
      <c r="H37">
        <f t="shared" ref="H37" si="38">SUM(H36)*0.04</f>
        <v>482.20191999999992</v>
      </c>
      <c r="I37">
        <f t="shared" ref="I37" si="39">SUM(I36)*0.04</f>
        <v>523.49883999999997</v>
      </c>
      <c r="J37">
        <f t="shared" ref="J37" si="40">SUM(J36)*0.04</f>
        <v>401.98924</v>
      </c>
      <c r="K37">
        <f t="shared" ref="K37" si="41">SUM(K36)*0.04</f>
        <v>464.42263999999994</v>
      </c>
      <c r="L37">
        <f t="shared" ref="L37" si="42">SUM(L36)*0.04</f>
        <v>370.26463999999999</v>
      </c>
      <c r="M37">
        <f t="shared" ref="M37" si="43">SUM(M36)*0.04</f>
        <v>366.64872000000003</v>
      </c>
      <c r="N37">
        <f t="shared" ref="N37" si="44">SUM(N36)*0.04</f>
        <v>279.23791999999997</v>
      </c>
      <c r="O37">
        <f t="shared" ref="O37" si="45">SUM(O36)*0.04</f>
        <v>258.86335999999994</v>
      </c>
    </row>
    <row r="38" spans="1:15" x14ac:dyDescent="0.3">
      <c r="A38" t="s">
        <v>76</v>
      </c>
      <c r="B38" t="s">
        <v>82</v>
      </c>
      <c r="C38" t="s">
        <v>38</v>
      </c>
      <c r="D38">
        <v>12325.365697674417</v>
      </c>
      <c r="E38">
        <v>12556.906790697674</v>
      </c>
      <c r="F38">
        <v>14119.071104651162</v>
      </c>
      <c r="G38">
        <v>15634.945953488375</v>
      </c>
      <c r="H38">
        <v>19196.444265503873</v>
      </c>
      <c r="I38">
        <v>20120.196923449614</v>
      </c>
      <c r="J38">
        <v>19654.958220930235</v>
      </c>
      <c r="K38">
        <v>22572.190754844964</v>
      </c>
      <c r="L38">
        <v>18251.817160852715</v>
      </c>
      <c r="M38">
        <v>18164.181971899226</v>
      </c>
      <c r="N38">
        <v>13470.26893023256</v>
      </c>
      <c r="O38">
        <v>13848.45069767442</v>
      </c>
    </row>
    <row r="39" spans="1:15" x14ac:dyDescent="0.3">
      <c r="A39" t="s">
        <v>76</v>
      </c>
      <c r="B39" t="s">
        <v>82</v>
      </c>
      <c r="C39" t="s">
        <v>40</v>
      </c>
      <c r="D39">
        <v>2351.6744186046517</v>
      </c>
      <c r="E39">
        <v>2124.0930232558144</v>
      </c>
      <c r="F39">
        <v>2351.6744186046517</v>
      </c>
      <c r="G39">
        <v>2275.8139534883726</v>
      </c>
      <c r="H39">
        <v>2351.6744186046517</v>
      </c>
      <c r="I39">
        <v>2275.8139534883726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t="s">
        <v>76</v>
      </c>
      <c r="B40" t="s">
        <v>83</v>
      </c>
      <c r="C40" t="s">
        <v>30</v>
      </c>
      <c r="D40">
        <v>10731.436799999999</v>
      </c>
      <c r="E40">
        <v>10287.794879999999</v>
      </c>
      <c r="F40">
        <v>11147.1024</v>
      </c>
      <c r="G40">
        <v>12877.09152</v>
      </c>
      <c r="H40">
        <v>14721.80832</v>
      </c>
      <c r="I40">
        <v>15621.54912</v>
      </c>
      <c r="J40">
        <v>17541.150719999998</v>
      </c>
      <c r="K40">
        <v>20292.091199999999</v>
      </c>
      <c r="L40">
        <v>16341.206399999999</v>
      </c>
      <c r="M40">
        <v>16196.20032</v>
      </c>
      <c r="N40">
        <v>12153.08064</v>
      </c>
      <c r="O40">
        <v>12804.367679999999</v>
      </c>
    </row>
    <row r="41" spans="1:15" x14ac:dyDescent="0.3">
      <c r="A41" t="s">
        <v>76</v>
      </c>
      <c r="B41" t="s">
        <v>83</v>
      </c>
      <c r="C41" t="s">
        <v>70</v>
      </c>
      <c r="D41">
        <v>6663.9069999999992</v>
      </c>
      <c r="E41">
        <v>7115.8350000000009</v>
      </c>
      <c r="F41">
        <v>7552.0479999999989</v>
      </c>
      <c r="G41">
        <v>8541.2010000000009</v>
      </c>
      <c r="H41">
        <v>9938.0240000000013</v>
      </c>
      <c r="I41">
        <v>10938.694000000005</v>
      </c>
      <c r="J41">
        <v>8483.2739999999994</v>
      </c>
      <c r="K41">
        <v>10114.065999999999</v>
      </c>
      <c r="L41">
        <v>7856.6600000000017</v>
      </c>
      <c r="M41">
        <v>7722.7829999999985</v>
      </c>
      <c r="N41">
        <v>5895.5039999999999</v>
      </c>
      <c r="O41">
        <v>5537.9940000000006</v>
      </c>
    </row>
    <row r="42" spans="1:15" x14ac:dyDescent="0.3">
      <c r="A42" t="s">
        <v>76</v>
      </c>
      <c r="B42" t="s">
        <v>83</v>
      </c>
      <c r="C42" t="s">
        <v>74</v>
      </c>
      <c r="D42">
        <f>SUM(D41)*0.04</f>
        <v>266.55627999999996</v>
      </c>
      <c r="E42">
        <f t="shared" ref="E42" si="46">SUM(E41)*0.04</f>
        <v>284.63340000000005</v>
      </c>
      <c r="F42">
        <f t="shared" ref="F42" si="47">SUM(F41)*0.04</f>
        <v>302.08191999999997</v>
      </c>
      <c r="G42">
        <f t="shared" ref="G42" si="48">SUM(G41)*0.04</f>
        <v>341.64804000000004</v>
      </c>
      <c r="H42">
        <f t="shared" ref="H42" si="49">SUM(H41)*0.04</f>
        <v>397.52096000000006</v>
      </c>
      <c r="I42">
        <f t="shared" ref="I42" si="50">SUM(I41)*0.04</f>
        <v>437.54776000000021</v>
      </c>
      <c r="J42">
        <f t="shared" ref="J42" si="51">SUM(J41)*0.04</f>
        <v>339.33096</v>
      </c>
      <c r="K42">
        <f t="shared" ref="K42" si="52">SUM(K41)*0.04</f>
        <v>404.56263999999999</v>
      </c>
      <c r="L42">
        <f t="shared" ref="L42" si="53">SUM(L41)*0.04</f>
        <v>314.26640000000009</v>
      </c>
      <c r="M42">
        <f t="shared" ref="M42" si="54">SUM(M41)*0.04</f>
        <v>308.91131999999993</v>
      </c>
      <c r="N42">
        <f t="shared" ref="N42" si="55">SUM(N41)*0.04</f>
        <v>235.82015999999999</v>
      </c>
      <c r="O42">
        <f t="shared" ref="O42" si="56">SUM(O41)*0.04</f>
        <v>221.51976000000002</v>
      </c>
    </row>
    <row r="43" spans="1:15" x14ac:dyDescent="0.3">
      <c r="A43" t="s">
        <v>76</v>
      </c>
      <c r="B43" t="s">
        <v>83</v>
      </c>
      <c r="C43" t="s">
        <v>38</v>
      </c>
      <c r="D43">
        <v>10347.21453488372</v>
      </c>
      <c r="E43">
        <v>10513.545139534885</v>
      </c>
      <c r="F43">
        <v>11923.197430232558</v>
      </c>
      <c r="G43">
        <v>13257.99569767442</v>
      </c>
      <c r="H43">
        <v>16159.927184108528</v>
      </c>
      <c r="I43">
        <v>17065.918731589154</v>
      </c>
      <c r="J43">
        <v>16851.776686046513</v>
      </c>
      <c r="K43">
        <v>19664.322760658913</v>
      </c>
      <c r="L43">
        <v>15693.680753875971</v>
      </c>
      <c r="M43">
        <v>15562.210838178293</v>
      </c>
      <c r="N43">
        <v>11549.290046511629</v>
      </c>
      <c r="O43">
        <v>11965.049534883721</v>
      </c>
    </row>
    <row r="44" spans="1:15" x14ac:dyDescent="0.3">
      <c r="A44" t="s">
        <v>76</v>
      </c>
      <c r="B44" t="s">
        <v>83</v>
      </c>
      <c r="C44" t="s">
        <v>40</v>
      </c>
      <c r="D44">
        <v>2048.8837209302328</v>
      </c>
      <c r="E44">
        <v>1850.6046511627908</v>
      </c>
      <c r="F44">
        <v>2048.8837209302328</v>
      </c>
      <c r="G44">
        <v>1982.7906976744189</v>
      </c>
      <c r="H44">
        <v>2048.8837209302328</v>
      </c>
      <c r="I44">
        <v>1982.7906976744189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t="s">
        <v>76</v>
      </c>
      <c r="B45" t="s">
        <v>84</v>
      </c>
      <c r="C45" t="s">
        <v>30</v>
      </c>
      <c r="D45">
        <v>10922.05056</v>
      </c>
      <c r="E45">
        <v>10453.424639999999</v>
      </c>
      <c r="F45">
        <v>11132.07936</v>
      </c>
      <c r="G45">
        <v>12915.53472</v>
      </c>
      <c r="H45">
        <v>15143.406719999999</v>
      </c>
      <c r="I45">
        <v>16289.573759999999</v>
      </c>
      <c r="J45">
        <v>18048.738239999999</v>
      </c>
      <c r="K45">
        <v>21134.08224</v>
      </c>
      <c r="L45">
        <v>16873.6368</v>
      </c>
      <c r="M45">
        <v>16614.19584</v>
      </c>
      <c r="N45">
        <v>12485.44032</v>
      </c>
      <c r="O45">
        <v>12907.516799999999</v>
      </c>
    </row>
    <row r="46" spans="1:15" x14ac:dyDescent="0.3">
      <c r="A46" t="s">
        <v>76</v>
      </c>
      <c r="B46" t="s">
        <v>84</v>
      </c>
      <c r="C46" t="s">
        <v>70</v>
      </c>
      <c r="D46">
        <v>6765.3740000000007</v>
      </c>
      <c r="E46">
        <v>7210.9339999999993</v>
      </c>
      <c r="F46">
        <v>7449.1000000000013</v>
      </c>
      <c r="G46">
        <v>8476.4640000000018</v>
      </c>
      <c r="H46">
        <v>10261.121999999999</v>
      </c>
      <c r="I46">
        <v>11519.847999999998</v>
      </c>
      <c r="J46">
        <v>8801.4959999999992</v>
      </c>
      <c r="K46">
        <v>10754.078000000003</v>
      </c>
      <c r="L46">
        <v>8214.1689999999999</v>
      </c>
      <c r="M46">
        <v>7961.4610000000002</v>
      </c>
      <c r="N46">
        <v>6096.2499999999991</v>
      </c>
      <c r="O46">
        <v>5477.7019999999993</v>
      </c>
    </row>
    <row r="47" spans="1:15" x14ac:dyDescent="0.3">
      <c r="A47" t="s">
        <v>76</v>
      </c>
      <c r="B47" t="s">
        <v>84</v>
      </c>
      <c r="C47" t="s">
        <v>74</v>
      </c>
      <c r="D47">
        <f>SUM(D46)*0.04</f>
        <v>270.61496000000005</v>
      </c>
      <c r="E47">
        <f t="shared" ref="E47" si="57">SUM(E46)*0.04</f>
        <v>288.43735999999996</v>
      </c>
      <c r="F47">
        <f t="shared" ref="F47" si="58">SUM(F46)*0.04</f>
        <v>297.96400000000006</v>
      </c>
      <c r="G47">
        <f t="shared" ref="G47" si="59">SUM(G46)*0.04</f>
        <v>339.05856000000006</v>
      </c>
      <c r="H47">
        <f t="shared" ref="H47" si="60">SUM(H46)*0.04</f>
        <v>410.44488000000001</v>
      </c>
      <c r="I47">
        <f t="shared" ref="I47" si="61">SUM(I46)*0.04</f>
        <v>460.79391999999996</v>
      </c>
      <c r="J47">
        <f t="shared" ref="J47" si="62">SUM(J46)*0.04</f>
        <v>352.05983999999995</v>
      </c>
      <c r="K47">
        <f t="shared" ref="K47" si="63">SUM(K46)*0.04</f>
        <v>430.16312000000016</v>
      </c>
      <c r="L47">
        <f t="shared" ref="L47" si="64">SUM(L46)*0.04</f>
        <v>328.56675999999999</v>
      </c>
      <c r="M47">
        <f t="shared" ref="M47" si="65">SUM(M46)*0.04</f>
        <v>318.45844</v>
      </c>
      <c r="N47">
        <f t="shared" ref="N47" si="66">SUM(N46)*0.04</f>
        <v>243.84999999999997</v>
      </c>
      <c r="O47">
        <f t="shared" ref="O47" si="67">SUM(O46)*0.04</f>
        <v>219.10807999999997</v>
      </c>
    </row>
    <row r="48" spans="1:15" x14ac:dyDescent="0.3">
      <c r="A48" t="s">
        <v>76</v>
      </c>
      <c r="B48" t="s">
        <v>84</v>
      </c>
      <c r="C48" t="s">
        <v>38</v>
      </c>
      <c r="D48">
        <v>10539.403395348838</v>
      </c>
      <c r="E48">
        <v>10692.331581395349</v>
      </c>
      <c r="F48">
        <v>11927.913209302327</v>
      </c>
      <c r="G48">
        <v>13309.435906976745</v>
      </c>
      <c r="H48">
        <v>16636.274031007753</v>
      </c>
      <c r="I48">
        <v>17797.989596899224</v>
      </c>
      <c r="J48">
        <v>17376.119441860465</v>
      </c>
      <c r="K48">
        <v>20539.562759689928</v>
      </c>
      <c r="L48">
        <v>16244.219821705427</v>
      </c>
      <c r="M48">
        <v>15993.978193798452</v>
      </c>
      <c r="N48">
        <v>11889.291860465117</v>
      </c>
      <c r="O48">
        <v>12063.059395348839</v>
      </c>
    </row>
    <row r="49" spans="1:15" x14ac:dyDescent="0.3">
      <c r="A49" t="s">
        <v>76</v>
      </c>
      <c r="B49" t="s">
        <v>84</v>
      </c>
      <c r="C49" t="s">
        <v>40</v>
      </c>
      <c r="D49">
        <v>2099.3488372093025</v>
      </c>
      <c r="E49">
        <v>1896.1860465116281</v>
      </c>
      <c r="F49">
        <v>2099.3488372093025</v>
      </c>
      <c r="G49">
        <v>2031.6279069767445</v>
      </c>
      <c r="H49">
        <v>2099.3488372093025</v>
      </c>
      <c r="I49">
        <v>2031.6279069767445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t="s">
        <v>76</v>
      </c>
      <c r="B50" t="s">
        <v>85</v>
      </c>
      <c r="C50" t="s">
        <v>30</v>
      </c>
      <c r="D50">
        <v>10455.1968</v>
      </c>
      <c r="E50">
        <v>9999.3033599999999</v>
      </c>
      <c r="F50">
        <v>10643.744640000001</v>
      </c>
      <c r="G50">
        <v>12523.286399999999</v>
      </c>
      <c r="H50">
        <v>14476.91136</v>
      </c>
      <c r="I50">
        <v>15583.23552</v>
      </c>
      <c r="J50">
        <v>17392.226879999998</v>
      </c>
      <c r="K50">
        <v>20095.818240000001</v>
      </c>
      <c r="L50">
        <v>16035.43008</v>
      </c>
      <c r="M50">
        <v>15786.493439999998</v>
      </c>
      <c r="N50">
        <v>11869.119359999999</v>
      </c>
      <c r="O50">
        <v>12490.27392</v>
      </c>
    </row>
    <row r="51" spans="1:15" x14ac:dyDescent="0.3">
      <c r="A51" t="s">
        <v>76</v>
      </c>
      <c r="B51" t="s">
        <v>85</v>
      </c>
      <c r="C51" t="s">
        <v>70</v>
      </c>
      <c r="D51">
        <v>6570.3370000000004</v>
      </c>
      <c r="E51">
        <v>6970.1859999999997</v>
      </c>
      <c r="F51">
        <v>7202.3180000000002</v>
      </c>
      <c r="G51">
        <v>8382.223</v>
      </c>
      <c r="H51">
        <v>9915.0630000000001</v>
      </c>
      <c r="I51">
        <v>11128.192999999999</v>
      </c>
      <c r="J51">
        <v>8749.1650000000009</v>
      </c>
      <c r="K51">
        <v>10383.746999999999</v>
      </c>
      <c r="L51">
        <v>7932.357</v>
      </c>
      <c r="M51">
        <v>7689.4790000000003</v>
      </c>
      <c r="N51">
        <v>5890.6319999999996</v>
      </c>
      <c r="O51">
        <v>5546.29</v>
      </c>
    </row>
    <row r="52" spans="1:15" x14ac:dyDescent="0.3">
      <c r="A52" t="s">
        <v>76</v>
      </c>
      <c r="B52" t="s">
        <v>85</v>
      </c>
      <c r="C52" t="s">
        <v>74</v>
      </c>
      <c r="D52">
        <f>SUM(D51)*0.04</f>
        <v>262.81348000000003</v>
      </c>
      <c r="E52">
        <f t="shared" ref="E52" si="68">SUM(E51)*0.04</f>
        <v>278.80743999999999</v>
      </c>
      <c r="F52">
        <f t="shared" ref="F52" si="69">SUM(F51)*0.04</f>
        <v>288.09272000000004</v>
      </c>
      <c r="G52">
        <f t="shared" ref="G52" si="70">SUM(G51)*0.04</f>
        <v>335.28892000000002</v>
      </c>
      <c r="H52">
        <f t="shared" ref="H52" si="71">SUM(H51)*0.04</f>
        <v>396.60252000000003</v>
      </c>
      <c r="I52">
        <f t="shared" ref="I52" si="72">SUM(I51)*0.04</f>
        <v>445.12771999999995</v>
      </c>
      <c r="J52">
        <f t="shared" ref="J52" si="73">SUM(J51)*0.04</f>
        <v>349.96660000000003</v>
      </c>
      <c r="K52">
        <f t="shared" ref="K52" si="74">SUM(K51)*0.04</f>
        <v>415.34987999999998</v>
      </c>
      <c r="L52">
        <f t="shared" ref="L52" si="75">SUM(L51)*0.04</f>
        <v>317.29428000000001</v>
      </c>
      <c r="M52">
        <f t="shared" ref="M52" si="76">SUM(M51)*0.04</f>
        <v>307.57916</v>
      </c>
      <c r="N52">
        <f t="shared" ref="N52" si="77">SUM(N51)*0.04</f>
        <v>235.62527999999998</v>
      </c>
      <c r="O52">
        <f t="shared" ref="O52" si="78">SUM(O51)*0.04</f>
        <v>221.85159999999999</v>
      </c>
    </row>
    <row r="53" spans="1:15" x14ac:dyDescent="0.3">
      <c r="A53" t="s">
        <v>76</v>
      </c>
      <c r="B53" t="s">
        <v>85</v>
      </c>
      <c r="C53" t="s">
        <v>38</v>
      </c>
      <c r="D53">
        <v>10181.067046511627</v>
      </c>
      <c r="E53">
        <v>10300.946186046511</v>
      </c>
      <c r="F53">
        <v>11487.336406976745</v>
      </c>
      <c r="G53">
        <v>13006.075930232557</v>
      </c>
      <c r="H53">
        <v>16014.367106589147</v>
      </c>
      <c r="I53">
        <v>17134.684239341084</v>
      </c>
      <c r="J53">
        <v>16952.771081395353</v>
      </c>
      <c r="K53">
        <v>19745.821361434108</v>
      </c>
      <c r="L53">
        <v>15614.953699612404</v>
      </c>
      <c r="M53">
        <v>15374.435353682173</v>
      </c>
      <c r="N53">
        <v>11433.013395348837</v>
      </c>
      <c r="O53">
        <v>11846.70404651163</v>
      </c>
    </row>
    <row r="54" spans="1:15" x14ac:dyDescent="0.3">
      <c r="A54" t="s">
        <v>76</v>
      </c>
      <c r="B54" t="s">
        <v>85</v>
      </c>
      <c r="C54" t="s">
        <v>40</v>
      </c>
      <c r="D54">
        <v>2008.5116279069769</v>
      </c>
      <c r="E54">
        <v>1814.1395348837211</v>
      </c>
      <c r="F54">
        <v>2008.5116279069769</v>
      </c>
      <c r="G54">
        <v>1943.7209302325582</v>
      </c>
      <c r="H54">
        <v>2008.5116279069769</v>
      </c>
      <c r="I54">
        <v>1943.7209302325582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8" spans="1:15" x14ac:dyDescent="0.3">
      <c r="C58" t="s">
        <v>42</v>
      </c>
      <c r="D58">
        <v>10956</v>
      </c>
      <c r="E58">
        <v>12286</v>
      </c>
      <c r="F58">
        <v>11705</v>
      </c>
      <c r="G58">
        <v>12530</v>
      </c>
      <c r="H58">
        <v>10343</v>
      </c>
      <c r="I58">
        <v>12038</v>
      </c>
      <c r="J58">
        <v>10555</v>
      </c>
      <c r="K58">
        <v>11955</v>
      </c>
      <c r="L58">
        <v>10796</v>
      </c>
      <c r="M58">
        <v>10798</v>
      </c>
      <c r="N58">
        <v>11058</v>
      </c>
      <c r="O58">
        <v>10221</v>
      </c>
    </row>
    <row r="59" spans="1:15" x14ac:dyDescent="0.3">
      <c r="B59" t="s">
        <v>41</v>
      </c>
      <c r="C59" t="s">
        <v>12</v>
      </c>
      <c r="D59">
        <f t="shared" ref="D59:O59" si="79">D58*0.96+D7</f>
        <v>11547.492515337424</v>
      </c>
      <c r="E59">
        <f t="shared" si="79"/>
        <v>12724.640981595092</v>
      </c>
      <c r="F59">
        <f t="shared" si="79"/>
        <v>12266.532515337423</v>
      </c>
      <c r="G59">
        <f t="shared" si="79"/>
        <v>13025.315337423312</v>
      </c>
      <c r="H59">
        <f t="shared" si="79"/>
        <v>10959.012515337423</v>
      </c>
      <c r="I59">
        <f t="shared" si="79"/>
        <v>12552.995337423312</v>
      </c>
      <c r="J59">
        <f t="shared" si="79"/>
        <v>10132.799999999999</v>
      </c>
      <c r="K59">
        <f t="shared" si="79"/>
        <v>11476.8</v>
      </c>
      <c r="L59">
        <f t="shared" si="79"/>
        <v>10364.16</v>
      </c>
      <c r="M59">
        <f t="shared" si="79"/>
        <v>10366.08</v>
      </c>
      <c r="N59">
        <f t="shared" si="79"/>
        <v>10615.68</v>
      </c>
      <c r="O59">
        <f t="shared" si="79"/>
        <v>9812.16</v>
      </c>
    </row>
    <row r="60" spans="1:15" x14ac:dyDescent="0.3">
      <c r="B60" t="s">
        <v>41</v>
      </c>
      <c r="C60" t="s">
        <v>5</v>
      </c>
      <c r="D60">
        <f t="shared" ref="D60:O60" si="80">(D2-D3)+D58*0.96*D8</f>
        <v>10190.850199148936</v>
      </c>
      <c r="E60">
        <f t="shared" si="80"/>
        <v>9905.5849327659562</v>
      </c>
      <c r="F60">
        <f t="shared" si="80"/>
        <v>10718.180047659574</v>
      </c>
      <c r="G60">
        <f t="shared" si="80"/>
        <v>11717.224667234042</v>
      </c>
      <c r="H60">
        <f t="shared" si="80"/>
        <v>11914.922951489363</v>
      </c>
      <c r="I60">
        <f t="shared" si="80"/>
        <v>13460.762062978723</v>
      </c>
      <c r="J60">
        <f t="shared" si="80"/>
        <v>15693.413443404253</v>
      </c>
      <c r="K60">
        <f t="shared" si="80"/>
        <v>14671.840085106385</v>
      </c>
      <c r="L60">
        <f t="shared" si="80"/>
        <v>13725.211506382977</v>
      </c>
      <c r="M60">
        <f t="shared" si="80"/>
        <v>13197.521954042553</v>
      </c>
      <c r="N60">
        <f t="shared" si="80"/>
        <v>11632.777429787233</v>
      </c>
      <c r="O60">
        <f t="shared" si="80"/>
        <v>10934.414124255318</v>
      </c>
    </row>
    <row r="61" spans="1:15" x14ac:dyDescent="0.3">
      <c r="C61" t="s">
        <v>43</v>
      </c>
      <c r="D61">
        <f t="shared" ref="D61:O61" si="81">D59-D60</f>
        <v>1356.6423161884886</v>
      </c>
      <c r="E61">
        <f t="shared" si="81"/>
        <v>2819.0560488291358</v>
      </c>
      <c r="F61">
        <f t="shared" si="81"/>
        <v>1548.3524676778488</v>
      </c>
      <c r="G61">
        <f t="shared" si="81"/>
        <v>1308.0906701892691</v>
      </c>
      <c r="H61">
        <f t="shared" si="81"/>
        <v>-955.9104361519403</v>
      </c>
      <c r="I61">
        <f t="shared" si="81"/>
        <v>-907.76672555541154</v>
      </c>
      <c r="J61">
        <f t="shared" si="81"/>
        <v>-5560.6134434042542</v>
      </c>
      <c r="K61">
        <f t="shared" si="81"/>
        <v>-3195.040085106386</v>
      </c>
      <c r="L61">
        <f t="shared" si="81"/>
        <v>-3361.0515063829771</v>
      </c>
      <c r="M61">
        <f t="shared" si="81"/>
        <v>-2831.4419540425533</v>
      </c>
      <c r="N61">
        <f t="shared" si="81"/>
        <v>-1017.0974297872326</v>
      </c>
      <c r="O61">
        <f t="shared" si="81"/>
        <v>-1122.2541242553179</v>
      </c>
    </row>
    <row r="63" spans="1:15" x14ac:dyDescent="0.3">
      <c r="C63" t="s">
        <v>42</v>
      </c>
      <c r="D63">
        <v>10956</v>
      </c>
      <c r="E63">
        <v>12286</v>
      </c>
      <c r="F63">
        <v>11705</v>
      </c>
      <c r="G63">
        <v>12530</v>
      </c>
      <c r="H63">
        <v>10343</v>
      </c>
      <c r="I63">
        <v>12038</v>
      </c>
      <c r="J63">
        <v>10555</v>
      </c>
      <c r="K63">
        <v>11955</v>
      </c>
      <c r="L63">
        <v>10796</v>
      </c>
      <c r="M63">
        <v>10798</v>
      </c>
      <c r="N63">
        <v>11058</v>
      </c>
      <c r="O63">
        <v>10221</v>
      </c>
    </row>
    <row r="64" spans="1:15" x14ac:dyDescent="0.3">
      <c r="B64" t="s">
        <v>44</v>
      </c>
      <c r="C64" t="s">
        <v>12</v>
      </c>
      <c r="D64">
        <f t="shared" ref="D64:O64" si="82">D2+D7</f>
        <v>12284.727395337422</v>
      </c>
      <c r="E64">
        <f t="shared" si="82"/>
        <v>10957.695701595092</v>
      </c>
      <c r="F64">
        <f t="shared" si="82"/>
        <v>12549.110435337425</v>
      </c>
      <c r="G64">
        <f t="shared" si="82"/>
        <v>13066.910217423312</v>
      </c>
      <c r="H64">
        <f t="shared" si="82"/>
        <v>14224.002275337425</v>
      </c>
      <c r="I64">
        <f t="shared" si="82"/>
        <v>14983.171017423312</v>
      </c>
      <c r="J64">
        <f t="shared" si="82"/>
        <v>16898.334719999999</v>
      </c>
      <c r="K64">
        <f t="shared" si="82"/>
        <v>15385.272000000001</v>
      </c>
      <c r="L64">
        <f t="shared" si="82"/>
        <v>14687.126399999999</v>
      </c>
      <c r="M64">
        <f t="shared" si="82"/>
        <v>14317.13472</v>
      </c>
      <c r="N64">
        <f t="shared" si="82"/>
        <v>12502.713599999999</v>
      </c>
      <c r="O64">
        <f t="shared" si="82"/>
        <v>12256.590719999998</v>
      </c>
    </row>
    <row r="65" spans="2:15" x14ac:dyDescent="0.3">
      <c r="B65" t="s">
        <v>44</v>
      </c>
      <c r="C65" t="s">
        <v>5</v>
      </c>
      <c r="D65">
        <f t="shared" ref="D65:O65" si="83">D6+D3</f>
        <v>11045.561749693252</v>
      </c>
      <c r="E65">
        <f t="shared" si="83"/>
        <v>10088.942570552146</v>
      </c>
      <c r="F65">
        <f t="shared" si="83"/>
        <v>11935.703274846626</v>
      </c>
      <c r="G65">
        <f t="shared" si="83"/>
        <v>12247.796986503066</v>
      </c>
      <c r="H65">
        <f t="shared" si="83"/>
        <v>14093.576170552147</v>
      </c>
      <c r="I65">
        <f t="shared" si="83"/>
        <v>14916.386542331287</v>
      </c>
      <c r="J65">
        <f t="shared" si="83"/>
        <v>16844.418807361966</v>
      </c>
      <c r="K65">
        <f t="shared" si="83"/>
        <v>15342.380466257668</v>
      </c>
      <c r="L65">
        <f t="shared" si="83"/>
        <v>14620.927770552147</v>
      </c>
      <c r="M65">
        <f t="shared" si="83"/>
        <v>14244.225144785276</v>
      </c>
      <c r="N65">
        <f t="shared" si="83"/>
        <v>12407.564089570553</v>
      </c>
      <c r="O65">
        <f t="shared" si="83"/>
        <v>12074.82966871166</v>
      </c>
    </row>
    <row r="66" spans="2:15" x14ac:dyDescent="0.3">
      <c r="C66" t="s">
        <v>43</v>
      </c>
      <c r="D66">
        <f t="shared" ref="D66:O66" si="84">D64-D65</f>
        <v>1239.1656456441706</v>
      </c>
      <c r="E66">
        <f t="shared" si="84"/>
        <v>868.75313104294582</v>
      </c>
      <c r="F66">
        <f t="shared" si="84"/>
        <v>613.40716049079856</v>
      </c>
      <c r="G66">
        <f t="shared" si="84"/>
        <v>819.11323092024577</v>
      </c>
      <c r="H66">
        <f t="shared" si="84"/>
        <v>130.42610478527786</v>
      </c>
      <c r="I66">
        <f t="shared" si="84"/>
        <v>66.784475092024877</v>
      </c>
      <c r="J66">
        <f t="shared" si="84"/>
        <v>53.915912638032751</v>
      </c>
      <c r="K66">
        <f t="shared" si="84"/>
        <v>42.891533742333195</v>
      </c>
      <c r="L66">
        <f t="shared" si="84"/>
        <v>66.198629447851999</v>
      </c>
      <c r="M66">
        <f t="shared" si="84"/>
        <v>72.9095752147241</v>
      </c>
      <c r="N66">
        <f t="shared" si="84"/>
        <v>95.149510429446309</v>
      </c>
      <c r="O66">
        <f t="shared" si="84"/>
        <v>181.76105128833842</v>
      </c>
    </row>
  </sheetData>
  <autoFilter ref="A1:O54" xr:uid="{E182F59B-05B0-4C90-91D7-5BC341D82313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653F-F9AF-43D0-A034-2391D9B3D43D}">
  <sheetPr filterMode="1"/>
  <dimension ref="A1:O160"/>
  <sheetViews>
    <sheetView showGridLines="0" tabSelected="1" zoomScaleNormal="100" workbookViewId="0">
      <selection activeCell="C1" sqref="C1"/>
    </sheetView>
  </sheetViews>
  <sheetFormatPr defaultRowHeight="14.4" x14ac:dyDescent="0.3"/>
  <cols>
    <col min="1" max="1" width="10" bestFit="1" customWidth="1"/>
    <col min="2" max="2" width="20.44140625" customWidth="1"/>
    <col min="3" max="3" width="32.77734375" bestFit="1" customWidth="1"/>
    <col min="4" max="15" width="8.88671875" customWidth="1"/>
    <col min="19" max="19" width="20.44140625" customWidth="1"/>
  </cols>
  <sheetData>
    <row r="1" spans="1:15" x14ac:dyDescent="0.3">
      <c r="A1" s="1" t="s">
        <v>26</v>
      </c>
      <c r="B1" s="1" t="s">
        <v>20</v>
      </c>
      <c r="C1" s="1" t="s">
        <v>29</v>
      </c>
      <c r="D1" s="9">
        <v>45658</v>
      </c>
      <c r="E1" s="9">
        <v>45689</v>
      </c>
      <c r="F1" s="9">
        <v>45717</v>
      </c>
      <c r="G1" s="9">
        <v>45748</v>
      </c>
      <c r="H1" s="9">
        <v>45778</v>
      </c>
      <c r="I1" s="9">
        <v>45809</v>
      </c>
      <c r="J1" s="9">
        <v>45839</v>
      </c>
      <c r="K1" s="9">
        <v>45870</v>
      </c>
      <c r="L1" s="9">
        <v>45901</v>
      </c>
      <c r="M1" s="9">
        <v>45931</v>
      </c>
      <c r="N1" s="9">
        <v>45962</v>
      </c>
      <c r="O1" s="9">
        <v>45992</v>
      </c>
    </row>
    <row r="2" spans="1:15" hidden="1" x14ac:dyDescent="0.3">
      <c r="A2" s="18" t="s">
        <v>33</v>
      </c>
      <c r="B2" s="18" t="s">
        <v>86</v>
      </c>
      <c r="C2" s="18" t="s">
        <v>40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</row>
    <row r="3" spans="1:15" hidden="1" x14ac:dyDescent="0.3">
      <c r="A3" s="18" t="s">
        <v>33</v>
      </c>
      <c r="B3" s="18" t="s">
        <v>86</v>
      </c>
      <c r="C3" s="18" t="s">
        <v>30</v>
      </c>
      <c r="D3" s="10">
        <v>5794.6610858399999</v>
      </c>
      <c r="E3" s="10">
        <v>4843.9242720000002</v>
      </c>
      <c r="F3" s="10">
        <v>4815.8924536799996</v>
      </c>
      <c r="G3" s="10">
        <v>4882.4324445600005</v>
      </c>
      <c r="H3" s="10">
        <v>5731.4934230400004</v>
      </c>
      <c r="I3" s="10">
        <v>5979.5240174999999</v>
      </c>
      <c r="J3" s="10">
        <v>6415.224611399999</v>
      </c>
      <c r="K3" s="10">
        <v>6577.2051345</v>
      </c>
      <c r="L3" s="10">
        <v>6826.0515146999996</v>
      </c>
      <c r="M3" s="10">
        <v>6868.0262277000002</v>
      </c>
      <c r="N3" s="10">
        <v>5968.4786469000001</v>
      </c>
      <c r="O3" s="10">
        <v>5905.94103</v>
      </c>
    </row>
    <row r="4" spans="1:15" hidden="1" x14ac:dyDescent="0.3">
      <c r="A4" s="18" t="s">
        <v>33</v>
      </c>
      <c r="B4" s="18" t="s">
        <v>86</v>
      </c>
      <c r="C4" s="18" t="s">
        <v>38</v>
      </c>
      <c r="D4" s="10">
        <v>2869.8329999999996</v>
      </c>
      <c r="E4" s="10">
        <v>2376.6070000000004</v>
      </c>
      <c r="F4" s="10">
        <v>2582.2740000000003</v>
      </c>
      <c r="G4" s="10">
        <v>2546.0299999999997</v>
      </c>
      <c r="H4" s="10">
        <v>3087.027</v>
      </c>
      <c r="I4" s="10">
        <v>3045.2579999999998</v>
      </c>
      <c r="J4" s="10">
        <v>3125.0990000000002</v>
      </c>
      <c r="K4" s="10">
        <v>3090.4620000000004</v>
      </c>
      <c r="L4" s="10">
        <v>3546.6869999999999</v>
      </c>
      <c r="M4" s="10">
        <v>3575.9290000000001</v>
      </c>
      <c r="N4" s="10">
        <v>3277.4540000000006</v>
      </c>
      <c r="O4" s="10">
        <v>3301.42</v>
      </c>
    </row>
    <row r="5" spans="1:15" hidden="1" x14ac:dyDescent="0.3">
      <c r="A5" s="16" t="s">
        <v>33</v>
      </c>
      <c r="B5" s="16" t="s">
        <v>86</v>
      </c>
      <c r="C5" s="16" t="s">
        <v>34</v>
      </c>
      <c r="D5" s="20">
        <v>4176.7093501026202</v>
      </c>
      <c r="E5" s="20">
        <v>3601.9395866204814</v>
      </c>
      <c r="F5" s="20">
        <v>3390.5498970584663</v>
      </c>
      <c r="G5" s="20">
        <v>3824.8958112825248</v>
      </c>
      <c r="H5" s="20">
        <v>5040.4490849223921</v>
      </c>
      <c r="I5" s="20">
        <v>6055.2368057934355</v>
      </c>
      <c r="J5" s="20">
        <v>6778.4262219455477</v>
      </c>
      <c r="K5" s="20">
        <v>7082.3341556471069</v>
      </c>
      <c r="L5" s="20">
        <v>6659.7019427820587</v>
      </c>
      <c r="M5" s="20">
        <v>6156.3709411203863</v>
      </c>
      <c r="N5" s="20">
        <v>5142.8049392660114</v>
      </c>
      <c r="O5" s="20">
        <v>4632.4923087332299</v>
      </c>
    </row>
    <row r="6" spans="1:15" hidden="1" x14ac:dyDescent="0.3">
      <c r="A6" s="16" t="s">
        <v>33</v>
      </c>
      <c r="B6" s="16" t="s">
        <v>86</v>
      </c>
      <c r="C6" s="16" t="s">
        <v>36</v>
      </c>
      <c r="D6" s="17">
        <v>36796.752</v>
      </c>
      <c r="E6" s="17">
        <v>33102.047999999995</v>
      </c>
      <c r="F6" s="17">
        <v>32265.047999999999</v>
      </c>
      <c r="G6" s="17">
        <v>31376.880000000005</v>
      </c>
      <c r="H6" s="17">
        <v>38424.624000000003</v>
      </c>
      <c r="I6" s="17">
        <v>42211.44</v>
      </c>
      <c r="J6" s="17">
        <v>46749.983999999997</v>
      </c>
      <c r="K6" s="17">
        <v>49876.271999999997</v>
      </c>
      <c r="L6" s="17">
        <v>46377.36</v>
      </c>
      <c r="M6" s="17">
        <v>47060.232000000004</v>
      </c>
      <c r="N6" s="17">
        <v>39242.160000000003</v>
      </c>
      <c r="O6" s="17">
        <v>38316</v>
      </c>
    </row>
    <row r="7" spans="1:15" hidden="1" x14ac:dyDescent="0.3">
      <c r="A7" s="18" t="s">
        <v>33</v>
      </c>
      <c r="B7" s="18" t="s">
        <v>86</v>
      </c>
      <c r="C7" s="18" t="s">
        <v>31</v>
      </c>
      <c r="D7" s="10">
        <f t="shared" ref="D7:O7" si="0">MIN(MAX((1-10%)*D6,SUM(D$5,D$13,D$21,D$29,D$37,D$45)*44.3259%),(1+10%)*D6)*6%</f>
        <v>1987.0246080000002</v>
      </c>
      <c r="E7" s="10">
        <f t="shared" si="0"/>
        <v>1787.5105919999996</v>
      </c>
      <c r="F7" s="10">
        <f t="shared" si="0"/>
        <v>1742.312592</v>
      </c>
      <c r="G7" s="10">
        <f t="shared" si="0"/>
        <v>1694.3515200000004</v>
      </c>
      <c r="H7" s="10">
        <f t="shared" si="0"/>
        <v>2074.9296960000001</v>
      </c>
      <c r="I7" s="10">
        <f t="shared" si="0"/>
        <v>2398.0151379146505</v>
      </c>
      <c r="J7" s="10">
        <f t="shared" si="0"/>
        <v>2707.27096324168</v>
      </c>
      <c r="K7" s="10">
        <f t="shared" si="0"/>
        <v>2799.4738769109913</v>
      </c>
      <c r="L7" s="10">
        <f t="shared" si="0"/>
        <v>2619.1847888085226</v>
      </c>
      <c r="M7" s="10">
        <f t="shared" si="0"/>
        <v>2541.2525280000004</v>
      </c>
      <c r="N7" s="10">
        <f t="shared" si="0"/>
        <v>2119.0766400000002</v>
      </c>
      <c r="O7" s="10">
        <f t="shared" si="0"/>
        <v>2069.0639999999999</v>
      </c>
    </row>
    <row r="8" spans="1:15" hidden="1" x14ac:dyDescent="0.3">
      <c r="A8" s="16" t="s">
        <v>33</v>
      </c>
      <c r="B8" s="16" t="s">
        <v>86</v>
      </c>
      <c r="C8" s="16" t="s">
        <v>70</v>
      </c>
      <c r="D8" s="17">
        <v>1884.1819999999998</v>
      </c>
      <c r="E8" s="17">
        <v>1721.6490000000001</v>
      </c>
      <c r="F8" s="17">
        <v>1894.55</v>
      </c>
      <c r="G8" s="17">
        <v>1739.2269999999999</v>
      </c>
      <c r="H8" s="17">
        <v>1721.2660000000001</v>
      </c>
      <c r="I8" s="17">
        <v>1598.0039999999999</v>
      </c>
      <c r="J8" s="17">
        <v>1625.56</v>
      </c>
      <c r="K8" s="17">
        <v>1653.1569999999999</v>
      </c>
      <c r="L8" s="17">
        <v>1657.2180000000001</v>
      </c>
      <c r="M8" s="17">
        <v>1784.0700000000002</v>
      </c>
      <c r="N8" s="17">
        <v>1836.2420000000002</v>
      </c>
      <c r="O8" s="17">
        <v>1908.875</v>
      </c>
    </row>
    <row r="9" spans="1:15" hidden="1" x14ac:dyDescent="0.3">
      <c r="A9" t="s">
        <v>33</v>
      </c>
      <c r="B9" t="s">
        <v>86</v>
      </c>
      <c r="C9" t="s">
        <v>74</v>
      </c>
      <c r="D9" s="8">
        <f t="shared" ref="D9:O9" si="1">D8*(1-0.96)</f>
        <v>75.367280000000065</v>
      </c>
      <c r="E9" s="8">
        <f t="shared" si="1"/>
        <v>68.865960000000072</v>
      </c>
      <c r="F9" s="8">
        <f t="shared" si="1"/>
        <v>75.782000000000068</v>
      </c>
      <c r="G9" s="8">
        <f t="shared" si="1"/>
        <v>69.569080000000056</v>
      </c>
      <c r="H9" s="8">
        <f t="shared" si="1"/>
        <v>68.85064000000007</v>
      </c>
      <c r="I9" s="8">
        <f t="shared" si="1"/>
        <v>63.920160000000052</v>
      </c>
      <c r="J9" s="8">
        <f t="shared" si="1"/>
        <v>65.022400000000061</v>
      </c>
      <c r="K9" s="8">
        <f t="shared" si="1"/>
        <v>66.126280000000051</v>
      </c>
      <c r="L9" s="8">
        <f t="shared" si="1"/>
        <v>66.288720000000069</v>
      </c>
      <c r="M9" s="8">
        <f t="shared" si="1"/>
        <v>71.362800000000064</v>
      </c>
      <c r="N9" s="8">
        <f t="shared" si="1"/>
        <v>73.449680000000072</v>
      </c>
      <c r="O9" s="8">
        <f t="shared" si="1"/>
        <v>76.355000000000061</v>
      </c>
    </row>
    <row r="10" spans="1:15" hidden="1" x14ac:dyDescent="0.3">
      <c r="A10" s="18" t="s">
        <v>33</v>
      </c>
      <c r="B10" s="18" t="s">
        <v>87</v>
      </c>
      <c r="C10" s="18" t="s">
        <v>40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</row>
    <row r="11" spans="1:15" hidden="1" x14ac:dyDescent="0.3">
      <c r="A11" s="18" t="s">
        <v>33</v>
      </c>
      <c r="B11" s="18" t="s">
        <v>87</v>
      </c>
      <c r="C11" s="18" t="s">
        <v>30</v>
      </c>
      <c r="D11" s="10">
        <v>16142.26982544</v>
      </c>
      <c r="E11" s="10">
        <v>13493.788632719999</v>
      </c>
      <c r="F11" s="10">
        <v>13415.69992752</v>
      </c>
      <c r="G11" s="10">
        <v>13601.062015199999</v>
      </c>
      <c r="H11" s="10">
        <v>15966.302148719999</v>
      </c>
      <c r="I11" s="10">
        <v>16657.244722799998</v>
      </c>
      <c r="J11" s="10">
        <v>17870.983257600001</v>
      </c>
      <c r="K11" s="10">
        <v>18322.214783399999</v>
      </c>
      <c r="L11" s="10">
        <v>19015.429425299997</v>
      </c>
      <c r="M11" s="10">
        <v>19132.359394499999</v>
      </c>
      <c r="N11" s="10">
        <v>16626.476710799998</v>
      </c>
      <c r="O11" s="10">
        <v>16452.264846599999</v>
      </c>
    </row>
    <row r="12" spans="1:15" hidden="1" x14ac:dyDescent="0.3">
      <c r="A12" s="18" t="s">
        <v>33</v>
      </c>
      <c r="B12" s="18" t="s">
        <v>87</v>
      </c>
      <c r="C12" s="18" t="s">
        <v>38</v>
      </c>
      <c r="D12" s="10">
        <v>7879.2460000000001</v>
      </c>
      <c r="E12" s="10">
        <v>6507.598</v>
      </c>
      <c r="F12" s="10">
        <v>7068.1670000000004</v>
      </c>
      <c r="G12" s="10">
        <v>6982.9059999999999</v>
      </c>
      <c r="H12" s="10">
        <v>8508.6550000000007</v>
      </c>
      <c r="I12" s="10">
        <v>8404.357</v>
      </c>
      <c r="J12" s="10">
        <v>8626.2579999999998</v>
      </c>
      <c r="K12" s="10">
        <v>8525.7099999999991</v>
      </c>
      <c r="L12" s="10">
        <v>9810.3030000000017</v>
      </c>
      <c r="M12" s="10">
        <v>9878.9290000000001</v>
      </c>
      <c r="N12" s="10">
        <v>9032.57</v>
      </c>
      <c r="O12" s="10">
        <v>9092.1959999999999</v>
      </c>
    </row>
    <row r="13" spans="1:15" hidden="1" x14ac:dyDescent="0.3">
      <c r="A13" s="16" t="s">
        <v>33</v>
      </c>
      <c r="B13" s="16" t="s">
        <v>87</v>
      </c>
      <c r="C13" s="16" t="s">
        <v>34</v>
      </c>
      <c r="D13" s="20">
        <v>11490.860266045242</v>
      </c>
      <c r="E13" s="20">
        <v>9693.2458690112853</v>
      </c>
      <c r="F13" s="20">
        <v>8973.3674564364119</v>
      </c>
      <c r="G13" s="20">
        <v>9748.2467131983431</v>
      </c>
      <c r="H13" s="20">
        <v>13012.686665235608</v>
      </c>
      <c r="I13" s="20">
        <v>15633.406454224665</v>
      </c>
      <c r="J13" s="20">
        <v>17937.330614009228</v>
      </c>
      <c r="K13" s="20">
        <v>18832.751426989853</v>
      </c>
      <c r="L13" s="20">
        <v>18138.188325692419</v>
      </c>
      <c r="M13" s="20">
        <v>17192.855928577617</v>
      </c>
      <c r="N13" s="20">
        <v>14850.032357014716</v>
      </c>
      <c r="O13" s="20">
        <v>13286.56819637142</v>
      </c>
    </row>
    <row r="14" spans="1:15" hidden="1" x14ac:dyDescent="0.3">
      <c r="A14" s="16" t="s">
        <v>33</v>
      </c>
      <c r="B14" s="16" t="s">
        <v>87</v>
      </c>
      <c r="C14" s="16" t="s">
        <v>36</v>
      </c>
      <c r="D14" s="17">
        <v>36796.752</v>
      </c>
      <c r="E14" s="17">
        <v>33102.047999999995</v>
      </c>
      <c r="F14" s="17">
        <v>32265.047999999999</v>
      </c>
      <c r="G14" s="17">
        <v>31376.880000000005</v>
      </c>
      <c r="H14" s="17">
        <v>38424.624000000003</v>
      </c>
      <c r="I14" s="17">
        <v>42211.44</v>
      </c>
      <c r="J14" s="17">
        <v>46749.983999999997</v>
      </c>
      <c r="K14" s="17">
        <v>49876.271999999997</v>
      </c>
      <c r="L14" s="17">
        <v>46377.36</v>
      </c>
      <c r="M14" s="17">
        <v>47060.232000000004</v>
      </c>
      <c r="N14" s="17">
        <v>39242.160000000003</v>
      </c>
      <c r="O14" s="17">
        <v>38316</v>
      </c>
    </row>
    <row r="15" spans="1:15" hidden="1" x14ac:dyDescent="0.3">
      <c r="A15" s="18" t="s">
        <v>33</v>
      </c>
      <c r="B15" s="18" t="s">
        <v>87</v>
      </c>
      <c r="C15" s="18" t="s">
        <v>31</v>
      </c>
      <c r="D15" s="10">
        <f t="shared" ref="D15:O15" si="2">MIN(MAX((1-10%)*D14,SUM(D$5,D$13,D$21,D$29,D$37,D$45)*44.3259%),(1+10%)*D14)*16.9%</f>
        <v>5596.7859791999999</v>
      </c>
      <c r="E15" s="10">
        <f t="shared" si="2"/>
        <v>5034.8215007999988</v>
      </c>
      <c r="F15" s="10">
        <f t="shared" si="2"/>
        <v>4907.5138007999994</v>
      </c>
      <c r="G15" s="10">
        <f t="shared" si="2"/>
        <v>4772.4234480000005</v>
      </c>
      <c r="H15" s="10">
        <f t="shared" si="2"/>
        <v>5844.3853104000009</v>
      </c>
      <c r="I15" s="10">
        <f t="shared" si="2"/>
        <v>6754.4093051262653</v>
      </c>
      <c r="J15" s="10">
        <f t="shared" si="2"/>
        <v>7625.4798797973981</v>
      </c>
      <c r="K15" s="10">
        <f t="shared" si="2"/>
        <v>7885.1847532992924</v>
      </c>
      <c r="L15" s="10">
        <f t="shared" si="2"/>
        <v>7377.3704884773379</v>
      </c>
      <c r="M15" s="10">
        <f t="shared" si="2"/>
        <v>7157.8612872000003</v>
      </c>
      <c r="N15" s="10">
        <f t="shared" si="2"/>
        <v>5968.7325359999995</v>
      </c>
      <c r="O15" s="10">
        <f t="shared" si="2"/>
        <v>5827.8635999999997</v>
      </c>
    </row>
    <row r="16" spans="1:15" hidden="1" x14ac:dyDescent="0.3">
      <c r="A16" s="16" t="s">
        <v>33</v>
      </c>
      <c r="B16" s="16" t="s">
        <v>87</v>
      </c>
      <c r="C16" s="16" t="s">
        <v>70</v>
      </c>
      <c r="D16" s="17">
        <v>5102.9950000000008</v>
      </c>
      <c r="E16" s="17">
        <v>4662.799</v>
      </c>
      <c r="F16" s="17">
        <v>5131.0780000000004</v>
      </c>
      <c r="G16" s="17">
        <v>4710.41</v>
      </c>
      <c r="H16" s="17">
        <v>4661.7620000000006</v>
      </c>
      <c r="I16" s="17">
        <v>4327.9250000000002</v>
      </c>
      <c r="J16" s="17">
        <v>4402.558</v>
      </c>
      <c r="K16" s="17">
        <v>4477.2999999999993</v>
      </c>
      <c r="L16" s="17">
        <v>4488.2980000000007</v>
      </c>
      <c r="M16" s="17">
        <v>4831.8590000000004</v>
      </c>
      <c r="N16" s="17">
        <v>4973.1559999999999</v>
      </c>
      <c r="O16" s="17">
        <v>5169.860999999999</v>
      </c>
    </row>
    <row r="17" spans="1:15" hidden="1" x14ac:dyDescent="0.3">
      <c r="A17" s="18" t="s">
        <v>33</v>
      </c>
      <c r="B17" s="18" t="s">
        <v>87</v>
      </c>
      <c r="C17" s="18" t="s">
        <v>74</v>
      </c>
      <c r="D17" s="10">
        <f t="shared" ref="D17:O17" si="3">D16*(1-0.96)</f>
        <v>204.11980000000023</v>
      </c>
      <c r="E17" s="10">
        <f t="shared" si="3"/>
        <v>186.51196000000016</v>
      </c>
      <c r="F17" s="10">
        <f t="shared" si="3"/>
        <v>205.2431200000002</v>
      </c>
      <c r="G17" s="10">
        <f t="shared" si="3"/>
        <v>188.41640000000015</v>
      </c>
      <c r="H17" s="10">
        <f t="shared" si="3"/>
        <v>186.47048000000018</v>
      </c>
      <c r="I17" s="10">
        <f t="shared" si="3"/>
        <v>173.11700000000016</v>
      </c>
      <c r="J17" s="10">
        <f t="shared" si="3"/>
        <v>176.10232000000016</v>
      </c>
      <c r="K17" s="10">
        <f t="shared" si="3"/>
        <v>179.09200000000013</v>
      </c>
      <c r="L17" s="10">
        <f t="shared" si="3"/>
        <v>179.53192000000018</v>
      </c>
      <c r="M17" s="10">
        <f t="shared" si="3"/>
        <v>193.2743600000002</v>
      </c>
      <c r="N17" s="10">
        <f t="shared" si="3"/>
        <v>198.92624000000018</v>
      </c>
      <c r="O17" s="10">
        <f t="shared" si="3"/>
        <v>206.79444000000015</v>
      </c>
    </row>
    <row r="18" spans="1:15" hidden="1" x14ac:dyDescent="0.3">
      <c r="A18" s="18" t="s">
        <v>33</v>
      </c>
      <c r="B18" s="18" t="s">
        <v>88</v>
      </c>
      <c r="C18" s="18" t="s">
        <v>40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</row>
    <row r="19" spans="1:15" hidden="1" x14ac:dyDescent="0.3">
      <c r="A19" s="18" t="s">
        <v>33</v>
      </c>
      <c r="B19" s="18" t="s">
        <v>88</v>
      </c>
      <c r="C19" s="18" t="s">
        <v>30</v>
      </c>
      <c r="D19" s="10">
        <v>15521.411671919999</v>
      </c>
      <c r="E19" s="10">
        <v>12974.797020239999</v>
      </c>
      <c r="F19" s="10">
        <v>12899.711689919999</v>
      </c>
      <c r="G19" s="10">
        <v>13077.9438768</v>
      </c>
      <c r="H19" s="10">
        <v>15352.213567680001</v>
      </c>
      <c r="I19" s="10">
        <v>16016.581538099997</v>
      </c>
      <c r="J19" s="10">
        <v>17183.637969299998</v>
      </c>
      <c r="K19" s="10">
        <v>17617.513993200002</v>
      </c>
      <c r="L19" s="10">
        <v>18284.0668659</v>
      </c>
      <c r="M19" s="10">
        <v>18396.499750200001</v>
      </c>
      <c r="N19" s="10">
        <v>15986.997575999996</v>
      </c>
      <c r="O19" s="10">
        <v>15819.4857249</v>
      </c>
    </row>
    <row r="20" spans="1:15" hidden="1" x14ac:dyDescent="0.3">
      <c r="A20" s="18" t="s">
        <v>33</v>
      </c>
      <c r="B20" s="18" t="s">
        <v>88</v>
      </c>
      <c r="C20" s="18" t="s">
        <v>38</v>
      </c>
      <c r="D20" s="10">
        <v>6738.1150000000007</v>
      </c>
      <c r="E20" s="10">
        <v>5436.2440000000006</v>
      </c>
      <c r="F20" s="10">
        <v>5885.3679999999986</v>
      </c>
      <c r="G20" s="10">
        <v>5917.549</v>
      </c>
      <c r="H20" s="10">
        <v>7520.4849999999988</v>
      </c>
      <c r="I20" s="10">
        <v>7507.8679999999995</v>
      </c>
      <c r="J20" s="10">
        <v>7717.4960000000001</v>
      </c>
      <c r="K20" s="10">
        <v>7591.2890000000007</v>
      </c>
      <c r="L20" s="10">
        <v>8925.9280000000017</v>
      </c>
      <c r="M20" s="10">
        <v>8898.5990000000002</v>
      </c>
      <c r="N20" s="10">
        <v>7976.549</v>
      </c>
      <c r="O20" s="10">
        <v>7982.0829999999996</v>
      </c>
    </row>
    <row r="21" spans="1:15" hidden="1" x14ac:dyDescent="0.3">
      <c r="A21" s="16" t="s">
        <v>33</v>
      </c>
      <c r="B21" s="16" t="s">
        <v>88</v>
      </c>
      <c r="C21" s="16" t="s">
        <v>34</v>
      </c>
      <c r="D21" s="20">
        <v>11832.530137832184</v>
      </c>
      <c r="E21" s="20">
        <v>10204.09795072493</v>
      </c>
      <c r="F21" s="20">
        <v>9625.9423588332284</v>
      </c>
      <c r="G21" s="20">
        <v>10932.996487142933</v>
      </c>
      <c r="H21" s="20">
        <v>14423.451191014927</v>
      </c>
      <c r="I21" s="20">
        <v>17281.086775691594</v>
      </c>
      <c r="J21" s="20">
        <v>19361.312271063027</v>
      </c>
      <c r="K21" s="20">
        <v>20073.273954943474</v>
      </c>
      <c r="L21" s="20">
        <v>18735.816164157459</v>
      </c>
      <c r="M21" s="20">
        <v>17304.129162623729</v>
      </c>
      <c r="N21" s="20">
        <v>14571.324630654835</v>
      </c>
      <c r="O21" s="20">
        <v>13177.093113781424</v>
      </c>
    </row>
    <row r="22" spans="1:15" hidden="1" x14ac:dyDescent="0.3">
      <c r="A22" s="16" t="s">
        <v>33</v>
      </c>
      <c r="B22" s="16" t="s">
        <v>88</v>
      </c>
      <c r="C22" s="16" t="s">
        <v>36</v>
      </c>
      <c r="D22" s="17">
        <v>36796.752</v>
      </c>
      <c r="E22" s="17">
        <v>33102.047999999995</v>
      </c>
      <c r="F22" s="17">
        <v>32265.047999999999</v>
      </c>
      <c r="G22" s="17">
        <v>31376.880000000005</v>
      </c>
      <c r="H22" s="17">
        <v>38424.624000000003</v>
      </c>
      <c r="I22" s="17">
        <v>42211.44</v>
      </c>
      <c r="J22" s="17">
        <v>46749.983999999997</v>
      </c>
      <c r="K22" s="17">
        <v>49876.271999999997</v>
      </c>
      <c r="L22" s="17">
        <v>46377.36</v>
      </c>
      <c r="M22" s="17">
        <v>47060.232000000004</v>
      </c>
      <c r="N22" s="17">
        <v>39242.160000000003</v>
      </c>
      <c r="O22" s="17">
        <v>38316</v>
      </c>
    </row>
    <row r="23" spans="1:15" hidden="1" x14ac:dyDescent="0.3">
      <c r="A23" s="18" t="s">
        <v>33</v>
      </c>
      <c r="B23" s="18" t="s">
        <v>88</v>
      </c>
      <c r="C23" s="18" t="s">
        <v>31</v>
      </c>
      <c r="D23" s="10">
        <f t="shared" ref="D23:O23" si="4">MIN(MAX((1-10%)*D22,SUM(D$5,D$13,D$21,D$29,D$37,D$45)*44.3259%),(1+10%)*D22)*17.6%</f>
        <v>5828.6055168000012</v>
      </c>
      <c r="E23" s="10">
        <f t="shared" si="4"/>
        <v>5243.3644032000002</v>
      </c>
      <c r="F23" s="10">
        <f t="shared" si="4"/>
        <v>5110.7836032000005</v>
      </c>
      <c r="G23" s="10">
        <f t="shared" si="4"/>
        <v>4970.0977920000014</v>
      </c>
      <c r="H23" s="10">
        <f t="shared" si="4"/>
        <v>6086.460441600002</v>
      </c>
      <c r="I23" s="10">
        <f t="shared" si="4"/>
        <v>7034.1777378829756</v>
      </c>
      <c r="J23" s="10">
        <f t="shared" si="4"/>
        <v>7941.3281588422624</v>
      </c>
      <c r="K23" s="10">
        <f t="shared" si="4"/>
        <v>8211.7900389389088</v>
      </c>
      <c r="L23" s="10">
        <f t="shared" si="4"/>
        <v>7682.9420471716676</v>
      </c>
      <c r="M23" s="10">
        <f t="shared" si="4"/>
        <v>7454.3407488000021</v>
      </c>
      <c r="N23" s="10">
        <f t="shared" si="4"/>
        <v>6215.9581440000011</v>
      </c>
      <c r="O23" s="10">
        <f t="shared" si="4"/>
        <v>6069.2544000000007</v>
      </c>
    </row>
    <row r="24" spans="1:15" hidden="1" x14ac:dyDescent="0.3">
      <c r="A24" s="16" t="s">
        <v>33</v>
      </c>
      <c r="B24" s="16" t="s">
        <v>88</v>
      </c>
      <c r="C24" s="16" t="s">
        <v>70</v>
      </c>
      <c r="D24" s="17">
        <v>3846.8720000000003</v>
      </c>
      <c r="E24" s="17">
        <v>3515.0330000000004</v>
      </c>
      <c r="F24" s="17">
        <v>3868.0439999999994</v>
      </c>
      <c r="G24" s="17">
        <v>3550.9260000000004</v>
      </c>
      <c r="H24" s="17">
        <v>3514.252</v>
      </c>
      <c r="I24" s="17">
        <v>3262.5889999999995</v>
      </c>
      <c r="J24" s="17">
        <v>3318.8499999999995</v>
      </c>
      <c r="K24" s="17">
        <v>3375.1940000000004</v>
      </c>
      <c r="L24" s="17">
        <v>3383.4850000000001</v>
      </c>
      <c r="M24" s="17">
        <v>3642.4780000000001</v>
      </c>
      <c r="N24" s="17">
        <v>3748.9939999999997</v>
      </c>
      <c r="O24" s="17">
        <v>3897.2849999999999</v>
      </c>
    </row>
    <row r="25" spans="1:15" hidden="1" x14ac:dyDescent="0.3">
      <c r="A25" s="18" t="s">
        <v>33</v>
      </c>
      <c r="B25" s="18" t="s">
        <v>88</v>
      </c>
      <c r="C25" s="18" t="s">
        <v>74</v>
      </c>
      <c r="D25" s="10">
        <f t="shared" ref="D25:O25" si="5">D24*(1-0.96)</f>
        <v>153.87488000000016</v>
      </c>
      <c r="E25" s="10">
        <f t="shared" si="5"/>
        <v>140.60132000000013</v>
      </c>
      <c r="F25" s="10">
        <f t="shared" si="5"/>
        <v>154.7217600000001</v>
      </c>
      <c r="G25" s="10">
        <f t="shared" si="5"/>
        <v>142.03704000000013</v>
      </c>
      <c r="H25" s="10">
        <f t="shared" si="5"/>
        <v>140.57008000000013</v>
      </c>
      <c r="I25" s="10">
        <f t="shared" si="5"/>
        <v>130.50356000000011</v>
      </c>
      <c r="J25" s="10">
        <f t="shared" si="5"/>
        <v>132.7540000000001</v>
      </c>
      <c r="K25" s="10">
        <f t="shared" si="5"/>
        <v>135.00776000000013</v>
      </c>
      <c r="L25" s="10">
        <f t="shared" si="5"/>
        <v>135.33940000000013</v>
      </c>
      <c r="M25" s="10">
        <f t="shared" si="5"/>
        <v>145.69912000000014</v>
      </c>
      <c r="N25" s="10">
        <f t="shared" si="5"/>
        <v>149.95976000000013</v>
      </c>
      <c r="O25" s="10">
        <f t="shared" si="5"/>
        <v>155.89140000000015</v>
      </c>
    </row>
    <row r="26" spans="1:15" hidden="1" x14ac:dyDescent="0.3">
      <c r="A26" s="18" t="s">
        <v>33</v>
      </c>
      <c r="B26" s="18" t="s">
        <v>89</v>
      </c>
      <c r="C26" s="18" t="s">
        <v>40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</row>
    <row r="27" spans="1:15" hidden="1" x14ac:dyDescent="0.3">
      <c r="A27" s="18" t="s">
        <v>33</v>
      </c>
      <c r="B27" s="18" t="s">
        <v>89</v>
      </c>
      <c r="C27" s="18" t="s">
        <v>30</v>
      </c>
      <c r="D27" s="10">
        <v>16142.26982544</v>
      </c>
      <c r="E27" s="10">
        <v>13493.788632719999</v>
      </c>
      <c r="F27" s="10">
        <v>13415.69992752</v>
      </c>
      <c r="G27" s="10">
        <v>13601.062015199999</v>
      </c>
      <c r="H27" s="10">
        <v>15966.302148719999</v>
      </c>
      <c r="I27" s="10">
        <v>16657.244722799998</v>
      </c>
      <c r="J27" s="10">
        <v>17870.983257600001</v>
      </c>
      <c r="K27" s="10">
        <v>18322.214783399999</v>
      </c>
      <c r="L27" s="10">
        <v>19015.429425299997</v>
      </c>
      <c r="M27" s="10">
        <v>19132.359394499999</v>
      </c>
      <c r="N27" s="10">
        <v>16626.476710799998</v>
      </c>
      <c r="O27" s="10">
        <v>16452.264846599999</v>
      </c>
    </row>
    <row r="28" spans="1:15" hidden="1" x14ac:dyDescent="0.3">
      <c r="A28" s="18" t="s">
        <v>33</v>
      </c>
      <c r="B28" s="18" t="s">
        <v>89</v>
      </c>
      <c r="C28" s="18" t="s">
        <v>38</v>
      </c>
      <c r="D28" s="10">
        <v>5892.6819999999998</v>
      </c>
      <c r="E28" s="10">
        <v>4561.3770000000004</v>
      </c>
      <c r="F28" s="10">
        <v>4908.884</v>
      </c>
      <c r="G28" s="10">
        <v>5094.232</v>
      </c>
      <c r="H28" s="10">
        <v>6942.0430000000006</v>
      </c>
      <c r="I28" s="10">
        <v>7045.5560000000005</v>
      </c>
      <c r="J28" s="10">
        <v>7258.5999999999995</v>
      </c>
      <c r="K28" s="10">
        <v>7088.0639999999994</v>
      </c>
      <c r="L28" s="10">
        <v>8608.3950000000004</v>
      </c>
      <c r="M28" s="10">
        <v>8455.8279999999995</v>
      </c>
      <c r="N28" s="10">
        <v>7352.893</v>
      </c>
      <c r="O28" s="10">
        <v>7289.7179999999998</v>
      </c>
    </row>
    <row r="29" spans="1:15" hidden="1" x14ac:dyDescent="0.3">
      <c r="A29" s="16" t="s">
        <v>33</v>
      </c>
      <c r="B29" s="16" t="s">
        <v>89</v>
      </c>
      <c r="C29" s="16" t="s">
        <v>34</v>
      </c>
      <c r="D29" s="20">
        <v>9966.4850080777251</v>
      </c>
      <c r="E29" s="20">
        <v>8480.4977741402399</v>
      </c>
      <c r="F29" s="20">
        <v>7831.7138721667061</v>
      </c>
      <c r="G29" s="20">
        <v>8915.027784112388</v>
      </c>
      <c r="H29" s="20">
        <v>12180.941454466332</v>
      </c>
      <c r="I29" s="20">
        <v>15143.253416923782</v>
      </c>
      <c r="J29" s="20">
        <v>17361.919143522904</v>
      </c>
      <c r="K29" s="20">
        <v>18042.800212181381</v>
      </c>
      <c r="L29" s="20">
        <v>16736.157754422507</v>
      </c>
      <c r="M29" s="20">
        <v>15262.19199250543</v>
      </c>
      <c r="N29" s="20">
        <v>12713.237575420677</v>
      </c>
      <c r="O29" s="20">
        <v>11368.05490063977</v>
      </c>
    </row>
    <row r="30" spans="1:15" hidden="1" x14ac:dyDescent="0.3">
      <c r="A30" s="16" t="s">
        <v>33</v>
      </c>
      <c r="B30" s="16" t="s">
        <v>89</v>
      </c>
      <c r="C30" s="16" t="s">
        <v>36</v>
      </c>
      <c r="D30" s="17">
        <v>36796.752</v>
      </c>
      <c r="E30" s="17">
        <v>33102.047999999995</v>
      </c>
      <c r="F30" s="17">
        <v>32265.047999999999</v>
      </c>
      <c r="G30" s="17">
        <v>31376.880000000005</v>
      </c>
      <c r="H30" s="17">
        <v>38424.624000000003</v>
      </c>
      <c r="I30" s="17">
        <v>42211.44</v>
      </c>
      <c r="J30" s="17">
        <v>46749.983999999997</v>
      </c>
      <c r="K30" s="17">
        <v>49876.271999999997</v>
      </c>
      <c r="L30" s="17">
        <v>46377.36</v>
      </c>
      <c r="M30" s="17">
        <v>47060.232000000004</v>
      </c>
      <c r="N30" s="17">
        <v>39242.160000000003</v>
      </c>
      <c r="O30" s="17">
        <v>38316</v>
      </c>
    </row>
    <row r="31" spans="1:15" hidden="1" x14ac:dyDescent="0.3">
      <c r="A31" s="18" t="s">
        <v>33</v>
      </c>
      <c r="B31" s="18" t="s">
        <v>89</v>
      </c>
      <c r="C31" s="18" t="s">
        <v>31</v>
      </c>
      <c r="D31" s="10">
        <f t="shared" ref="D31:O31" si="6">MIN(MAX((1-10%)*D30,SUM(D$5,D$13,D$21,D$29,D$37,D$45)*44.3259%),(1+10%)*D30)*20.1%</f>
        <v>6656.5324368000011</v>
      </c>
      <c r="E31" s="10">
        <f t="shared" si="6"/>
        <v>5988.1604831999994</v>
      </c>
      <c r="F31" s="10">
        <f t="shared" si="6"/>
        <v>5836.7471832000001</v>
      </c>
      <c r="G31" s="10">
        <f t="shared" si="6"/>
        <v>5676.0775920000015</v>
      </c>
      <c r="H31" s="10">
        <f t="shared" si="6"/>
        <v>6951.014481600002</v>
      </c>
      <c r="I31" s="10">
        <f t="shared" si="6"/>
        <v>8033.3507120140803</v>
      </c>
      <c r="J31" s="10">
        <f t="shared" si="6"/>
        <v>9069.3577268596291</v>
      </c>
      <c r="K31" s="10">
        <f t="shared" si="6"/>
        <v>9378.2374876518224</v>
      </c>
      <c r="L31" s="10">
        <f t="shared" si="6"/>
        <v>8774.2690425085511</v>
      </c>
      <c r="M31" s="10">
        <f t="shared" si="6"/>
        <v>8513.1959688000024</v>
      </c>
      <c r="N31" s="10">
        <f t="shared" si="6"/>
        <v>7098.9067440000008</v>
      </c>
      <c r="O31" s="10">
        <f t="shared" si="6"/>
        <v>6931.3644000000004</v>
      </c>
    </row>
    <row r="32" spans="1:15" hidden="1" x14ac:dyDescent="0.3">
      <c r="A32" s="16" t="s">
        <v>33</v>
      </c>
      <c r="B32" s="16" t="s">
        <v>89</v>
      </c>
      <c r="C32" s="16" t="s">
        <v>70</v>
      </c>
      <c r="D32" s="17">
        <v>2590.7509999999997</v>
      </c>
      <c r="E32" s="17">
        <v>2367.2670000000003</v>
      </c>
      <c r="F32" s="17">
        <v>2605.0079999999998</v>
      </c>
      <c r="G32" s="17">
        <v>2391.4409999999998</v>
      </c>
      <c r="H32" s="17">
        <v>2366.7429999999999</v>
      </c>
      <c r="I32" s="17">
        <v>2197.2550000000001</v>
      </c>
      <c r="J32" s="17">
        <v>2235.1459999999997</v>
      </c>
      <c r="K32" s="17">
        <v>2273.0920000000001</v>
      </c>
      <c r="L32" s="17">
        <v>2278.6729999999998</v>
      </c>
      <c r="M32" s="17">
        <v>2453.0990000000002</v>
      </c>
      <c r="N32" s="17">
        <v>2524.8330000000001</v>
      </c>
      <c r="O32" s="17">
        <v>2624.6930000000002</v>
      </c>
    </row>
    <row r="33" spans="1:15" hidden="1" x14ac:dyDescent="0.3">
      <c r="A33" s="18" t="s">
        <v>33</v>
      </c>
      <c r="B33" s="18" t="s">
        <v>89</v>
      </c>
      <c r="C33" s="18" t="s">
        <v>74</v>
      </c>
      <c r="D33" s="10">
        <f t="shared" ref="D33:O33" si="7">D32*(1-0.96)</f>
        <v>103.63004000000008</v>
      </c>
      <c r="E33" s="10">
        <f t="shared" si="7"/>
        <v>94.6906800000001</v>
      </c>
      <c r="F33" s="10">
        <f t="shared" si="7"/>
        <v>104.20032000000009</v>
      </c>
      <c r="G33" s="10">
        <f t="shared" si="7"/>
        <v>95.657640000000072</v>
      </c>
      <c r="H33" s="10">
        <f t="shared" si="7"/>
        <v>94.669720000000083</v>
      </c>
      <c r="I33" s="10">
        <f t="shared" si="7"/>
        <v>87.890200000000078</v>
      </c>
      <c r="J33" s="10">
        <f t="shared" si="7"/>
        <v>89.405840000000069</v>
      </c>
      <c r="K33" s="10">
        <f t="shared" si="7"/>
        <v>90.92368000000009</v>
      </c>
      <c r="L33" s="10">
        <f t="shared" si="7"/>
        <v>91.146920000000065</v>
      </c>
      <c r="M33" s="10">
        <f t="shared" si="7"/>
        <v>98.123960000000096</v>
      </c>
      <c r="N33" s="10">
        <f t="shared" si="7"/>
        <v>100.9933200000001</v>
      </c>
      <c r="O33" s="10">
        <f t="shared" si="7"/>
        <v>104.9877200000001</v>
      </c>
    </row>
    <row r="34" spans="1:15" hidden="1" x14ac:dyDescent="0.3">
      <c r="A34" s="18" t="s">
        <v>33</v>
      </c>
      <c r="B34" s="18" t="s">
        <v>90</v>
      </c>
      <c r="C34" s="18" t="s">
        <v>40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</row>
    <row r="35" spans="1:15" hidden="1" x14ac:dyDescent="0.3">
      <c r="A35" s="18" t="s">
        <v>33</v>
      </c>
      <c r="B35" s="18" t="s">
        <v>90</v>
      </c>
      <c r="C35" s="18" t="s">
        <v>30</v>
      </c>
      <c r="D35" s="10">
        <v>17177.029261919997</v>
      </c>
      <c r="E35" s="10">
        <v>14358.77497296</v>
      </c>
      <c r="F35" s="10">
        <v>14275.680962399998</v>
      </c>
      <c r="G35" s="10">
        <v>14472.925259760001</v>
      </c>
      <c r="H35" s="10">
        <v>16989.783117120001</v>
      </c>
      <c r="I35" s="10">
        <v>17725.016697300001</v>
      </c>
      <c r="J35" s="10">
        <v>19016.5596984</v>
      </c>
      <c r="K35" s="10">
        <v>19496.715460200001</v>
      </c>
      <c r="L35" s="10">
        <v>20234.367024300002</v>
      </c>
      <c r="M35" s="10">
        <v>20358.793095300003</v>
      </c>
      <c r="N35" s="10">
        <v>17692.2771894</v>
      </c>
      <c r="O35" s="10">
        <v>17506.897036199996</v>
      </c>
    </row>
    <row r="36" spans="1:15" hidden="1" x14ac:dyDescent="0.3">
      <c r="A36" s="18" t="s">
        <v>33</v>
      </c>
      <c r="B36" s="18" t="s">
        <v>90</v>
      </c>
      <c r="C36" s="18" t="s">
        <v>38</v>
      </c>
      <c r="D36" s="10">
        <v>7815.259</v>
      </c>
      <c r="E36" s="10">
        <v>6367.2400000000007</v>
      </c>
      <c r="F36" s="10">
        <v>6902.7110000000002</v>
      </c>
      <c r="G36" s="10">
        <v>6889.5030000000006</v>
      </c>
      <c r="H36" s="10">
        <v>8605.3130000000001</v>
      </c>
      <c r="I36" s="10">
        <v>8553.857</v>
      </c>
      <c r="J36" s="10">
        <v>8787.4459999999999</v>
      </c>
      <c r="K36" s="10">
        <v>8660.4030000000002</v>
      </c>
      <c r="L36" s="10">
        <v>10094.871999999999</v>
      </c>
      <c r="M36" s="10">
        <v>10104.532999999998</v>
      </c>
      <c r="N36" s="10">
        <v>9130.4230000000007</v>
      </c>
      <c r="O36" s="10">
        <v>9158.6939999999995</v>
      </c>
    </row>
    <row r="37" spans="1:15" hidden="1" x14ac:dyDescent="0.3">
      <c r="A37" s="16" t="s">
        <v>33</v>
      </c>
      <c r="B37" s="16" t="s">
        <v>90</v>
      </c>
      <c r="C37" s="16" t="s">
        <v>34</v>
      </c>
      <c r="D37" s="20">
        <v>11864.619285777055</v>
      </c>
      <c r="E37" s="20">
        <v>10220.88702868234</v>
      </c>
      <c r="F37" s="20">
        <v>9656.3245378161391</v>
      </c>
      <c r="G37" s="20">
        <v>10718.748676802814</v>
      </c>
      <c r="H37" s="20">
        <v>14093.420212136811</v>
      </c>
      <c r="I37" s="20">
        <v>16782.377182346449</v>
      </c>
      <c r="J37" s="20">
        <v>18831.176023344229</v>
      </c>
      <c r="K37" s="20">
        <v>19274.03074874193</v>
      </c>
      <c r="L37" s="20">
        <v>17969.196925452565</v>
      </c>
      <c r="M37" s="20">
        <v>16808.647149696299</v>
      </c>
      <c r="N37" s="20">
        <v>14526.696073236573</v>
      </c>
      <c r="O37" s="20">
        <v>13259.853943525819</v>
      </c>
    </row>
    <row r="38" spans="1:15" hidden="1" x14ac:dyDescent="0.3">
      <c r="A38" s="16" t="s">
        <v>33</v>
      </c>
      <c r="B38" s="16" t="s">
        <v>90</v>
      </c>
      <c r="C38" s="16" t="s">
        <v>36</v>
      </c>
      <c r="D38" s="17">
        <v>36796.752</v>
      </c>
      <c r="E38" s="17">
        <v>33102.047999999995</v>
      </c>
      <c r="F38" s="17">
        <v>32265.047999999999</v>
      </c>
      <c r="G38" s="17">
        <v>31376.880000000005</v>
      </c>
      <c r="H38" s="17">
        <v>38424.624000000003</v>
      </c>
      <c r="I38" s="17">
        <v>42211.44</v>
      </c>
      <c r="J38" s="17">
        <v>46749.983999999997</v>
      </c>
      <c r="K38" s="17">
        <v>49876.271999999997</v>
      </c>
      <c r="L38" s="17">
        <v>46377.36</v>
      </c>
      <c r="M38" s="17">
        <v>47060.232000000004</v>
      </c>
      <c r="N38" s="17">
        <v>39242.160000000003</v>
      </c>
      <c r="O38" s="17">
        <v>38316</v>
      </c>
    </row>
    <row r="39" spans="1:15" hidden="1" x14ac:dyDescent="0.3">
      <c r="A39" s="18" t="s">
        <v>33</v>
      </c>
      <c r="B39" s="18" t="s">
        <v>90</v>
      </c>
      <c r="C39" s="18" t="s">
        <v>31</v>
      </c>
      <c r="D39" s="10">
        <f t="shared" ref="D39:O39" si="8">MIN(MAX((1-10%)*D38,SUM(D$5,D$13,D$21,D$29,D$37,D$45)*44.3259%),(1+10%)*D38)*18.9%</f>
        <v>6259.1275151999998</v>
      </c>
      <c r="E39" s="10">
        <f t="shared" si="8"/>
        <v>5630.6583647999987</v>
      </c>
      <c r="F39" s="10">
        <f t="shared" si="8"/>
        <v>5488.2846647999995</v>
      </c>
      <c r="G39" s="10">
        <f t="shared" si="8"/>
        <v>5337.2072880000005</v>
      </c>
      <c r="H39" s="10">
        <f t="shared" si="8"/>
        <v>6536.0285424000003</v>
      </c>
      <c r="I39" s="10">
        <f t="shared" si="8"/>
        <v>7553.7476844311486</v>
      </c>
      <c r="J39" s="10">
        <f t="shared" si="8"/>
        <v>8527.9035342112911</v>
      </c>
      <c r="K39" s="10">
        <f t="shared" si="8"/>
        <v>8818.3427122696212</v>
      </c>
      <c r="L39" s="10">
        <f t="shared" si="8"/>
        <v>8250.4320847468462</v>
      </c>
      <c r="M39" s="10">
        <f t="shared" si="8"/>
        <v>8004.9454632000006</v>
      </c>
      <c r="N39" s="10">
        <f t="shared" si="8"/>
        <v>6675.0914159999993</v>
      </c>
      <c r="O39" s="10">
        <f t="shared" si="8"/>
        <v>6517.5515999999998</v>
      </c>
    </row>
    <row r="40" spans="1:15" hidden="1" x14ac:dyDescent="0.3">
      <c r="A40" s="16" t="s">
        <v>33</v>
      </c>
      <c r="B40" s="16" t="s">
        <v>90</v>
      </c>
      <c r="C40" s="16" t="s">
        <v>70</v>
      </c>
      <c r="D40" s="17">
        <v>4710.4579999999996</v>
      </c>
      <c r="E40" s="17">
        <v>4304.1220000000003</v>
      </c>
      <c r="F40" s="17">
        <v>4736.3810000000003</v>
      </c>
      <c r="G40" s="17">
        <v>4348.0730000000003</v>
      </c>
      <c r="H40" s="17">
        <v>4303.165</v>
      </c>
      <c r="I40" s="17">
        <v>3995.0070000000005</v>
      </c>
      <c r="J40" s="17">
        <v>4063.8989999999994</v>
      </c>
      <c r="K40" s="17">
        <v>4132.8919999999998</v>
      </c>
      <c r="L40" s="17">
        <v>4143.0439999999999</v>
      </c>
      <c r="M40" s="17">
        <v>4460.1769999999997</v>
      </c>
      <c r="N40" s="17">
        <v>4590.6050000000005</v>
      </c>
      <c r="O40" s="17">
        <v>4772.1779999999999</v>
      </c>
    </row>
    <row r="41" spans="1:15" hidden="1" x14ac:dyDescent="0.3">
      <c r="A41" s="18" t="s">
        <v>33</v>
      </c>
      <c r="B41" s="18" t="s">
        <v>90</v>
      </c>
      <c r="C41" s="18" t="s">
        <v>74</v>
      </c>
      <c r="D41" s="10">
        <f t="shared" ref="D41:O41" si="9">D40*(1-0.96)</f>
        <v>188.41832000000016</v>
      </c>
      <c r="E41" s="10">
        <f t="shared" si="9"/>
        <v>172.16488000000015</v>
      </c>
      <c r="F41" s="10">
        <f t="shared" si="9"/>
        <v>189.45524000000017</v>
      </c>
      <c r="G41" s="10">
        <f t="shared" si="9"/>
        <v>173.92292000000018</v>
      </c>
      <c r="H41" s="10">
        <f t="shared" si="9"/>
        <v>172.12660000000014</v>
      </c>
      <c r="I41" s="10">
        <f t="shared" si="9"/>
        <v>159.80028000000016</v>
      </c>
      <c r="J41" s="10">
        <f t="shared" si="9"/>
        <v>162.55596000000011</v>
      </c>
      <c r="K41" s="10">
        <f t="shared" si="9"/>
        <v>165.31568000000013</v>
      </c>
      <c r="L41" s="10">
        <f t="shared" si="9"/>
        <v>165.72176000000013</v>
      </c>
      <c r="M41" s="10">
        <f t="shared" si="9"/>
        <v>178.40708000000015</v>
      </c>
      <c r="N41" s="10">
        <f t="shared" si="9"/>
        <v>183.62420000000017</v>
      </c>
      <c r="O41" s="10">
        <f t="shared" si="9"/>
        <v>190.88712000000015</v>
      </c>
    </row>
    <row r="42" spans="1:15" hidden="1" x14ac:dyDescent="0.3">
      <c r="A42" s="18" t="s">
        <v>33</v>
      </c>
      <c r="B42" s="18" t="s">
        <v>91</v>
      </c>
      <c r="C42" s="18" t="s">
        <v>40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</row>
    <row r="43" spans="1:15" hidden="1" x14ac:dyDescent="0.3">
      <c r="A43" s="18" t="s">
        <v>33</v>
      </c>
      <c r="B43" s="18" t="s">
        <v>91</v>
      </c>
      <c r="C43" s="18" t="s">
        <v>30</v>
      </c>
      <c r="D43" s="10">
        <v>18694.678479839997</v>
      </c>
      <c r="E43" s="10">
        <v>15627.421988640001</v>
      </c>
      <c r="F43" s="10">
        <v>15536.98628856</v>
      </c>
      <c r="G43" s="10">
        <v>15751.65763512</v>
      </c>
      <c r="H43" s="10">
        <v>18490.888856879999</v>
      </c>
      <c r="I43" s="10">
        <v>19291.082579999998</v>
      </c>
      <c r="J43" s="10">
        <v>20696.738030099998</v>
      </c>
      <c r="K43" s="10">
        <v>21219.316965000002</v>
      </c>
      <c r="L43" s="10">
        <v>22022.142169499999</v>
      </c>
      <c r="M43" s="10">
        <v>22157.561754899998</v>
      </c>
      <c r="N43" s="10">
        <v>19255.449688199998</v>
      </c>
      <c r="O43" s="10">
        <v>19053.690658200001</v>
      </c>
    </row>
    <row r="44" spans="1:15" hidden="1" x14ac:dyDescent="0.3">
      <c r="A44" s="18" t="s">
        <v>33</v>
      </c>
      <c r="B44" s="18" t="s">
        <v>91</v>
      </c>
      <c r="C44" s="18" t="s">
        <v>38</v>
      </c>
      <c r="D44" s="10">
        <v>8549.1439999999984</v>
      </c>
      <c r="E44" s="10">
        <v>6972.3099999999995</v>
      </c>
      <c r="F44" s="10">
        <v>7559.7400000000007</v>
      </c>
      <c r="G44" s="10">
        <v>7539.4560000000001</v>
      </c>
      <c r="H44" s="10">
        <v>9399.8329999999987</v>
      </c>
      <c r="I44" s="10">
        <v>9339.2919999999995</v>
      </c>
      <c r="J44" s="10">
        <v>9593.7109999999993</v>
      </c>
      <c r="K44" s="10">
        <v>9456.9749999999985</v>
      </c>
      <c r="L44" s="10">
        <v>11013.035</v>
      </c>
      <c r="M44" s="10">
        <v>11028.381000000001</v>
      </c>
      <c r="N44" s="10">
        <v>9973.8050000000003</v>
      </c>
      <c r="O44" s="10">
        <v>10007.262999999999</v>
      </c>
    </row>
    <row r="45" spans="1:15" hidden="1" x14ac:dyDescent="0.3">
      <c r="A45" s="16" t="s">
        <v>33</v>
      </c>
      <c r="B45" s="16" t="s">
        <v>91</v>
      </c>
      <c r="C45" s="16" t="s">
        <v>34</v>
      </c>
      <c r="D45" s="20">
        <v>13020.37545863225</v>
      </c>
      <c r="E45" s="20">
        <v>11258.108405083191</v>
      </c>
      <c r="F45" s="20">
        <v>10661.725448938731</v>
      </c>
      <c r="G45" s="20">
        <v>12140.470634835601</v>
      </c>
      <c r="H45" s="20">
        <v>16071.97195737055</v>
      </c>
      <c r="I45" s="20">
        <v>19270.702468632568</v>
      </c>
      <c r="J45" s="20">
        <v>21524.007351947079</v>
      </c>
      <c r="K45" s="20">
        <v>21955.837362219969</v>
      </c>
      <c r="L45" s="20">
        <v>20243.044864981061</v>
      </c>
      <c r="M45" s="20">
        <v>18691.471512072545</v>
      </c>
      <c r="N45" s="20">
        <v>15899.711412865341</v>
      </c>
      <c r="O45" s="20">
        <v>14479.781042294862</v>
      </c>
    </row>
    <row r="46" spans="1:15" hidden="1" x14ac:dyDescent="0.3">
      <c r="A46" s="16" t="s">
        <v>33</v>
      </c>
      <c r="B46" s="16" t="s">
        <v>91</v>
      </c>
      <c r="C46" s="16" t="s">
        <v>36</v>
      </c>
      <c r="D46" s="17">
        <v>36796.752</v>
      </c>
      <c r="E46" s="17">
        <v>33102.047999999995</v>
      </c>
      <c r="F46" s="17">
        <v>32265.047999999999</v>
      </c>
      <c r="G46" s="17">
        <v>31376.880000000005</v>
      </c>
      <c r="H46" s="17">
        <v>38424.624000000003</v>
      </c>
      <c r="I46" s="17">
        <v>42211.44</v>
      </c>
      <c r="J46" s="17">
        <v>46749.983999999997</v>
      </c>
      <c r="K46" s="17">
        <v>49876.271999999997</v>
      </c>
      <c r="L46" s="17">
        <v>46377.36</v>
      </c>
      <c r="M46" s="17">
        <v>47060.232000000004</v>
      </c>
      <c r="N46" s="17">
        <v>39242.160000000003</v>
      </c>
      <c r="O46" s="17">
        <v>38316</v>
      </c>
    </row>
    <row r="47" spans="1:15" hidden="1" x14ac:dyDescent="0.3">
      <c r="A47" s="18" t="s">
        <v>33</v>
      </c>
      <c r="B47" s="18" t="s">
        <v>91</v>
      </c>
      <c r="C47" s="18" t="s">
        <v>31</v>
      </c>
      <c r="D47" s="10">
        <f t="shared" ref="D47:O47" si="10">MIN(MAX((1-10%)*D46,SUM(D$5,D$13,D$21,D$29,D$37,D$45)*44.3259%),(1+10%)*D46)*20.5%</f>
        <v>6789.0007439999999</v>
      </c>
      <c r="E47" s="10">
        <f t="shared" si="10"/>
        <v>6107.327855999999</v>
      </c>
      <c r="F47" s="10">
        <f t="shared" si="10"/>
        <v>5952.9013559999994</v>
      </c>
      <c r="G47" s="10">
        <f t="shared" si="10"/>
        <v>5789.0343600000006</v>
      </c>
      <c r="H47" s="10">
        <f t="shared" si="10"/>
        <v>7089.3431280000013</v>
      </c>
      <c r="I47" s="10">
        <f t="shared" si="10"/>
        <v>8193.2183878750566</v>
      </c>
      <c r="J47" s="10">
        <f t="shared" si="10"/>
        <v>9249.8424577424066</v>
      </c>
      <c r="K47" s="10">
        <f t="shared" si="10"/>
        <v>9564.8690794458871</v>
      </c>
      <c r="L47" s="10">
        <f t="shared" si="10"/>
        <v>8948.8813617624528</v>
      </c>
      <c r="M47" s="10">
        <f t="shared" si="10"/>
        <v>8682.6128040000003</v>
      </c>
      <c r="N47" s="10">
        <f t="shared" si="10"/>
        <v>7240.1785200000004</v>
      </c>
      <c r="O47" s="10">
        <f t="shared" si="10"/>
        <v>7069.3019999999997</v>
      </c>
    </row>
    <row r="48" spans="1:15" hidden="1" x14ac:dyDescent="0.3">
      <c r="A48" s="16" t="s">
        <v>33</v>
      </c>
      <c r="B48" s="16" t="s">
        <v>91</v>
      </c>
      <c r="C48" s="16" t="s">
        <v>70</v>
      </c>
      <c r="D48" s="17">
        <v>5181.5019999999995</v>
      </c>
      <c r="E48" s="17">
        <v>4734.5360000000001</v>
      </c>
      <c r="F48" s="17">
        <v>5210.0170000000007</v>
      </c>
      <c r="G48" s="17">
        <v>4782.8779999999997</v>
      </c>
      <c r="H48" s="17">
        <v>4733.482</v>
      </c>
      <c r="I48" s="17">
        <v>4394.5069999999996</v>
      </c>
      <c r="J48" s="17">
        <v>4470.2880000000005</v>
      </c>
      <c r="K48" s="17">
        <v>4546.1819999999998</v>
      </c>
      <c r="L48" s="17">
        <v>4557.348</v>
      </c>
      <c r="M48" s="17">
        <v>4906.1950000000006</v>
      </c>
      <c r="N48" s="17">
        <v>5049.6640000000007</v>
      </c>
      <c r="O48" s="17">
        <v>5249.402</v>
      </c>
    </row>
    <row r="49" spans="1:15" hidden="1" x14ac:dyDescent="0.3">
      <c r="A49" s="18" t="s">
        <v>33</v>
      </c>
      <c r="B49" s="18" t="s">
        <v>91</v>
      </c>
      <c r="C49" s="18" t="s">
        <v>74</v>
      </c>
      <c r="D49" s="10">
        <f t="shared" ref="D49:O49" si="11">D48*(1-0.96)</f>
        <v>207.26008000000016</v>
      </c>
      <c r="E49" s="10">
        <f t="shared" si="11"/>
        <v>189.38144000000017</v>
      </c>
      <c r="F49" s="10">
        <f t="shared" si="11"/>
        <v>208.40068000000022</v>
      </c>
      <c r="G49" s="10">
        <f t="shared" si="11"/>
        <v>191.31512000000015</v>
      </c>
      <c r="H49" s="10">
        <f t="shared" si="11"/>
        <v>189.33928000000017</v>
      </c>
      <c r="I49" s="10">
        <f t="shared" si="11"/>
        <v>175.78028000000015</v>
      </c>
      <c r="J49" s="10">
        <f t="shared" si="11"/>
        <v>178.81152000000017</v>
      </c>
      <c r="K49" s="10">
        <f t="shared" si="11"/>
        <v>181.84728000000015</v>
      </c>
      <c r="L49" s="10">
        <f t="shared" si="11"/>
        <v>182.29392000000016</v>
      </c>
      <c r="M49" s="10">
        <f t="shared" si="11"/>
        <v>196.24780000000021</v>
      </c>
      <c r="N49" s="10">
        <f t="shared" si="11"/>
        <v>201.9865600000002</v>
      </c>
      <c r="O49" s="10">
        <f t="shared" si="11"/>
        <v>209.9760800000002</v>
      </c>
    </row>
    <row r="50" spans="1:15" hidden="1" x14ac:dyDescent="0.3">
      <c r="A50" s="16" t="s">
        <v>59</v>
      </c>
      <c r="B50" s="16" t="s">
        <v>92</v>
      </c>
      <c r="C50" s="16" t="s">
        <v>65</v>
      </c>
      <c r="D50" s="17">
        <v>38390.400000000001</v>
      </c>
      <c r="E50" s="17">
        <v>24595.200000000001</v>
      </c>
      <c r="F50" s="17">
        <v>27230.400000000001</v>
      </c>
      <c r="G50" s="17">
        <v>31032</v>
      </c>
      <c r="H50" s="17">
        <v>6844.7999999999993</v>
      </c>
      <c r="I50" s="17">
        <v>6624</v>
      </c>
      <c r="J50" s="17">
        <v>14954.4</v>
      </c>
      <c r="K50" s="17">
        <v>14954.4</v>
      </c>
      <c r="L50" s="17">
        <v>14472</v>
      </c>
      <c r="M50" s="17">
        <v>14954.4</v>
      </c>
      <c r="N50" s="17">
        <v>14472</v>
      </c>
      <c r="O50" s="17">
        <v>14954.4</v>
      </c>
    </row>
    <row r="51" spans="1:15" hidden="1" x14ac:dyDescent="0.3">
      <c r="A51" s="18" t="s">
        <v>59</v>
      </c>
      <c r="B51" s="18" t="s">
        <v>92</v>
      </c>
      <c r="C51" s="18" t="s">
        <v>40</v>
      </c>
      <c r="D51" s="10">
        <f>D50*D55</f>
        <v>7391.6216363730273</v>
      </c>
      <c r="E51" s="10">
        <f t="shared" ref="E51:O51" si="12">E50*E55</f>
        <v>4792.9641225707328</v>
      </c>
      <c r="F51" s="10">
        <f t="shared" si="12"/>
        <v>5352.4762054579724</v>
      </c>
      <c r="G51" s="10">
        <f t="shared" si="12"/>
        <v>5827.4934688857893</v>
      </c>
      <c r="H51" s="10">
        <f t="shared" si="12"/>
        <v>1276.2893502103473</v>
      </c>
      <c r="I51" s="10">
        <f t="shared" si="12"/>
        <v>1231.9467215247471</v>
      </c>
      <c r="J51" s="10">
        <f t="shared" si="12"/>
        <v>2787.7897500511981</v>
      </c>
      <c r="K51" s="10">
        <f t="shared" si="12"/>
        <v>2790.6985370023776</v>
      </c>
      <c r="L51" s="10">
        <f t="shared" si="12"/>
        <v>2704.8126011770073</v>
      </c>
      <c r="M51" s="10">
        <f t="shared" si="12"/>
        <v>2808.9581004362408</v>
      </c>
      <c r="N51" s="10">
        <f t="shared" si="12"/>
        <v>2750.5219597102973</v>
      </c>
      <c r="O51" s="10">
        <f t="shared" si="12"/>
        <v>2843.1758519025934</v>
      </c>
    </row>
    <row r="52" spans="1:15" hidden="1" x14ac:dyDescent="0.3">
      <c r="A52" s="16" t="s">
        <v>59</v>
      </c>
      <c r="B52" s="16" t="s">
        <v>92</v>
      </c>
      <c r="C52" s="16" t="s">
        <v>66</v>
      </c>
      <c r="D52" s="17">
        <v>21204</v>
      </c>
      <c r="E52" s="17">
        <v>19152</v>
      </c>
      <c r="F52" s="17">
        <v>21204</v>
      </c>
      <c r="G52" s="17">
        <v>360</v>
      </c>
      <c r="H52" s="17">
        <v>372</v>
      </c>
      <c r="I52" s="17">
        <v>360</v>
      </c>
      <c r="J52" s="17">
        <v>372</v>
      </c>
      <c r="K52" s="17">
        <v>372</v>
      </c>
      <c r="L52" s="17">
        <v>360</v>
      </c>
      <c r="M52" s="17">
        <v>372</v>
      </c>
      <c r="N52" s="17">
        <v>360</v>
      </c>
      <c r="O52" s="17">
        <v>372</v>
      </c>
    </row>
    <row r="53" spans="1:15" hidden="1" x14ac:dyDescent="0.3">
      <c r="A53" s="18" t="s">
        <v>59</v>
      </c>
      <c r="B53" s="18" t="s">
        <v>92</v>
      </c>
      <c r="C53" s="18" t="s">
        <v>67</v>
      </c>
      <c r="D53" s="10">
        <f>D52*D55</f>
        <v>4082.581717764172</v>
      </c>
      <c r="E53" s="10">
        <f t="shared" ref="E53:O53" si="13">E52*E55</f>
        <v>3732.2261610181936</v>
      </c>
      <c r="F53" s="10">
        <f t="shared" si="13"/>
        <v>4167.9117993320269</v>
      </c>
      <c r="G53" s="10">
        <f t="shared" si="13"/>
        <v>67.604332585682002</v>
      </c>
      <c r="H53" s="10">
        <f t="shared" si="13"/>
        <v>69.363551641866707</v>
      </c>
      <c r="I53" s="10">
        <f t="shared" si="13"/>
        <v>66.95362616982321</v>
      </c>
      <c r="J53" s="10">
        <f t="shared" si="13"/>
        <v>69.348003732616874</v>
      </c>
      <c r="K53" s="10">
        <f t="shared" si="13"/>
        <v>69.42036161697456</v>
      </c>
      <c r="L53" s="10">
        <f t="shared" si="13"/>
        <v>67.283895551666845</v>
      </c>
      <c r="M53" s="10">
        <f t="shared" si="13"/>
        <v>69.874579612841814</v>
      </c>
      <c r="N53" s="10">
        <f t="shared" si="13"/>
        <v>68.42094427140043</v>
      </c>
      <c r="O53" s="10">
        <f t="shared" si="13"/>
        <v>70.725767460263526</v>
      </c>
    </row>
    <row r="54" spans="1:15" hidden="1" x14ac:dyDescent="0.3">
      <c r="A54" s="16" t="s">
        <v>59</v>
      </c>
      <c r="B54" s="16" t="s">
        <v>92</v>
      </c>
      <c r="C54" s="16" t="s">
        <v>63</v>
      </c>
      <c r="D54" s="17">
        <v>64678.774000000005</v>
      </c>
      <c r="E54" s="17">
        <v>50369.361000000004</v>
      </c>
      <c r="F54" s="17">
        <v>54901.024000000005</v>
      </c>
      <c r="G54" s="17">
        <v>58724.481000000014</v>
      </c>
      <c r="H54" s="17">
        <v>66185.452999999994</v>
      </c>
      <c r="I54" s="17">
        <v>74685.676000000007</v>
      </c>
      <c r="J54" s="17">
        <v>112171.19700000001</v>
      </c>
      <c r="K54" s="17">
        <v>110423.90099999998</v>
      </c>
      <c r="L54" s="17">
        <v>109002.78200000001</v>
      </c>
      <c r="M54" s="17">
        <v>120065.056</v>
      </c>
      <c r="N54" s="17">
        <v>105106.447</v>
      </c>
      <c r="O54" s="17">
        <v>102578.72099999999</v>
      </c>
    </row>
    <row r="55" spans="1:15" hidden="1" x14ac:dyDescent="0.3">
      <c r="A55" s="16" t="s">
        <v>59</v>
      </c>
      <c r="B55" s="16" t="s">
        <v>92</v>
      </c>
      <c r="C55" s="16" t="s">
        <v>64</v>
      </c>
      <c r="D55" s="19">
        <f>(D57-D59)/(SUM(D$57,D$67,D$77,D$87,D$97,D$107)-SUM(D$59,D$69,D$79,D$89,D$99,D$109))</f>
        <v>0.1925382813508853</v>
      </c>
      <c r="E55" s="19">
        <f t="shared" ref="E55:O55" si="14">(E57-E59)/(SUM(E$57,E$67,E$77,E$87,E$97,E$107)-SUM(E$59,E$69,E$79,E$89,E$99,E$109))</f>
        <v>0.19487396413002264</v>
      </c>
      <c r="F55" s="19">
        <f t="shared" si="14"/>
        <v>0.19656252590699996</v>
      </c>
      <c r="G55" s="19">
        <f t="shared" si="14"/>
        <v>0.18778981273800557</v>
      </c>
      <c r="H55" s="19">
        <f t="shared" si="14"/>
        <v>0.18646116032759866</v>
      </c>
      <c r="I55" s="19">
        <f t="shared" si="14"/>
        <v>0.18598229491617557</v>
      </c>
      <c r="J55" s="19">
        <f t="shared" si="14"/>
        <v>0.186419364872626</v>
      </c>
      <c r="K55" s="19">
        <f t="shared" si="14"/>
        <v>0.18661387531444776</v>
      </c>
      <c r="L55" s="19">
        <f t="shared" si="14"/>
        <v>0.18689970986574125</v>
      </c>
      <c r="M55" s="19">
        <f t="shared" si="14"/>
        <v>0.18783489143237045</v>
      </c>
      <c r="N55" s="19">
        <f t="shared" si="14"/>
        <v>0.19005817853166787</v>
      </c>
      <c r="O55" s="19">
        <f t="shared" si="14"/>
        <v>0.19012303080716</v>
      </c>
    </row>
    <row r="56" spans="1:15" x14ac:dyDescent="0.3">
      <c r="A56" s="18" t="s">
        <v>59</v>
      </c>
      <c r="B56" s="18" t="s">
        <v>92</v>
      </c>
      <c r="C56" s="18" t="s">
        <v>38</v>
      </c>
      <c r="D56" s="10">
        <f>D54*D55</f>
        <v>12453.139985842326</v>
      </c>
      <c r="E56" s="10">
        <f t="shared" ref="E56:O56" si="15">E54*E55</f>
        <v>9815.6770487661615</v>
      </c>
      <c r="F56" s="10">
        <f t="shared" si="15"/>
        <v>10791.483952320828</v>
      </c>
      <c r="G56" s="10">
        <f t="shared" si="15"/>
        <v>11027.859290126569</v>
      </c>
      <c r="H56" s="10">
        <f t="shared" si="15"/>
        <v>12341.016363187744</v>
      </c>
      <c r="I56" s="10">
        <f t="shared" si="15"/>
        <v>13890.213419845937</v>
      </c>
      <c r="J56" s="10">
        <f t="shared" si="15"/>
        <v>20910.883301742215</v>
      </c>
      <c r="K56" s="10">
        <f t="shared" si="15"/>
        <v>20606.632092948919</v>
      </c>
      <c r="L56" s="10">
        <f t="shared" si="15"/>
        <v>20372.588330358645</v>
      </c>
      <c r="M56" s="10">
        <f t="shared" si="15"/>
        <v>22552.406758581477</v>
      </c>
      <c r="N56" s="10">
        <f t="shared" si="15"/>
        <v>19976.339868755287</v>
      </c>
      <c r="O56" s="10">
        <f t="shared" si="15"/>
        <v>19502.577332842069</v>
      </c>
    </row>
    <row r="57" spans="1:15" hidden="1" x14ac:dyDescent="0.3">
      <c r="A57" s="16" t="s">
        <v>59</v>
      </c>
      <c r="B57" s="16" t="s">
        <v>92</v>
      </c>
      <c r="C57" s="16" t="s">
        <v>34</v>
      </c>
      <c r="D57" s="20">
        <v>9764.598</v>
      </c>
      <c r="E57" s="20">
        <v>8624.5609999999997</v>
      </c>
      <c r="F57" s="20">
        <v>8402.8639999999996</v>
      </c>
      <c r="G57" s="20">
        <v>9350.527</v>
      </c>
      <c r="H57" s="20">
        <v>11918.011</v>
      </c>
      <c r="I57" s="20">
        <v>13887.663</v>
      </c>
      <c r="J57" s="20">
        <v>15322.29</v>
      </c>
      <c r="K57" s="20">
        <v>15559.156000000001</v>
      </c>
      <c r="L57" s="20">
        <v>14355.063</v>
      </c>
      <c r="M57" s="20">
        <v>13357.151</v>
      </c>
      <c r="N57" s="20">
        <v>11462.7</v>
      </c>
      <c r="O57" s="20">
        <v>10528.342000000001</v>
      </c>
    </row>
    <row r="58" spans="1:15" hidden="1" x14ac:dyDescent="0.3">
      <c r="A58" s="16" t="s">
        <v>59</v>
      </c>
      <c r="B58" s="16" t="s">
        <v>92</v>
      </c>
      <c r="C58" s="16" t="s">
        <v>60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</row>
    <row r="59" spans="1:15" hidden="1" x14ac:dyDescent="0.3">
      <c r="A59" s="18" t="s">
        <v>59</v>
      </c>
      <c r="B59" s="18" t="s">
        <v>92</v>
      </c>
      <c r="C59" s="18" t="s">
        <v>32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</row>
    <row r="60" spans="1:15" hidden="1" x14ac:dyDescent="0.3">
      <c r="A60" s="16" t="s">
        <v>59</v>
      </c>
      <c r="B60" s="16" t="s">
        <v>93</v>
      </c>
      <c r="C60" s="16" t="s">
        <v>65</v>
      </c>
      <c r="D60" s="17">
        <v>38390.400000000001</v>
      </c>
      <c r="E60" s="17">
        <v>24595.200000000001</v>
      </c>
      <c r="F60" s="17">
        <v>27230.400000000001</v>
      </c>
      <c r="G60" s="17">
        <v>31032</v>
      </c>
      <c r="H60" s="17">
        <v>6844.7999999999993</v>
      </c>
      <c r="I60" s="17">
        <v>6624</v>
      </c>
      <c r="J60" s="17">
        <v>14954.4</v>
      </c>
      <c r="K60" s="17">
        <v>14954.4</v>
      </c>
      <c r="L60" s="17">
        <v>14472</v>
      </c>
      <c r="M60" s="17">
        <v>14954.4</v>
      </c>
      <c r="N60" s="17">
        <v>14472</v>
      </c>
      <c r="O60" s="17">
        <v>14954.4</v>
      </c>
    </row>
    <row r="61" spans="1:15" hidden="1" x14ac:dyDescent="0.3">
      <c r="A61" s="18" t="s">
        <v>59</v>
      </c>
      <c r="B61" s="18" t="s">
        <v>93</v>
      </c>
      <c r="C61" s="18" t="s">
        <v>40</v>
      </c>
      <c r="D61" s="10">
        <f>D60*D65</f>
        <v>2873.4231490227298</v>
      </c>
      <c r="E61" s="10">
        <f t="shared" ref="E61" si="16">E60*E65</f>
        <v>1667.9451315708591</v>
      </c>
      <c r="F61" s="10">
        <f t="shared" ref="F61" si="17">F60*F65</f>
        <v>1717.6955446327245</v>
      </c>
      <c r="G61" s="10">
        <f t="shared" ref="G61" si="18">G60*G65</f>
        <v>2524.2131170838975</v>
      </c>
      <c r="H61" s="10">
        <f t="shared" ref="H61" si="19">H60*H65</f>
        <v>561.67590674720702</v>
      </c>
      <c r="I61" s="10">
        <f t="shared" ref="I61" si="20">I60*I65</f>
        <v>543.5554351500482</v>
      </c>
      <c r="J61" s="10">
        <f t="shared" ref="J61" si="21">J60*J65</f>
        <v>1231.681281283888</v>
      </c>
      <c r="K61" s="10">
        <f t="shared" ref="K61" si="22">K60*K65</f>
        <v>1236.4779487607336</v>
      </c>
      <c r="L61" s="10">
        <f t="shared" ref="L61" si="23">L60*L65</f>
        <v>1207.5816825516356</v>
      </c>
      <c r="M61" s="10">
        <f t="shared" ref="M61" si="24">M60*M65</f>
        <v>1254.2784759555932</v>
      </c>
      <c r="N61" s="10">
        <f t="shared" ref="N61" si="25">N60*N65</f>
        <v>1215.6960472205171</v>
      </c>
      <c r="O61" s="10">
        <f t="shared" ref="O61" si="26">O60*O65</f>
        <v>1252.1743379505033</v>
      </c>
    </row>
    <row r="62" spans="1:15" hidden="1" x14ac:dyDescent="0.3">
      <c r="A62" s="16" t="s">
        <v>59</v>
      </c>
      <c r="B62" s="16" t="s">
        <v>93</v>
      </c>
      <c r="C62" s="16" t="s">
        <v>66</v>
      </c>
      <c r="D62" s="17">
        <v>21204</v>
      </c>
      <c r="E62" s="17">
        <v>19152</v>
      </c>
      <c r="F62" s="17">
        <v>21204</v>
      </c>
      <c r="G62" s="17">
        <v>360</v>
      </c>
      <c r="H62" s="17">
        <v>372</v>
      </c>
      <c r="I62" s="17">
        <v>360</v>
      </c>
      <c r="J62" s="17">
        <v>372</v>
      </c>
      <c r="K62" s="17">
        <v>372</v>
      </c>
      <c r="L62" s="17">
        <v>360</v>
      </c>
      <c r="M62" s="17">
        <v>372</v>
      </c>
      <c r="N62" s="17">
        <v>360</v>
      </c>
      <c r="O62" s="17">
        <v>372</v>
      </c>
    </row>
    <row r="63" spans="1:15" hidden="1" x14ac:dyDescent="0.3">
      <c r="A63" s="18" t="s">
        <v>59</v>
      </c>
      <c r="B63" s="18" t="s">
        <v>93</v>
      </c>
      <c r="C63" s="18" t="s">
        <v>67</v>
      </c>
      <c r="D63" s="10">
        <f>D62*D65</f>
        <v>1587.0651113788333</v>
      </c>
      <c r="E63" s="10">
        <f t="shared" ref="E63" si="27">E62*E65</f>
        <v>1298.8097336002591</v>
      </c>
      <c r="F63" s="10">
        <f t="shared" ref="F63" si="28">F62*F65</f>
        <v>1337.5498093451542</v>
      </c>
      <c r="G63" s="10">
        <f t="shared" ref="G63" si="29">G62*G65</f>
        <v>29.283214815358438</v>
      </c>
      <c r="H63" s="10">
        <f t="shared" ref="H63" si="30">H62*H65</f>
        <v>30.525864497130822</v>
      </c>
      <c r="I63" s="10">
        <f t="shared" ref="I63" si="31">I62*I65</f>
        <v>29.541056258154793</v>
      </c>
      <c r="J63" s="10">
        <f t="shared" ref="J63" si="32">J62*J65</f>
        <v>30.638837842882786</v>
      </c>
      <c r="K63" s="10">
        <f t="shared" ref="K63" si="33">K62*K65</f>
        <v>30.758157929371482</v>
      </c>
      <c r="L63" s="10">
        <f t="shared" ref="L63" si="34">L62*L65</f>
        <v>30.03934533710536</v>
      </c>
      <c r="M63" s="10">
        <f t="shared" ref="M63" si="35">M62*M65</f>
        <v>31.200957113323216</v>
      </c>
      <c r="N63" s="10">
        <f t="shared" ref="N63" si="36">N62*N65</f>
        <v>30.241195204490474</v>
      </c>
      <c r="O63" s="10">
        <f t="shared" ref="O63" si="37">O62*O65</f>
        <v>31.148615371903066</v>
      </c>
    </row>
    <row r="64" spans="1:15" hidden="1" x14ac:dyDescent="0.3">
      <c r="A64" s="16" t="s">
        <v>59</v>
      </c>
      <c r="B64" s="16" t="s">
        <v>93</v>
      </c>
      <c r="C64" s="16" t="s">
        <v>63</v>
      </c>
      <c r="D64" s="17">
        <v>64678.774000000005</v>
      </c>
      <c r="E64" s="17">
        <v>50369.361000000004</v>
      </c>
      <c r="F64" s="17">
        <v>54901.024000000005</v>
      </c>
      <c r="G64" s="17">
        <v>58724.481000000014</v>
      </c>
      <c r="H64" s="17">
        <v>66185.452999999994</v>
      </c>
      <c r="I64" s="17">
        <v>74685.676000000007</v>
      </c>
      <c r="J64" s="17">
        <v>112171.19700000001</v>
      </c>
      <c r="K64" s="17">
        <v>110423.90099999998</v>
      </c>
      <c r="L64" s="17">
        <v>109002.78200000001</v>
      </c>
      <c r="M64" s="17">
        <v>120065.056</v>
      </c>
      <c r="N64" s="17">
        <v>105106.447</v>
      </c>
      <c r="O64" s="17">
        <v>102578.72099999999</v>
      </c>
    </row>
    <row r="65" spans="1:15" hidden="1" x14ac:dyDescent="0.3">
      <c r="A65" s="16" t="s">
        <v>59</v>
      </c>
      <c r="B65" s="16" t="s">
        <v>93</v>
      </c>
      <c r="C65" s="16" t="s">
        <v>64</v>
      </c>
      <c r="D65" s="19">
        <f>(D67-D69)/(SUM(D$57,D$67,D$77,D$87,D$97,D$107)-SUM(D$59,D$69,D$79,D$89,D$99,D$109))</f>
        <v>7.4847439699058355E-2</v>
      </c>
      <c r="E65" s="19">
        <f t="shared" ref="E65:O65" si="38">(E67-E69)/(SUM(E$57,E$67,E$77,E$87,E$97,E$107)-SUM(E$59,E$69,E$79,E$89,E$99,E$109))</f>
        <v>6.7815879991659306E-2</v>
      </c>
      <c r="F65" s="19">
        <f t="shared" si="38"/>
        <v>6.3080070238877295E-2</v>
      </c>
      <c r="G65" s="19">
        <f t="shared" si="38"/>
        <v>8.1342263375995663E-2</v>
      </c>
      <c r="H65" s="19">
        <f t="shared" si="38"/>
        <v>8.2058775529921565E-2</v>
      </c>
      <c r="I65" s="19">
        <f t="shared" si="38"/>
        <v>8.2058489605985538E-2</v>
      </c>
      <c r="J65" s="19">
        <f t="shared" si="38"/>
        <v>8.2362467319577387E-2</v>
      </c>
      <c r="K65" s="19">
        <f t="shared" si="38"/>
        <v>8.2683220240245922E-2</v>
      </c>
      <c r="L65" s="19">
        <f t="shared" si="38"/>
        <v>8.344262593640378E-2</v>
      </c>
      <c r="M65" s="19">
        <f t="shared" si="38"/>
        <v>8.3873540627212945E-2</v>
      </c>
      <c r="N65" s="19">
        <f t="shared" si="38"/>
        <v>8.4003320012473542E-2</v>
      </c>
      <c r="O65" s="19">
        <f t="shared" si="38"/>
        <v>8.3732837021244802E-2</v>
      </c>
    </row>
    <row r="66" spans="1:15" x14ac:dyDescent="0.3">
      <c r="A66" s="18" t="s">
        <v>59</v>
      </c>
      <c r="B66" s="18" t="s">
        <v>93</v>
      </c>
      <c r="C66" s="18" t="s">
        <v>38</v>
      </c>
      <c r="D66" s="10">
        <f>D64*D65</f>
        <v>4841.0406367740234</v>
      </c>
      <c r="E66" s="10">
        <f t="shared" ref="E66" si="39">E64*E65</f>
        <v>3415.8425408325647</v>
      </c>
      <c r="F66" s="10">
        <f t="shared" ref="F66" si="40">F64*F65</f>
        <v>3463.1604501062884</v>
      </c>
      <c r="G66" s="10">
        <f t="shared" ref="G66" si="41">G64*G65</f>
        <v>4776.7822001206541</v>
      </c>
      <c r="H66" s="10">
        <f t="shared" ref="H66" si="42">H64*H65</f>
        <v>5431.0972310731731</v>
      </c>
      <c r="I66" s="10">
        <f t="shared" ref="I66" si="43">I64*I65</f>
        <v>6128.5937677620041</v>
      </c>
      <c r="J66" s="10">
        <f t="shared" ref="J66" si="44">J64*J65</f>
        <v>9238.6965471103777</v>
      </c>
      <c r="K66" s="10">
        <f t="shared" ref="K66" si="45">K64*K65</f>
        <v>9130.2037261701098</v>
      </c>
      <c r="L66" s="10">
        <f t="shared" ref="L66" si="46">L64*L65</f>
        <v>9095.4783644533672</v>
      </c>
      <c r="M66" s="10">
        <f t="shared" ref="M66" si="47">M64*M65</f>
        <v>10070.281352324597</v>
      </c>
      <c r="N66" s="10">
        <f t="shared" ref="N66" si="48">N64*N65</f>
        <v>8829.29050271509</v>
      </c>
      <c r="O66" s="10">
        <f t="shared" ref="O66" si="49">O64*O65</f>
        <v>8589.2073273407404</v>
      </c>
    </row>
    <row r="67" spans="1:15" hidden="1" x14ac:dyDescent="0.3">
      <c r="A67" s="16" t="s">
        <v>59</v>
      </c>
      <c r="B67" s="16" t="s">
        <v>93</v>
      </c>
      <c r="C67" s="16" t="s">
        <v>34</v>
      </c>
      <c r="D67" s="20">
        <v>13241.768</v>
      </c>
      <c r="E67" s="20">
        <v>11561.419</v>
      </c>
      <c r="F67" s="20">
        <v>11152.584000000001</v>
      </c>
      <c r="G67" s="20">
        <v>12656.986999999999</v>
      </c>
      <c r="H67" s="20">
        <v>16390.434000000001</v>
      </c>
      <c r="I67" s="20">
        <v>19148.339</v>
      </c>
      <c r="J67" s="20">
        <v>21154.951000000001</v>
      </c>
      <c r="K67" s="20">
        <v>21543.165000000001</v>
      </c>
      <c r="L67" s="20">
        <v>20027.856</v>
      </c>
      <c r="M67" s="20">
        <v>18638.569</v>
      </c>
      <c r="N67" s="20">
        <v>15832.403</v>
      </c>
      <c r="O67" s="20">
        <v>14490.09</v>
      </c>
    </row>
    <row r="68" spans="1:15" hidden="1" x14ac:dyDescent="0.3">
      <c r="A68" s="16" t="s">
        <v>59</v>
      </c>
      <c r="B68" s="16" t="s">
        <v>93</v>
      </c>
      <c r="C68" s="16" t="s">
        <v>60</v>
      </c>
      <c r="D68" s="17">
        <v>16556.400000000001</v>
      </c>
      <c r="E68" s="17">
        <v>14870.1</v>
      </c>
      <c r="F68" s="17">
        <v>14519.7</v>
      </c>
      <c r="G68" s="17">
        <v>14037.9</v>
      </c>
      <c r="H68" s="17">
        <v>17629.5</v>
      </c>
      <c r="I68" s="17">
        <v>19447.2</v>
      </c>
      <c r="J68" s="17">
        <v>21549.599999999999</v>
      </c>
      <c r="K68" s="17">
        <v>22973.1</v>
      </c>
      <c r="L68" s="17">
        <v>21243</v>
      </c>
      <c r="M68" s="17">
        <v>21418.2</v>
      </c>
      <c r="N68" s="17">
        <v>17607.599999999999</v>
      </c>
      <c r="O68" s="17">
        <v>17147.7</v>
      </c>
    </row>
    <row r="69" spans="1:15" hidden="1" x14ac:dyDescent="0.3">
      <c r="A69" s="18" t="s">
        <v>59</v>
      </c>
      <c r="B69" s="18" t="s">
        <v>93</v>
      </c>
      <c r="C69" s="18" t="s">
        <v>32</v>
      </c>
      <c r="D69" s="10">
        <f>MIN(MAX((1-10%)*D68,SUM(D$67,D$87)*68%),(1+10%)*D68)*(D67/SUM(D$67,D$87))</f>
        <v>9445.8726857657257</v>
      </c>
      <c r="E69" s="10">
        <f t="shared" ref="E69:O69" si="50">MIN(MAX((1-10%)*E68,SUM(E$67,E$87)*68%),(1+10%)*E68)*(E67/SUM(E$67,E$87))</f>
        <v>8560.0832578558948</v>
      </c>
      <c r="F69" s="10">
        <f t="shared" si="50"/>
        <v>8455.9700402337403</v>
      </c>
      <c r="G69" s="10">
        <f t="shared" si="50"/>
        <v>8606.7511599999998</v>
      </c>
      <c r="H69" s="10">
        <f t="shared" si="50"/>
        <v>11145.49512</v>
      </c>
      <c r="I69" s="10">
        <f t="shared" si="50"/>
        <v>13020.87052</v>
      </c>
      <c r="J69" s="10">
        <f t="shared" si="50"/>
        <v>14385.366680000003</v>
      </c>
      <c r="K69" s="10">
        <f t="shared" si="50"/>
        <v>14649.352200000001</v>
      </c>
      <c r="L69" s="10">
        <f t="shared" si="50"/>
        <v>13618.942080000001</v>
      </c>
      <c r="M69" s="10">
        <f t="shared" si="50"/>
        <v>12674.226920000003</v>
      </c>
      <c r="N69" s="10">
        <f t="shared" si="50"/>
        <v>10766.03404</v>
      </c>
      <c r="O69" s="10">
        <f t="shared" si="50"/>
        <v>9853.2612000000008</v>
      </c>
    </row>
    <row r="70" spans="1:15" hidden="1" x14ac:dyDescent="0.3">
      <c r="A70" s="16" t="s">
        <v>59</v>
      </c>
      <c r="B70" s="16" t="s">
        <v>94</v>
      </c>
      <c r="C70" s="16" t="s">
        <v>65</v>
      </c>
      <c r="D70" s="17">
        <v>38390.400000000001</v>
      </c>
      <c r="E70" s="17">
        <v>24595.200000000001</v>
      </c>
      <c r="F70" s="17">
        <v>27230.400000000001</v>
      </c>
      <c r="G70" s="17">
        <v>31032</v>
      </c>
      <c r="H70" s="17">
        <v>6844.7999999999993</v>
      </c>
      <c r="I70" s="17">
        <v>6624</v>
      </c>
      <c r="J70" s="17">
        <v>14954.4</v>
      </c>
      <c r="K70" s="17">
        <v>14954.4</v>
      </c>
      <c r="L70" s="17">
        <v>14472</v>
      </c>
      <c r="M70" s="17">
        <v>14954.4</v>
      </c>
      <c r="N70" s="17">
        <v>14472</v>
      </c>
      <c r="O70" s="17">
        <v>14954.4</v>
      </c>
    </row>
    <row r="71" spans="1:15" hidden="1" x14ac:dyDescent="0.3">
      <c r="A71" s="18" t="s">
        <v>59</v>
      </c>
      <c r="B71" s="18" t="s">
        <v>94</v>
      </c>
      <c r="C71" s="18" t="s">
        <v>40</v>
      </c>
      <c r="D71" s="10">
        <f>D70*D75</f>
        <v>8936.0799694623493</v>
      </c>
      <c r="E71" s="10">
        <f t="shared" ref="E71" si="51">E70*E75</f>
        <v>5803.3523814912232</v>
      </c>
      <c r="F71" s="10">
        <f t="shared" ref="F71" si="52">F70*F75</f>
        <v>6486.3545044354651</v>
      </c>
      <c r="G71" s="10">
        <f t="shared" ref="G71" si="53">G70*G75</f>
        <v>7374.3109980034551</v>
      </c>
      <c r="H71" s="10">
        <f t="shared" ref="H71" si="54">H70*H75</f>
        <v>1641.5321191815681</v>
      </c>
      <c r="I71" s="10">
        <f t="shared" ref="I71" si="55">I70*I75</f>
        <v>1588.5100101257869</v>
      </c>
      <c r="J71" s="10">
        <f t="shared" ref="J71" si="56">J70*J75</f>
        <v>3564.0353140690722</v>
      </c>
      <c r="K71" s="10">
        <f t="shared" ref="K71" si="57">K70*K75</f>
        <v>3525.0183220628842</v>
      </c>
      <c r="L71" s="10">
        <f t="shared" ref="L71" si="58">L70*L75</f>
        <v>3379.2760963723222</v>
      </c>
      <c r="M71" s="10">
        <f t="shared" ref="M71" si="59">M70*M75</f>
        <v>3459.012676046435</v>
      </c>
      <c r="N71" s="10">
        <f t="shared" ref="N71" si="60">N70*N75</f>
        <v>3288.2586369911173</v>
      </c>
      <c r="O71" s="10">
        <f t="shared" ref="O71" si="61">O70*O75</f>
        <v>3403.035918529637</v>
      </c>
    </row>
    <row r="72" spans="1:15" hidden="1" x14ac:dyDescent="0.3">
      <c r="A72" s="16" t="s">
        <v>59</v>
      </c>
      <c r="B72" s="16" t="s">
        <v>94</v>
      </c>
      <c r="C72" s="16" t="s">
        <v>66</v>
      </c>
      <c r="D72" s="17">
        <v>21204</v>
      </c>
      <c r="E72" s="17">
        <v>19152</v>
      </c>
      <c r="F72" s="17">
        <v>21204</v>
      </c>
      <c r="G72" s="17">
        <v>360</v>
      </c>
      <c r="H72" s="17">
        <v>372</v>
      </c>
      <c r="I72" s="17">
        <v>360</v>
      </c>
      <c r="J72" s="17">
        <v>372</v>
      </c>
      <c r="K72" s="17">
        <v>372</v>
      </c>
      <c r="L72" s="17">
        <v>360</v>
      </c>
      <c r="M72" s="17">
        <v>372</v>
      </c>
      <c r="N72" s="17">
        <v>360</v>
      </c>
      <c r="O72" s="17">
        <v>372</v>
      </c>
    </row>
    <row r="73" spans="1:15" hidden="1" x14ac:dyDescent="0.3">
      <c r="A73" s="18" t="s">
        <v>59</v>
      </c>
      <c r="B73" s="18" t="s">
        <v>94</v>
      </c>
      <c r="C73" s="18" t="s">
        <v>67</v>
      </c>
      <c r="D73" s="10">
        <f>D72*D75</f>
        <v>4935.6255645286228</v>
      </c>
      <c r="E73" s="10">
        <f t="shared" ref="E73" si="62">E72*E75</f>
        <v>4519.0039036202152</v>
      </c>
      <c r="F73" s="10">
        <f t="shared" ref="F73" si="63">F72*F75</f>
        <v>5050.8498190276159</v>
      </c>
      <c r="G73" s="10">
        <f t="shared" ref="G73" si="64">G72*G75</f>
        <v>85.548851484958874</v>
      </c>
      <c r="H73" s="10">
        <f t="shared" ref="H73" si="65">H72*H75</f>
        <v>89.213702129433059</v>
      </c>
      <c r="I73" s="10">
        <f t="shared" ref="I73" si="66">I72*I75</f>
        <v>86.332065767705814</v>
      </c>
      <c r="J73" s="10">
        <f t="shared" ref="J73" si="67">J72*J75</f>
        <v>88.657594877340117</v>
      </c>
      <c r="K73" s="10">
        <f t="shared" ref="K73" si="68">K72*K75</f>
        <v>87.687022936887672</v>
      </c>
      <c r="L73" s="10">
        <f t="shared" ref="L73" si="69">L72*L75</f>
        <v>84.061594437122437</v>
      </c>
      <c r="M73" s="10">
        <f t="shared" ref="M73" si="70">M72*M75</f>
        <v>86.045091443941175</v>
      </c>
      <c r="N73" s="10">
        <f t="shared" ref="N73" si="71">N72*N75</f>
        <v>81.797478532117353</v>
      </c>
      <c r="O73" s="10">
        <f t="shared" ref="O73" si="72">O72*O75</f>
        <v>84.652634789294453</v>
      </c>
    </row>
    <row r="74" spans="1:15" hidden="1" x14ac:dyDescent="0.3">
      <c r="A74" s="16" t="s">
        <v>59</v>
      </c>
      <c r="B74" s="16" t="s">
        <v>94</v>
      </c>
      <c r="C74" s="16" t="s">
        <v>63</v>
      </c>
      <c r="D74" s="17">
        <v>64678.774000000005</v>
      </c>
      <c r="E74" s="17">
        <v>50369.361000000004</v>
      </c>
      <c r="F74" s="17">
        <v>54901.024000000005</v>
      </c>
      <c r="G74" s="17">
        <v>58724.481000000014</v>
      </c>
      <c r="H74" s="17">
        <v>66185.452999999994</v>
      </c>
      <c r="I74" s="17">
        <v>74685.676000000007</v>
      </c>
      <c r="J74" s="17">
        <v>112171.19700000001</v>
      </c>
      <c r="K74" s="17">
        <v>110423.90099999998</v>
      </c>
      <c r="L74" s="17">
        <v>109002.78200000001</v>
      </c>
      <c r="M74" s="17">
        <v>120065.056</v>
      </c>
      <c r="N74" s="17">
        <v>105106.447</v>
      </c>
      <c r="O74" s="17">
        <v>102578.72099999999</v>
      </c>
    </row>
    <row r="75" spans="1:15" hidden="1" x14ac:dyDescent="0.3">
      <c r="A75" s="16" t="s">
        <v>59</v>
      </c>
      <c r="B75" s="16" t="s">
        <v>94</v>
      </c>
      <c r="C75" s="16" t="s">
        <v>64</v>
      </c>
      <c r="D75" s="19">
        <f>(D77-D79)/(SUM(D$57,D$67,D$77,D$87,D$97,D$107)-SUM(D$59,D$69,D$79,D$89,D$99,D$109))</f>
        <v>0.2327686080234212</v>
      </c>
      <c r="E75" s="19">
        <f t="shared" ref="E75:O75" si="73">(E77-E79)/(SUM(E$57,E$67,E$77,E$87,E$97,E$107)-SUM(E$59,E$69,E$79,E$89,E$99,E$109))</f>
        <v>0.23595467333021172</v>
      </c>
      <c r="F75" s="19">
        <f t="shared" si="73"/>
        <v>0.23820268906940276</v>
      </c>
      <c r="G75" s="19">
        <f t="shared" si="73"/>
        <v>0.2376356985693302</v>
      </c>
      <c r="H75" s="19">
        <f t="shared" si="73"/>
        <v>0.2398217799178308</v>
      </c>
      <c r="I75" s="19">
        <f t="shared" si="73"/>
        <v>0.23981129379918281</v>
      </c>
      <c r="J75" s="19">
        <f t="shared" si="73"/>
        <v>0.23832686794983901</v>
      </c>
      <c r="K75" s="19">
        <f t="shared" si="73"/>
        <v>0.23571780359378405</v>
      </c>
      <c r="L75" s="19">
        <f t="shared" si="73"/>
        <v>0.23350442899200677</v>
      </c>
      <c r="M75" s="19">
        <f t="shared" si="73"/>
        <v>0.23130400925790637</v>
      </c>
      <c r="N75" s="19">
        <f t="shared" si="73"/>
        <v>0.22721521814477041</v>
      </c>
      <c r="O75" s="19">
        <f t="shared" si="73"/>
        <v>0.2275608462077808</v>
      </c>
    </row>
    <row r="76" spans="1:15" x14ac:dyDescent="0.3">
      <c r="A76" s="18" t="s">
        <v>59</v>
      </c>
      <c r="B76" s="18" t="s">
        <v>94</v>
      </c>
      <c r="C76" s="18" t="s">
        <v>38</v>
      </c>
      <c r="D76" s="10">
        <f>D74*D75</f>
        <v>15055.188192641448</v>
      </c>
      <c r="E76" s="10">
        <f t="shared" ref="E76" si="74">E74*E75</f>
        <v>11884.886120606507</v>
      </c>
      <c r="F76" s="10">
        <f t="shared" ref="F76" si="75">F74*F75</f>
        <v>13077.571549463819</v>
      </c>
      <c r="G76" s="10">
        <f t="shared" ref="G76" si="76">G74*G75</f>
        <v>13955.033065556361</v>
      </c>
      <c r="H76" s="10">
        <f t="shared" ref="H76" si="77">H74*H75</f>
        <v>15872.713143127932</v>
      </c>
      <c r="I76" s="10">
        <f t="shared" ref="I76" si="78">I74*I75</f>
        <v>17910.468589826578</v>
      </c>
      <c r="J76" s="10">
        <f t="shared" ref="J76" si="79">J74*J75</f>
        <v>26733.410055194381</v>
      </c>
      <c r="K76" s="10">
        <f t="shared" ref="K76" si="80">K74*K75</f>
        <v>26028.879407977449</v>
      </c>
      <c r="L76" s="10">
        <f t="shared" ref="L76" si="81">L74*L75</f>
        <v>25452.632369450195</v>
      </c>
      <c r="M76" s="10">
        <f t="shared" ref="M76" si="82">M74*M75</f>
        <v>27771.528824575045</v>
      </c>
      <c r="N76" s="10">
        <f t="shared" ref="N76" si="83">N74*N75</f>
        <v>23881.784283526751</v>
      </c>
      <c r="O76" s="10">
        <f t="shared" ref="O76" si="84">O74*O75</f>
        <v>23342.900553671854</v>
      </c>
    </row>
    <row r="77" spans="1:15" hidden="1" x14ac:dyDescent="0.3">
      <c r="A77" s="16" t="s">
        <v>59</v>
      </c>
      <c r="B77" s="16" t="s">
        <v>94</v>
      </c>
      <c r="C77" s="16" t="s">
        <v>34</v>
      </c>
      <c r="D77" s="20">
        <v>11804.883</v>
      </c>
      <c r="E77" s="20">
        <v>10442.674999999999</v>
      </c>
      <c r="F77" s="20">
        <v>10182.941999999999</v>
      </c>
      <c r="G77" s="20">
        <v>11832.478999999999</v>
      </c>
      <c r="H77" s="20">
        <v>15328.654</v>
      </c>
      <c r="I77" s="20">
        <v>17907.18</v>
      </c>
      <c r="J77" s="20">
        <v>19588.702000000001</v>
      </c>
      <c r="K77" s="20">
        <v>19653.255000000001</v>
      </c>
      <c r="L77" s="20">
        <v>17934.596000000001</v>
      </c>
      <c r="M77" s="20">
        <v>16448.289000000001</v>
      </c>
      <c r="N77" s="20">
        <v>13703.698</v>
      </c>
      <c r="O77" s="20">
        <v>12601.516</v>
      </c>
    </row>
    <row r="78" spans="1:15" hidden="1" x14ac:dyDescent="0.3">
      <c r="A78" s="16" t="s">
        <v>59</v>
      </c>
      <c r="B78" s="16" t="s">
        <v>94</v>
      </c>
      <c r="C78" s="16" t="s">
        <v>60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</row>
    <row r="79" spans="1:15" hidden="1" x14ac:dyDescent="0.3">
      <c r="A79" s="18" t="s">
        <v>59</v>
      </c>
      <c r="B79" s="18" t="s">
        <v>94</v>
      </c>
      <c r="C79" s="18" t="s">
        <v>32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</row>
    <row r="80" spans="1:15" hidden="1" x14ac:dyDescent="0.3">
      <c r="A80" s="16" t="s">
        <v>59</v>
      </c>
      <c r="B80" s="16" t="s">
        <v>95</v>
      </c>
      <c r="C80" s="16" t="s">
        <v>65</v>
      </c>
      <c r="D80" s="17">
        <v>38390.400000000001</v>
      </c>
      <c r="E80" s="17">
        <v>24595.200000000001</v>
      </c>
      <c r="F80" s="17">
        <v>27230.400000000001</v>
      </c>
      <c r="G80" s="17">
        <v>31032</v>
      </c>
      <c r="H80" s="17">
        <v>6844.7999999999993</v>
      </c>
      <c r="I80" s="17">
        <v>6624</v>
      </c>
      <c r="J80" s="17">
        <v>14954.4</v>
      </c>
      <c r="K80" s="17">
        <v>14954.4</v>
      </c>
      <c r="L80" s="17">
        <v>14472</v>
      </c>
      <c r="M80" s="17">
        <v>14954.4</v>
      </c>
      <c r="N80" s="17">
        <v>14472</v>
      </c>
      <c r="O80" s="17">
        <v>14954.4</v>
      </c>
    </row>
    <row r="81" spans="1:15" hidden="1" x14ac:dyDescent="0.3">
      <c r="A81" s="18" t="s">
        <v>59</v>
      </c>
      <c r="B81" s="18" t="s">
        <v>95</v>
      </c>
      <c r="C81" s="18" t="s">
        <v>40</v>
      </c>
      <c r="D81" s="10">
        <f>D80*D85</f>
        <v>1659.3701826673057</v>
      </c>
      <c r="E81" s="10">
        <f t="shared" ref="E81" si="85">E80*E85</f>
        <v>939.77013689790328</v>
      </c>
      <c r="F81" s="10">
        <f t="shared" ref="F81" si="86">F80*F85</f>
        <v>936.80553480143601</v>
      </c>
      <c r="G81" s="10">
        <f t="shared" ref="G81" si="87">G80*G85</f>
        <v>1364.9132555157887</v>
      </c>
      <c r="H81" s="10">
        <f t="shared" ref="H81" si="88">H80*H85</f>
        <v>312.32996886451326</v>
      </c>
      <c r="I81" s="10">
        <f t="shared" ref="I81" si="89">I80*I85</f>
        <v>321.66949188038177</v>
      </c>
      <c r="J81" s="10">
        <f t="shared" ref="J81" si="90">J80*J85</f>
        <v>756.96582100700368</v>
      </c>
      <c r="K81" s="10">
        <f t="shared" ref="K81" si="91">K80*K85</f>
        <v>794.41225786334974</v>
      </c>
      <c r="L81" s="10">
        <f t="shared" ref="L81" si="92">L80*L85</f>
        <v>781.00303908348837</v>
      </c>
      <c r="M81" s="10">
        <f t="shared" ref="M81" si="93">M80*M85</f>
        <v>794.36674270792969</v>
      </c>
      <c r="N81" s="10">
        <f t="shared" ref="N81" si="94">N80*N85</f>
        <v>744.43854052666143</v>
      </c>
      <c r="O81" s="10">
        <f t="shared" ref="O81" si="95">O80*O85</f>
        <v>746.1437581077264</v>
      </c>
    </row>
    <row r="82" spans="1:15" hidden="1" x14ac:dyDescent="0.3">
      <c r="A82" s="16" t="s">
        <v>59</v>
      </c>
      <c r="B82" s="16" t="s">
        <v>95</v>
      </c>
      <c r="C82" s="16" t="s">
        <v>66</v>
      </c>
      <c r="D82" s="17">
        <v>21204</v>
      </c>
      <c r="E82" s="17">
        <v>19152</v>
      </c>
      <c r="F82" s="17">
        <v>21204</v>
      </c>
      <c r="G82" s="17">
        <v>360</v>
      </c>
      <c r="H82" s="17">
        <v>372</v>
      </c>
      <c r="I82" s="17">
        <v>360</v>
      </c>
      <c r="J82" s="17">
        <v>372</v>
      </c>
      <c r="K82" s="17">
        <v>372</v>
      </c>
      <c r="L82" s="17">
        <v>360</v>
      </c>
      <c r="M82" s="17">
        <v>372</v>
      </c>
      <c r="N82" s="17">
        <v>360</v>
      </c>
      <c r="O82" s="17">
        <v>372</v>
      </c>
    </row>
    <row r="83" spans="1:15" hidden="1" x14ac:dyDescent="0.3">
      <c r="A83" s="18" t="s">
        <v>59</v>
      </c>
      <c r="B83" s="18" t="s">
        <v>95</v>
      </c>
      <c r="C83" s="18" t="s">
        <v>67</v>
      </c>
      <c r="D83" s="10">
        <f>D82*D85</f>
        <v>916.51260089182585</v>
      </c>
      <c r="E83" s="10">
        <f t="shared" ref="E83" si="96">E82*E85</f>
        <v>731.78822135492464</v>
      </c>
      <c r="F83" s="10">
        <f t="shared" ref="F83" si="97">F82*F85</f>
        <v>729.47971972242965</v>
      </c>
      <c r="G83" s="10">
        <f t="shared" ref="G83" si="98">G82*G85</f>
        <v>15.834260504823535</v>
      </c>
      <c r="H83" s="10">
        <f t="shared" ref="H83" si="99">H82*H85</f>
        <v>16.974454829593114</v>
      </c>
      <c r="I83" s="10">
        <f t="shared" ref="I83" si="100">I82*I85</f>
        <v>17.482037602194662</v>
      </c>
      <c r="J83" s="10">
        <f t="shared" ref="J83" si="101">J82*J85</f>
        <v>18.829995547437903</v>
      </c>
      <c r="K83" s="10">
        <f t="shared" ref="K83" si="102">K82*K85</f>
        <v>19.76149895182462</v>
      </c>
      <c r="L83" s="10">
        <f t="shared" ref="L83" si="103">L82*L85</f>
        <v>19.427936295609165</v>
      </c>
      <c r="M83" s="10">
        <f t="shared" ref="M83" si="104">M82*M85</f>
        <v>19.760366734028104</v>
      </c>
      <c r="N83" s="10">
        <f t="shared" ref="N83" si="105">N82*N85</f>
        <v>18.518371654892075</v>
      </c>
      <c r="O83" s="10">
        <f t="shared" ref="O83" si="106">O82*O85</f>
        <v>18.560790002679763</v>
      </c>
    </row>
    <row r="84" spans="1:15" hidden="1" x14ac:dyDescent="0.3">
      <c r="A84" s="16" t="s">
        <v>59</v>
      </c>
      <c r="B84" s="16" t="s">
        <v>95</v>
      </c>
      <c r="C84" s="16" t="s">
        <v>63</v>
      </c>
      <c r="D84" s="17">
        <v>64678.774000000005</v>
      </c>
      <c r="E84" s="17">
        <v>50369.361000000004</v>
      </c>
      <c r="F84" s="17">
        <v>54901.024000000005</v>
      </c>
      <c r="G84" s="17">
        <v>58724.481000000014</v>
      </c>
      <c r="H84" s="17">
        <v>66185.452999999994</v>
      </c>
      <c r="I84" s="17">
        <v>74685.676000000007</v>
      </c>
      <c r="J84" s="17">
        <v>112171.19700000001</v>
      </c>
      <c r="K84" s="17">
        <v>110423.90099999998</v>
      </c>
      <c r="L84" s="17">
        <v>109002.78200000001</v>
      </c>
      <c r="M84" s="17">
        <v>120065.056</v>
      </c>
      <c r="N84" s="17">
        <v>105106.447</v>
      </c>
      <c r="O84" s="17">
        <v>102578.72099999999</v>
      </c>
    </row>
    <row r="85" spans="1:15" hidden="1" x14ac:dyDescent="0.3">
      <c r="A85" s="16" t="s">
        <v>59</v>
      </c>
      <c r="B85" s="16" t="s">
        <v>95</v>
      </c>
      <c r="C85" s="16" t="s">
        <v>64</v>
      </c>
      <c r="D85" s="19">
        <f>(D87-D89)/(SUM(D$57,D$67,D$77,D$87,D$97,D$107)-SUM(D$59,D$69,D$79,D$89,D$99,D$109))</f>
        <v>4.3223571066394351E-2</v>
      </c>
      <c r="E85" s="19">
        <f t="shared" ref="E85:O85" si="107">(E87-E89)/(SUM(E$57,E$67,E$77,E$87,E$97,E$107)-SUM(E$59,E$69,E$79,E$89,E$99,E$109))</f>
        <v>3.8209493596226225E-2</v>
      </c>
      <c r="F85" s="19">
        <f t="shared" si="107"/>
        <v>3.4402929622827282E-2</v>
      </c>
      <c r="G85" s="19">
        <f t="shared" si="107"/>
        <v>4.3984056957843153E-2</v>
      </c>
      <c r="H85" s="19">
        <f t="shared" si="107"/>
        <v>4.563025491826106E-2</v>
      </c>
      <c r="I85" s="19">
        <f t="shared" si="107"/>
        <v>4.8561215561651841E-2</v>
      </c>
      <c r="J85" s="19">
        <f t="shared" si="107"/>
        <v>5.0618267600639526E-2</v>
      </c>
      <c r="K85" s="19">
        <f t="shared" si="107"/>
        <v>5.3122309010281241E-2</v>
      </c>
      <c r="L85" s="19">
        <f t="shared" si="107"/>
        <v>5.3966489710025455E-2</v>
      </c>
      <c r="M85" s="19">
        <f t="shared" si="107"/>
        <v>5.311926541405404E-2</v>
      </c>
      <c r="N85" s="19">
        <f t="shared" si="107"/>
        <v>5.1439921263589095E-2</v>
      </c>
      <c r="O85" s="19">
        <f t="shared" si="107"/>
        <v>4.989459678139721E-2</v>
      </c>
    </row>
    <row r="86" spans="1:15" x14ac:dyDescent="0.3">
      <c r="A86" s="18" t="s">
        <v>59</v>
      </c>
      <c r="B86" s="18" t="s">
        <v>95</v>
      </c>
      <c r="C86" s="18" t="s">
        <v>38</v>
      </c>
      <c r="D86" s="10">
        <f>D84*D85</f>
        <v>2795.6475844762595</v>
      </c>
      <c r="E86" s="10">
        <f t="shared" ref="E86" si="108">E84*E85</f>
        <v>1924.5877765755072</v>
      </c>
      <c r="F86" s="10">
        <f t="shared" ref="F86" si="109">F84*F85</f>
        <v>1888.7560648931517</v>
      </c>
      <c r="G86" s="10">
        <f t="shared" ref="G86" si="110">G84*G85</f>
        <v>2582.9409171237785</v>
      </c>
      <c r="H86" s="10">
        <f t="shared" ref="H86" si="111">H84*H85</f>
        <v>3020.059092270586</v>
      </c>
      <c r="I86" s="10">
        <f t="shared" ref="I86" si="112">I84*I85</f>
        <v>3626.8272116036878</v>
      </c>
      <c r="J86" s="10">
        <f t="shared" ref="J86" si="113">J84*J85</f>
        <v>5677.9116668300539</v>
      </c>
      <c r="K86" s="10">
        <f t="shared" ref="K86" si="114">K84*K85</f>
        <v>5865.9725910427032</v>
      </c>
      <c r="L86" s="10">
        <f t="shared" ref="L86" si="115">L84*L85</f>
        <v>5882.4975131671481</v>
      </c>
      <c r="M86" s="10">
        <f t="shared" ref="M86" si="116">M84*M85</f>
        <v>6377.7675766172615</v>
      </c>
      <c r="N86" s="10">
        <f t="shared" ref="N86" si="117">N84*N85</f>
        <v>5406.6673579755998</v>
      </c>
      <c r="O86" s="10">
        <f t="shared" ref="O86" si="118">O84*O85</f>
        <v>5118.1239226464422</v>
      </c>
    </row>
    <row r="87" spans="1:15" hidden="1" x14ac:dyDescent="0.3">
      <c r="A87" s="16" t="s">
        <v>59</v>
      </c>
      <c r="B87" s="16" t="s">
        <v>95</v>
      </c>
      <c r="C87" s="16" t="s">
        <v>34</v>
      </c>
      <c r="D87" s="20">
        <v>7646.9750000000004</v>
      </c>
      <c r="E87" s="20">
        <v>6514.049</v>
      </c>
      <c r="F87" s="20">
        <v>6082.4530000000004</v>
      </c>
      <c r="G87" s="20">
        <v>6843.99</v>
      </c>
      <c r="H87" s="20">
        <v>9114.1949999999997</v>
      </c>
      <c r="I87" s="20">
        <v>11331.754000000001</v>
      </c>
      <c r="J87" s="20">
        <v>13001.395</v>
      </c>
      <c r="K87" s="20">
        <v>13841.050999999999</v>
      </c>
      <c r="L87" s="20">
        <v>12953.009</v>
      </c>
      <c r="M87" s="20">
        <v>11804.284</v>
      </c>
      <c r="N87" s="20">
        <v>9695.0640000000003</v>
      </c>
      <c r="O87" s="20">
        <v>8634.3330000000005</v>
      </c>
    </row>
    <row r="88" spans="1:15" hidden="1" x14ac:dyDescent="0.3">
      <c r="A88" s="16" t="s">
        <v>59</v>
      </c>
      <c r="B88" s="16" t="s">
        <v>95</v>
      </c>
      <c r="C88" s="16" t="s">
        <v>60</v>
      </c>
      <c r="D88" s="17">
        <v>16556.400000000001</v>
      </c>
      <c r="E88" s="17">
        <v>14870.1</v>
      </c>
      <c r="F88" s="17">
        <v>14519.7</v>
      </c>
      <c r="G88" s="17">
        <v>14037.9</v>
      </c>
      <c r="H88" s="17">
        <v>17629.5</v>
      </c>
      <c r="I88" s="17">
        <v>19447.2</v>
      </c>
      <c r="J88" s="17">
        <v>21549.599999999999</v>
      </c>
      <c r="K88" s="17">
        <v>22973.1</v>
      </c>
      <c r="L88" s="17">
        <v>21243</v>
      </c>
      <c r="M88" s="17">
        <v>21418.2</v>
      </c>
      <c r="N88" s="17">
        <v>17607.599999999999</v>
      </c>
      <c r="O88" s="17">
        <v>17147.7</v>
      </c>
    </row>
    <row r="89" spans="1:15" hidden="1" x14ac:dyDescent="0.3">
      <c r="A89" s="18" t="s">
        <v>59</v>
      </c>
      <c r="B89" s="18" t="s">
        <v>95</v>
      </c>
      <c r="C89" s="18" t="s">
        <v>32</v>
      </c>
      <c r="D89" s="10">
        <f>MIN(MAX((1-10%)*D88,SUM(D$67,D$87)*68%),(1+10%)*D88)*(D87/SUM(D$67,D$87))</f>
        <v>5454.8873142342754</v>
      </c>
      <c r="E89" s="10">
        <f t="shared" ref="E89" si="119">MIN(MAX((1-10%)*E88,SUM(E$67,E$87)*68%),(1+10%)*E88)*(E87/SUM(E$67,E$87))</f>
        <v>4823.0067421441036</v>
      </c>
      <c r="F89" s="10">
        <f t="shared" ref="F89" si="120">MIN(MAX((1-10%)*F88,SUM(F$67,F$87)*68%),(1+10%)*F88)*(F87/SUM(F$67,F$87))</f>
        <v>4611.7599597662611</v>
      </c>
      <c r="G89" s="10">
        <f t="shared" ref="G89" si="121">MIN(MAX((1-10%)*G88,SUM(G$67,G$87)*68%),(1+10%)*G88)*(G87/SUM(G$67,G$87))</f>
        <v>4653.9132000000009</v>
      </c>
      <c r="H89" s="10">
        <f t="shared" ref="H89" si="122">MIN(MAX((1-10%)*H88,SUM(H$67,H$87)*68%),(1+10%)*H88)*(H87/SUM(H$67,H$87))</f>
        <v>6197.6525999999994</v>
      </c>
      <c r="I89" s="10">
        <f t="shared" ref="I89" si="123">MIN(MAX((1-10%)*I88,SUM(I$67,I$87)*68%),(1+10%)*I88)*(I87/SUM(I$67,I$87))</f>
        <v>7705.5927200000015</v>
      </c>
      <c r="J89" s="10">
        <f t="shared" ref="J89" si="124">MIN(MAX((1-10%)*J88,SUM(J$67,J$87)*68%),(1+10%)*J88)*(J87/SUM(J$67,J$87))</f>
        <v>8840.9486000000015</v>
      </c>
      <c r="K89" s="10">
        <f t="shared" ref="K89" si="125">MIN(MAX((1-10%)*K88,SUM(K$67,K$87)*68%),(1+10%)*K88)*(K87/SUM(K$67,K$87))</f>
        <v>9411.9146800000017</v>
      </c>
      <c r="L89" s="10">
        <f t="shared" ref="L89" si="126">MIN(MAX((1-10%)*L88,SUM(L$67,L$87)*68%),(1+10%)*L88)*(L87/SUM(L$67,L$87))</f>
        <v>8808.0461200000009</v>
      </c>
      <c r="M89" s="10">
        <f t="shared" ref="M89" si="127">MIN(MAX((1-10%)*M88,SUM(M$67,M$87)*68%),(1+10%)*M88)*(M87/SUM(M$67,M$87))</f>
        <v>8026.9131200000011</v>
      </c>
      <c r="N89" s="10">
        <f t="shared" ref="N89" si="128">MIN(MAX((1-10%)*N88,SUM(N$67,N$87)*68%),(1+10%)*N88)*(N87/SUM(N$67,N$87))</f>
        <v>6592.6435200000005</v>
      </c>
      <c r="O89" s="10">
        <f t="shared" ref="O89" si="129">MIN(MAX((1-10%)*O88,SUM(O$67,O$87)*68%),(1+10%)*O88)*(O87/SUM(O$67,O$87))</f>
        <v>5871.3464400000003</v>
      </c>
    </row>
    <row r="90" spans="1:15" hidden="1" x14ac:dyDescent="0.3">
      <c r="A90" s="16" t="s">
        <v>59</v>
      </c>
      <c r="B90" s="16" t="s">
        <v>96</v>
      </c>
      <c r="C90" s="16" t="s">
        <v>65</v>
      </c>
      <c r="D90" s="17">
        <v>38390.400000000001</v>
      </c>
      <c r="E90" s="17">
        <v>24595.200000000001</v>
      </c>
      <c r="F90" s="17">
        <v>27230.400000000001</v>
      </c>
      <c r="G90" s="17">
        <v>31032</v>
      </c>
      <c r="H90" s="17">
        <v>6844.7999999999993</v>
      </c>
      <c r="I90" s="17">
        <v>6624</v>
      </c>
      <c r="J90" s="17">
        <v>14954.4</v>
      </c>
      <c r="K90" s="17">
        <v>14954.4</v>
      </c>
      <c r="L90" s="17">
        <v>14472</v>
      </c>
      <c r="M90" s="17">
        <v>14954.4</v>
      </c>
      <c r="N90" s="17">
        <v>14472</v>
      </c>
      <c r="O90" s="17">
        <v>14954.4</v>
      </c>
    </row>
    <row r="91" spans="1:15" hidden="1" x14ac:dyDescent="0.3">
      <c r="A91" s="18" t="s">
        <v>59</v>
      </c>
      <c r="B91" s="18" t="s">
        <v>96</v>
      </c>
      <c r="C91" s="18" t="s">
        <v>40</v>
      </c>
      <c r="D91" s="10">
        <f>D90*D95</f>
        <v>9777.2009017196251</v>
      </c>
      <c r="E91" s="10">
        <f t="shared" ref="E91" si="130">E90*E95</f>
        <v>6374.2887637770773</v>
      </c>
      <c r="F91" s="10">
        <f t="shared" ref="F91" si="131">F90*F95</f>
        <v>7099.1780417929149</v>
      </c>
      <c r="G91" s="10">
        <f t="shared" ref="G91" si="132">G90*G95</f>
        <v>8040.3410033520668</v>
      </c>
      <c r="H91" s="10">
        <f t="shared" ref="H91" si="133">H90*H95</f>
        <v>1794.3753917675531</v>
      </c>
      <c r="I91" s="10">
        <f t="shared" ref="I91" si="134">I90*I95</f>
        <v>1743.4528917691459</v>
      </c>
      <c r="J91" s="10">
        <f t="shared" ref="J91" si="135">J90*J95</f>
        <v>3916.696960838794</v>
      </c>
      <c r="K91" s="10">
        <f t="shared" ref="K91" si="136">K90*K95</f>
        <v>3872.3200439717989</v>
      </c>
      <c r="L91" s="10">
        <f t="shared" ref="L91" si="137">L90*L95</f>
        <v>3698.2434203114981</v>
      </c>
      <c r="M91" s="10">
        <f t="shared" ref="M91" si="138">M90*M95</f>
        <v>3773.0107693372615</v>
      </c>
      <c r="N91" s="10">
        <f t="shared" ref="N91" si="139">N90*N95</f>
        <v>3602.1037337780499</v>
      </c>
      <c r="O91" s="10">
        <f t="shared" ref="O91" si="140">O90*O95</f>
        <v>3717.1604580527278</v>
      </c>
    </row>
    <row r="92" spans="1:15" hidden="1" x14ac:dyDescent="0.3">
      <c r="A92" s="16" t="s">
        <v>59</v>
      </c>
      <c r="B92" s="16" t="s">
        <v>96</v>
      </c>
      <c r="C92" s="16" t="s">
        <v>66</v>
      </c>
      <c r="D92" s="17">
        <v>21204</v>
      </c>
      <c r="E92" s="17">
        <v>19152</v>
      </c>
      <c r="F92" s="17">
        <v>21204</v>
      </c>
      <c r="G92" s="17">
        <v>360</v>
      </c>
      <c r="H92" s="17">
        <v>372</v>
      </c>
      <c r="I92" s="17">
        <v>360</v>
      </c>
      <c r="J92" s="17">
        <v>372</v>
      </c>
      <c r="K92" s="17">
        <v>372</v>
      </c>
      <c r="L92" s="17">
        <v>360</v>
      </c>
      <c r="M92" s="17">
        <v>372</v>
      </c>
      <c r="N92" s="17">
        <v>360</v>
      </c>
      <c r="O92" s="17">
        <v>372</v>
      </c>
    </row>
    <row r="93" spans="1:15" hidden="1" x14ac:dyDescent="0.3">
      <c r="A93" s="18" t="s">
        <v>59</v>
      </c>
      <c r="B93" s="18" t="s">
        <v>96</v>
      </c>
      <c r="C93" s="18" t="s">
        <v>67</v>
      </c>
      <c r="D93" s="10">
        <f>D92*D95</f>
        <v>5400.1981724614207</v>
      </c>
      <c r="E93" s="10">
        <f t="shared" ref="E93" si="141">E92*E95</f>
        <v>4963.585512777232</v>
      </c>
      <c r="F93" s="10">
        <f t="shared" ref="F93" si="142">F92*F95</f>
        <v>5528.0484751666136</v>
      </c>
      <c r="G93" s="10">
        <f t="shared" ref="G93" si="143">G92*G95</f>
        <v>93.275417672297763</v>
      </c>
      <c r="H93" s="10">
        <f t="shared" ref="H93" si="144">H92*H95</f>
        <v>97.520401726497468</v>
      </c>
      <c r="I93" s="10">
        <f t="shared" ref="I93" si="145">I92*I95</f>
        <v>94.752874552670974</v>
      </c>
      <c r="J93" s="10">
        <f t="shared" ref="J93" si="146">J92*J95</f>
        <v>97.430272657681442</v>
      </c>
      <c r="K93" s="10">
        <f t="shared" ref="K93" si="147">K92*K95</f>
        <v>96.326369253029824</v>
      </c>
      <c r="L93" s="10">
        <f t="shared" ref="L93" si="148">L92*L95</f>
        <v>91.996104982873078</v>
      </c>
      <c r="M93" s="10">
        <f t="shared" ref="M93" si="149">M92*M95</f>
        <v>93.855989286996547</v>
      </c>
      <c r="N93" s="10">
        <f t="shared" ref="N93" si="150">N92*N95</f>
        <v>89.604570491991296</v>
      </c>
      <c r="O93" s="10">
        <f t="shared" ref="O93" si="151">O92*O95</f>
        <v>92.466678061013141</v>
      </c>
    </row>
    <row r="94" spans="1:15" hidden="1" x14ac:dyDescent="0.3">
      <c r="A94" s="16" t="s">
        <v>59</v>
      </c>
      <c r="B94" s="16" t="s">
        <v>96</v>
      </c>
      <c r="C94" s="16" t="s">
        <v>63</v>
      </c>
      <c r="D94" s="17">
        <v>64678.774000000005</v>
      </c>
      <c r="E94" s="17">
        <v>50369.361000000004</v>
      </c>
      <c r="F94" s="17">
        <v>54901.024000000005</v>
      </c>
      <c r="G94" s="17">
        <v>58724.481000000014</v>
      </c>
      <c r="H94" s="17">
        <v>66185.452999999994</v>
      </c>
      <c r="I94" s="17">
        <v>74685.676000000007</v>
      </c>
      <c r="J94" s="17">
        <v>112171.19700000001</v>
      </c>
      <c r="K94" s="17">
        <v>110423.90099999998</v>
      </c>
      <c r="L94" s="17">
        <v>109002.78200000001</v>
      </c>
      <c r="M94" s="17">
        <v>120065.056</v>
      </c>
      <c r="N94" s="17">
        <v>105106.447</v>
      </c>
      <c r="O94" s="17">
        <v>102578.72099999999</v>
      </c>
    </row>
    <row r="95" spans="1:15" hidden="1" x14ac:dyDescent="0.3">
      <c r="A95" s="16" t="s">
        <v>59</v>
      </c>
      <c r="B95" s="16" t="s">
        <v>96</v>
      </c>
      <c r="C95" s="16" t="s">
        <v>64</v>
      </c>
      <c r="D95" s="19">
        <f>(D97-D99)/(SUM(D$57,D$67,D$77,D$87,D$97,D$107)-SUM(D$59,D$69,D$79,D$89,D$99,D$109))</f>
        <v>0.25467827638471141</v>
      </c>
      <c r="E95" s="19">
        <f t="shared" ref="E95:O95" si="152">(E97-E99)/(SUM(E$57,E$67,E$77,E$87,E$97,E$107)-SUM(E$59,E$69,E$79,E$89,E$99,E$109))</f>
        <v>0.25916799878744945</v>
      </c>
      <c r="F95" s="19">
        <f t="shared" si="152"/>
        <v>0.26070781339212479</v>
      </c>
      <c r="G95" s="19">
        <f t="shared" si="152"/>
        <v>0.25909838242304933</v>
      </c>
      <c r="H95" s="19">
        <f t="shared" si="152"/>
        <v>0.26215161754434801</v>
      </c>
      <c r="I95" s="19">
        <f t="shared" si="152"/>
        <v>0.26320242931297494</v>
      </c>
      <c r="J95" s="19">
        <f t="shared" si="152"/>
        <v>0.26190933510129422</v>
      </c>
      <c r="K95" s="19">
        <f t="shared" si="152"/>
        <v>0.25894185283072535</v>
      </c>
      <c r="L95" s="19">
        <f t="shared" si="152"/>
        <v>0.25554473606353634</v>
      </c>
      <c r="M95" s="19">
        <f t="shared" si="152"/>
        <v>0.25230104647042084</v>
      </c>
      <c r="N95" s="19">
        <f t="shared" si="152"/>
        <v>0.24890158469997581</v>
      </c>
      <c r="O95" s="19">
        <f t="shared" si="152"/>
        <v>0.24856633887369123</v>
      </c>
    </row>
    <row r="96" spans="1:15" x14ac:dyDescent="0.3">
      <c r="A96" s="18" t="s">
        <v>59</v>
      </c>
      <c r="B96" s="18" t="s">
        <v>96</v>
      </c>
      <c r="C96" s="18" t="s">
        <v>38</v>
      </c>
      <c r="D96" s="10">
        <f>D94*D95</f>
        <v>16472.278680996289</v>
      </c>
      <c r="E96" s="10">
        <f t="shared" ref="E96" si="153">E94*E95</f>
        <v>13054.126490572604</v>
      </c>
      <c r="F96" s="10">
        <f t="shared" ref="F96" si="154">F94*F95</f>
        <v>14313.125920028566</v>
      </c>
      <c r="G96" s="10">
        <f t="shared" ref="G96" si="155">G94*G95</f>
        <v>15215.418035733099</v>
      </c>
      <c r="H96" s="10">
        <f t="shared" ref="H96" si="156">H94*H95</f>
        <v>17350.62356185542</v>
      </c>
      <c r="I96" s="10">
        <f t="shared" ref="I96" si="157">I94*I95</f>
        <v>19657.451358081751</v>
      </c>
      <c r="J96" s="10">
        <f t="shared" ref="J96" si="158">J94*J95</f>
        <v>29378.683623786292</v>
      </c>
      <c r="K96" s="10">
        <f t="shared" ref="K96" si="159">K94*K95</f>
        <v>28593.369521736582</v>
      </c>
      <c r="L96" s="10">
        <f t="shared" ref="L96" si="160">L94*L95</f>
        <v>27855.087156381192</v>
      </c>
      <c r="M96" s="10">
        <f t="shared" ref="M96" si="161">M94*M95</f>
        <v>30292.539273329679</v>
      </c>
      <c r="N96" s="10">
        <f t="shared" ref="N96" si="162">N94*N95</f>
        <v>26161.161220484017</v>
      </c>
      <c r="O96" s="10">
        <f t="shared" ref="O96" si="163">O94*O95</f>
        <v>25497.617125315825</v>
      </c>
    </row>
    <row r="97" spans="1:15" hidden="1" x14ac:dyDescent="0.3">
      <c r="A97" s="16" t="s">
        <v>59</v>
      </c>
      <c r="B97" s="16" t="s">
        <v>96</v>
      </c>
      <c r="C97" s="16" t="s">
        <v>34</v>
      </c>
      <c r="D97" s="20">
        <v>12916.034</v>
      </c>
      <c r="E97" s="20">
        <v>11470.03</v>
      </c>
      <c r="F97" s="20">
        <v>11145.014999999999</v>
      </c>
      <c r="G97" s="20">
        <v>12901.16</v>
      </c>
      <c r="H97" s="20">
        <v>16755.906999999999</v>
      </c>
      <c r="I97" s="20">
        <v>19653.842000000001</v>
      </c>
      <c r="J97" s="20">
        <v>21527.006000000001</v>
      </c>
      <c r="K97" s="20">
        <v>21589.588</v>
      </c>
      <c r="L97" s="20">
        <v>19627.429</v>
      </c>
      <c r="M97" s="20">
        <v>17941.412</v>
      </c>
      <c r="N97" s="20">
        <v>15011.636</v>
      </c>
      <c r="O97" s="20">
        <v>13764.726000000001</v>
      </c>
    </row>
    <row r="98" spans="1:15" hidden="1" x14ac:dyDescent="0.3">
      <c r="A98" s="16" t="s">
        <v>59</v>
      </c>
      <c r="B98" s="16" t="s">
        <v>96</v>
      </c>
      <c r="C98" s="16" t="s">
        <v>60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</row>
    <row r="99" spans="1:15" hidden="1" x14ac:dyDescent="0.3">
      <c r="A99" s="18" t="s">
        <v>59</v>
      </c>
      <c r="B99" s="18" t="s">
        <v>96</v>
      </c>
      <c r="C99" s="18" t="s">
        <v>32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</row>
    <row r="100" spans="1:15" hidden="1" x14ac:dyDescent="0.3">
      <c r="A100" s="16" t="s">
        <v>59</v>
      </c>
      <c r="B100" s="16" t="s">
        <v>97</v>
      </c>
      <c r="C100" s="16" t="s">
        <v>65</v>
      </c>
      <c r="D100" s="17">
        <v>38390.400000000001</v>
      </c>
      <c r="E100" s="17">
        <v>24595.200000000001</v>
      </c>
      <c r="F100" s="17">
        <v>27230.400000000001</v>
      </c>
      <c r="G100" s="17">
        <v>31032</v>
      </c>
      <c r="H100" s="17">
        <v>6844.7999999999993</v>
      </c>
      <c r="I100" s="17">
        <v>6624</v>
      </c>
      <c r="J100" s="17">
        <v>14954.4</v>
      </c>
      <c r="K100" s="17">
        <v>14954.4</v>
      </c>
      <c r="L100" s="17">
        <v>14472</v>
      </c>
      <c r="M100" s="17">
        <v>14954.4</v>
      </c>
      <c r="N100" s="17">
        <v>14472</v>
      </c>
      <c r="O100" s="17">
        <v>14954.4</v>
      </c>
    </row>
    <row r="101" spans="1:15" hidden="1" x14ac:dyDescent="0.3">
      <c r="A101" s="18" t="s">
        <v>59</v>
      </c>
      <c r="B101" s="18" t="s">
        <v>97</v>
      </c>
      <c r="C101" s="18" t="s">
        <v>40</v>
      </c>
      <c r="D101" s="10">
        <f>D100*D105</f>
        <v>7752.7041607549672</v>
      </c>
      <c r="E101" s="10">
        <f t="shared" ref="E101" si="164">E100*E105</f>
        <v>5016.8794636922057</v>
      </c>
      <c r="F101" s="10">
        <f t="shared" ref="F101" si="165">F100*F105</f>
        <v>5637.8901688794876</v>
      </c>
      <c r="G101" s="10">
        <f t="shared" ref="G101" si="166">G100*G105</f>
        <v>5900.7281571590056</v>
      </c>
      <c r="H101" s="10">
        <f t="shared" ref="H101" si="167">H100*H105</f>
        <v>1258.5972632288112</v>
      </c>
      <c r="I101" s="10">
        <f t="shared" ref="I101" si="168">I100*I105</f>
        <v>1194.865449549889</v>
      </c>
      <c r="J101" s="10">
        <f t="shared" ref="J101" si="169">J100*J105</f>
        <v>2697.2308727500417</v>
      </c>
      <c r="K101" s="10">
        <f t="shared" ref="K101" si="170">K100*K105</f>
        <v>2735.4728903388536</v>
      </c>
      <c r="L101" s="10">
        <f t="shared" ref="L101" si="171">L100*L105</f>
        <v>2701.083160504048</v>
      </c>
      <c r="M101" s="10">
        <f t="shared" ref="M101" si="172">M100*M105</f>
        <v>2864.7732355165417</v>
      </c>
      <c r="N101" s="10">
        <f t="shared" ref="N101" si="173">N100*N105</f>
        <v>2870.9810817733546</v>
      </c>
      <c r="O101" s="10">
        <f t="shared" ref="O101" si="174">O100*O105</f>
        <v>2992.7096754568115</v>
      </c>
    </row>
    <row r="102" spans="1:15" hidden="1" x14ac:dyDescent="0.3">
      <c r="A102" s="16" t="s">
        <v>59</v>
      </c>
      <c r="B102" s="16" t="s">
        <v>97</v>
      </c>
      <c r="C102" s="16" t="s">
        <v>66</v>
      </c>
      <c r="D102" s="17">
        <v>21204</v>
      </c>
      <c r="E102" s="17">
        <v>19152</v>
      </c>
      <c r="F102" s="17">
        <v>21204</v>
      </c>
      <c r="G102" s="17">
        <v>360</v>
      </c>
      <c r="H102" s="17">
        <v>372</v>
      </c>
      <c r="I102" s="17">
        <v>360</v>
      </c>
      <c r="J102" s="17">
        <v>372</v>
      </c>
      <c r="K102" s="17">
        <v>372</v>
      </c>
      <c r="L102" s="17">
        <v>360</v>
      </c>
      <c r="M102" s="17">
        <v>372</v>
      </c>
      <c r="N102" s="17">
        <v>360</v>
      </c>
      <c r="O102" s="17">
        <v>372</v>
      </c>
    </row>
    <row r="103" spans="1:15" hidden="1" x14ac:dyDescent="0.3">
      <c r="A103" s="18" t="s">
        <v>59</v>
      </c>
      <c r="B103" s="18" t="s">
        <v>97</v>
      </c>
      <c r="C103" s="18" t="s">
        <v>67</v>
      </c>
      <c r="D103" s="10">
        <f>D102*D105</f>
        <v>4282.0168329751268</v>
      </c>
      <c r="E103" s="10">
        <f t="shared" ref="E103" si="175">E102*E105</f>
        <v>3906.5864676291767</v>
      </c>
      <c r="F103" s="10">
        <f t="shared" ref="F103" si="176">F102*F105</f>
        <v>4390.1603774061577</v>
      </c>
      <c r="G103" s="10">
        <f t="shared" ref="G103" si="177">G102*G105</f>
        <v>68.453922936879422</v>
      </c>
      <c r="H103" s="10">
        <f t="shared" ref="H103" si="178">H102*H105</f>
        <v>68.402025175478883</v>
      </c>
      <c r="I103" s="10">
        <f t="shared" ref="I103" si="179">I102*I105</f>
        <v>64.938339649450498</v>
      </c>
      <c r="J103" s="10">
        <f t="shared" ref="J103" si="180">J102*J105</f>
        <v>67.095295342040842</v>
      </c>
      <c r="K103" s="10">
        <f t="shared" ref="K103" si="181">K102*K105</f>
        <v>68.046589311911774</v>
      </c>
      <c r="L103" s="10">
        <f t="shared" ref="L103" si="182">L102*L105</f>
        <v>67.19112339562308</v>
      </c>
      <c r="M103" s="10">
        <f t="shared" ref="M103" si="183">M102*M105</f>
        <v>71.263015808869199</v>
      </c>
      <c r="N103" s="10">
        <f t="shared" ref="N103" si="184">N102*N105</f>
        <v>71.417439845108333</v>
      </c>
      <c r="O103" s="10">
        <f t="shared" ref="O103" si="185">O102*O105</f>
        <v>74.445514314846065</v>
      </c>
    </row>
    <row r="104" spans="1:15" hidden="1" x14ac:dyDescent="0.3">
      <c r="A104" s="16" t="s">
        <v>59</v>
      </c>
      <c r="B104" s="16" t="s">
        <v>97</v>
      </c>
      <c r="C104" s="16" t="s">
        <v>63</v>
      </c>
      <c r="D104" s="17">
        <v>64678.774000000005</v>
      </c>
      <c r="E104" s="17">
        <v>50369.361000000004</v>
      </c>
      <c r="F104" s="17">
        <v>54901.024000000005</v>
      </c>
      <c r="G104" s="17">
        <v>58724.481000000014</v>
      </c>
      <c r="H104" s="17">
        <v>66185.452999999994</v>
      </c>
      <c r="I104" s="17">
        <v>74685.676000000007</v>
      </c>
      <c r="J104" s="17">
        <v>112171.19700000001</v>
      </c>
      <c r="K104" s="17">
        <v>110423.90099999998</v>
      </c>
      <c r="L104" s="17">
        <v>109002.78200000001</v>
      </c>
      <c r="M104" s="17">
        <v>120065.056</v>
      </c>
      <c r="N104" s="17">
        <v>105106.447</v>
      </c>
      <c r="O104" s="17">
        <v>102578.72099999999</v>
      </c>
    </row>
    <row r="105" spans="1:15" hidden="1" x14ac:dyDescent="0.3">
      <c r="A105" s="16" t="s">
        <v>59</v>
      </c>
      <c r="B105" s="16" t="s">
        <v>97</v>
      </c>
      <c r="C105" s="16" t="s">
        <v>64</v>
      </c>
      <c r="D105" s="19">
        <f>(D107-D109)/(SUM(D$57,D$67,D$77,D$87,D$97,D$107)-SUM(D$59,D$69,D$79,D$89,D$99,D$109))</f>
        <v>0.20194382347552947</v>
      </c>
      <c r="E105" s="19">
        <f t="shared" ref="E105:O105" si="186">(E107-E109)/(SUM(E$57,E$67,E$77,E$87,E$97,E$107)-SUM(E$59,E$69,E$79,E$89,E$99,E$109))</f>
        <v>0.20397799016443069</v>
      </c>
      <c r="F105" s="19">
        <f t="shared" si="186"/>
        <v>0.20704397176976788</v>
      </c>
      <c r="G105" s="19">
        <f t="shared" si="186"/>
        <v>0.19014978593577617</v>
      </c>
      <c r="H105" s="19">
        <f t="shared" si="186"/>
        <v>0.18387641176204</v>
      </c>
      <c r="I105" s="19">
        <f t="shared" si="186"/>
        <v>0.18038427680402916</v>
      </c>
      <c r="J105" s="19">
        <f t="shared" si="186"/>
        <v>0.18036369715602377</v>
      </c>
      <c r="K105" s="19">
        <f t="shared" si="186"/>
        <v>0.18292093901051554</v>
      </c>
      <c r="L105" s="19">
        <f t="shared" si="186"/>
        <v>0.18664200943228634</v>
      </c>
      <c r="M105" s="19">
        <f t="shared" si="186"/>
        <v>0.1915672467980355</v>
      </c>
      <c r="N105" s="19">
        <f t="shared" si="186"/>
        <v>0.19838177734752313</v>
      </c>
      <c r="O105" s="19">
        <f t="shared" si="186"/>
        <v>0.20012235030872597</v>
      </c>
    </row>
    <row r="106" spans="1:15" x14ac:dyDescent="0.3">
      <c r="A106" s="18" t="s">
        <v>59</v>
      </c>
      <c r="B106" s="18" t="s">
        <v>97</v>
      </c>
      <c r="C106" s="18" t="s">
        <v>38</v>
      </c>
      <c r="D106" s="10">
        <f>D104*D105</f>
        <v>13061.478919269666</v>
      </c>
      <c r="E106" s="10">
        <f t="shared" ref="E106" si="187">E104*E105</f>
        <v>10274.24102264666</v>
      </c>
      <c r="F106" s="10">
        <f t="shared" ref="F106" si="188">F104*F105</f>
        <v>11366.926063187349</v>
      </c>
      <c r="G106" s="10">
        <f t="shared" ref="G106" si="189">G104*G105</f>
        <v>11166.447491339557</v>
      </c>
      <c r="H106" s="10">
        <f t="shared" ref="H106" si="190">H104*H105</f>
        <v>12169.943608485144</v>
      </c>
      <c r="I106" s="10">
        <f t="shared" ref="I106" si="191">I104*I105</f>
        <v>13472.121652880038</v>
      </c>
      <c r="J106" s="10">
        <f t="shared" ref="J106" si="192">J104*J105</f>
        <v>20231.611805336684</v>
      </c>
      <c r="K106" s="10">
        <f t="shared" ref="K106" si="193">K104*K105</f>
        <v>20198.843660124203</v>
      </c>
      <c r="L106" s="10">
        <f t="shared" ref="L106" si="194">L104*L105</f>
        <v>20344.498266189454</v>
      </c>
      <c r="M106" s="10">
        <f t="shared" ref="M106" si="195">M104*M105</f>
        <v>23000.532214571951</v>
      </c>
      <c r="N106" s="10">
        <f t="shared" ref="N106" si="196">N104*N105</f>
        <v>20851.20376654324</v>
      </c>
      <c r="O106" s="10">
        <f t="shared" ref="O106" si="197">O104*O105</f>
        <v>20528.294738183064</v>
      </c>
    </row>
    <row r="107" spans="1:15" hidden="1" x14ac:dyDescent="0.3">
      <c r="A107" s="16" t="s">
        <v>59</v>
      </c>
      <c r="B107" s="16" t="s">
        <v>97</v>
      </c>
      <c r="C107" s="16" t="s">
        <v>34</v>
      </c>
      <c r="D107" s="20">
        <v>10241.601000000001</v>
      </c>
      <c r="E107" s="20">
        <v>9027.4789999999994</v>
      </c>
      <c r="F107" s="20">
        <v>8850.9359999999997</v>
      </c>
      <c r="G107" s="20">
        <v>9468.0360000000001</v>
      </c>
      <c r="H107" s="20">
        <v>11752.802</v>
      </c>
      <c r="I107" s="20">
        <v>13469.647999999999</v>
      </c>
      <c r="J107" s="20">
        <v>14824.558999999999</v>
      </c>
      <c r="K107" s="20">
        <v>15251.253000000001</v>
      </c>
      <c r="L107" s="20">
        <v>14335.27</v>
      </c>
      <c r="M107" s="20">
        <v>13622.563</v>
      </c>
      <c r="N107" s="20">
        <v>11964.709000000001</v>
      </c>
      <c r="O107" s="20">
        <v>11082.069</v>
      </c>
    </row>
    <row r="108" spans="1:15" hidden="1" x14ac:dyDescent="0.3">
      <c r="A108" s="16" t="s">
        <v>59</v>
      </c>
      <c r="B108" s="16" t="s">
        <v>97</v>
      </c>
      <c r="C108" s="16" t="s">
        <v>60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</row>
    <row r="109" spans="1:15" hidden="1" x14ac:dyDescent="0.3">
      <c r="A109" s="18" t="s">
        <v>59</v>
      </c>
      <c r="B109" s="18" t="s">
        <v>97</v>
      </c>
      <c r="C109" s="18" t="s">
        <v>32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</row>
    <row r="114" spans="1:15" x14ac:dyDescent="0.3">
      <c r="A114" t="s">
        <v>68</v>
      </c>
      <c r="B114" t="s">
        <v>41</v>
      </c>
      <c r="C114" t="s">
        <v>12</v>
      </c>
      <c r="D114" s="8">
        <f t="shared" ref="D114:O114" si="198">SUM(D5,D13,D21,D29,D37,D45)+SUM(D2,D10,D18,D26,D34,D42)</f>
        <v>62351.579506467067</v>
      </c>
      <c r="E114" s="8">
        <f t="shared" si="198"/>
        <v>53458.776614262468</v>
      </c>
      <c r="F114" s="8">
        <f t="shared" si="198"/>
        <v>50139.623571249685</v>
      </c>
      <c r="G114" s="8">
        <f t="shared" si="198"/>
        <v>56280.386107374594</v>
      </c>
      <c r="H114" s="8">
        <f t="shared" si="198"/>
        <v>74822.920565146618</v>
      </c>
      <c r="I114" s="8">
        <f t="shared" si="198"/>
        <v>90166.063103612512</v>
      </c>
      <c r="J114" s="8">
        <f t="shared" si="198"/>
        <v>101794.17162583201</v>
      </c>
      <c r="K114" s="8">
        <f t="shared" si="198"/>
        <v>105261.02786072371</v>
      </c>
      <c r="L114" s="8">
        <f t="shared" si="198"/>
        <v>98482.10597748807</v>
      </c>
      <c r="M114" s="8">
        <f t="shared" si="198"/>
        <v>91415.666686596</v>
      </c>
      <c r="N114" s="8">
        <f t="shared" si="198"/>
        <v>77703.806988458149</v>
      </c>
      <c r="O114" s="8">
        <f t="shared" si="198"/>
        <v>70203.843505346536</v>
      </c>
    </row>
    <row r="115" spans="1:15" x14ac:dyDescent="0.3">
      <c r="A115" t="s">
        <v>68</v>
      </c>
      <c r="B115" t="s">
        <v>41</v>
      </c>
      <c r="C115" t="s">
        <v>5</v>
      </c>
      <c r="D115" s="8">
        <f t="shared" ref="D115:O115" si="199">SUM(D3,D11,D19,D27,D35,D43)</f>
        <v>89472.320150399988</v>
      </c>
      <c r="E115" s="8">
        <f t="shared" si="199"/>
        <v>74792.495519279997</v>
      </c>
      <c r="F115" s="8">
        <f t="shared" si="199"/>
        <v>74359.671249599996</v>
      </c>
      <c r="G115" s="8">
        <f t="shared" si="199"/>
        <v>75387.083246640002</v>
      </c>
      <c r="H115" s="8">
        <f t="shared" si="199"/>
        <v>88496.983262159993</v>
      </c>
      <c r="I115" s="8">
        <f t="shared" si="199"/>
        <v>92326.694278499999</v>
      </c>
      <c r="J115" s="8">
        <f t="shared" si="199"/>
        <v>99054.126824399995</v>
      </c>
      <c r="K115" s="8">
        <f t="shared" si="199"/>
        <v>101555.18111970001</v>
      </c>
      <c r="L115" s="8">
        <f t="shared" si="199"/>
        <v>105397.48642500001</v>
      </c>
      <c r="M115" s="8">
        <f t="shared" si="199"/>
        <v>106045.5996171</v>
      </c>
      <c r="N115" s="8">
        <f t="shared" si="199"/>
        <v>92156.156522099991</v>
      </c>
      <c r="O115" s="8">
        <f t="shared" si="199"/>
        <v>91190.544142500003</v>
      </c>
    </row>
    <row r="116" spans="1:15" x14ac:dyDescent="0.3">
      <c r="C116" t="s">
        <v>43</v>
      </c>
      <c r="D116" s="8">
        <f t="shared" ref="D116:O116" si="200">D114-D115</f>
        <v>-27120.740643932921</v>
      </c>
      <c r="E116" s="8">
        <f t="shared" si="200"/>
        <v>-21333.718905017529</v>
      </c>
      <c r="F116" s="8">
        <f t="shared" si="200"/>
        <v>-24220.047678350311</v>
      </c>
      <c r="G116" s="8">
        <f t="shared" si="200"/>
        <v>-19106.697139265409</v>
      </c>
      <c r="H116" s="8">
        <f t="shared" si="200"/>
        <v>-13674.062697013374</v>
      </c>
      <c r="I116" s="8">
        <f t="shared" si="200"/>
        <v>-2160.6311748874868</v>
      </c>
      <c r="J116" s="8">
        <f t="shared" si="200"/>
        <v>2740.0448014320136</v>
      </c>
      <c r="K116" s="8">
        <f t="shared" si="200"/>
        <v>3705.8467410237063</v>
      </c>
      <c r="L116" s="8">
        <f t="shared" si="200"/>
        <v>-6915.3804475119396</v>
      </c>
      <c r="M116" s="8">
        <f t="shared" si="200"/>
        <v>-14629.932930504001</v>
      </c>
      <c r="N116" s="8">
        <f t="shared" si="200"/>
        <v>-14452.349533641842</v>
      </c>
      <c r="O116" s="8">
        <f t="shared" si="200"/>
        <v>-20986.700637153466</v>
      </c>
    </row>
    <row r="119" spans="1:15" x14ac:dyDescent="0.3">
      <c r="A119" t="s">
        <v>68</v>
      </c>
      <c r="B119" t="s">
        <v>44</v>
      </c>
      <c r="C119" t="s">
        <v>12</v>
      </c>
      <c r="D119" s="8">
        <f t="shared" ref="D119:O119" si="201">SUM(D3,D2,D10,D11,D18,D19,D26,D27,D34,D35,D42,D43)</f>
        <v>89472.320150399988</v>
      </c>
      <c r="E119" s="8">
        <f t="shared" si="201"/>
        <v>74792.495519279997</v>
      </c>
      <c r="F119" s="8">
        <f t="shared" si="201"/>
        <v>74359.671249599996</v>
      </c>
      <c r="G119" s="8">
        <f t="shared" si="201"/>
        <v>75387.083246640002</v>
      </c>
      <c r="H119" s="8">
        <f t="shared" si="201"/>
        <v>88496.983262159993</v>
      </c>
      <c r="I119" s="8">
        <f t="shared" si="201"/>
        <v>92326.694278499999</v>
      </c>
      <c r="J119" s="8">
        <f t="shared" si="201"/>
        <v>99054.126824399995</v>
      </c>
      <c r="K119" s="8">
        <f t="shared" si="201"/>
        <v>101555.18111970001</v>
      </c>
      <c r="L119" s="8">
        <f t="shared" si="201"/>
        <v>105397.48642500001</v>
      </c>
      <c r="M119" s="8">
        <f t="shared" si="201"/>
        <v>106045.5996171</v>
      </c>
      <c r="N119" s="8">
        <f t="shared" si="201"/>
        <v>92156.156522099991</v>
      </c>
      <c r="O119" s="8">
        <f t="shared" si="201"/>
        <v>91190.544142500003</v>
      </c>
    </row>
    <row r="120" spans="1:15" x14ac:dyDescent="0.3">
      <c r="A120" t="s">
        <v>68</v>
      </c>
      <c r="B120" t="s">
        <v>44</v>
      </c>
      <c r="C120" t="s">
        <v>5</v>
      </c>
      <c r="D120" s="8">
        <f t="shared" ref="D120:O120" si="202">SUM(D4,D7,D12,D15,D20,D23,D28,D31,D36,D39,D44,D47)-SUM(D9,D17,D25,D33,D41,D49)</f>
        <v>71928.685400000002</v>
      </c>
      <c r="E120" s="8">
        <f t="shared" si="202"/>
        <v>61161.002959999991</v>
      </c>
      <c r="F120" s="8">
        <f t="shared" si="202"/>
        <v>63007.884079999996</v>
      </c>
      <c r="G120" s="8">
        <f t="shared" si="202"/>
        <v>62347.949799999995</v>
      </c>
      <c r="H120" s="8">
        <f t="shared" si="202"/>
        <v>77793.490800000014</v>
      </c>
      <c r="I120" s="8">
        <f t="shared" si="202"/>
        <v>83072.095485244165</v>
      </c>
      <c r="J120" s="8">
        <f t="shared" si="202"/>
        <v>89425.140680694647</v>
      </c>
      <c r="K120" s="8">
        <f t="shared" si="202"/>
        <v>90252.488268516507</v>
      </c>
      <c r="L120" s="8">
        <f t="shared" si="202"/>
        <v>94831.977173475389</v>
      </c>
      <c r="M120" s="8">
        <f t="shared" si="202"/>
        <v>93413.292680000013</v>
      </c>
      <c r="N120" s="8">
        <f t="shared" si="202"/>
        <v>81152.698239999998</v>
      </c>
      <c r="O120" s="8">
        <f t="shared" si="202"/>
        <v>80370.882239999992</v>
      </c>
    </row>
    <row r="121" spans="1:15" x14ac:dyDescent="0.3">
      <c r="C121" t="s">
        <v>43</v>
      </c>
      <c r="D121" s="8">
        <f>D119-D120</f>
        <v>17543.634750399986</v>
      </c>
      <c r="E121" s="8">
        <f t="shared" ref="E121:O121" si="203">E119-E120</f>
        <v>13631.492559280006</v>
      </c>
      <c r="F121" s="8">
        <f t="shared" si="203"/>
        <v>11351.7871696</v>
      </c>
      <c r="G121" s="8">
        <f t="shared" si="203"/>
        <v>13039.133446640008</v>
      </c>
      <c r="H121" s="8">
        <f t="shared" si="203"/>
        <v>10703.492462159978</v>
      </c>
      <c r="I121" s="8">
        <f t="shared" si="203"/>
        <v>9254.5987932558346</v>
      </c>
      <c r="J121" s="8">
        <f t="shared" si="203"/>
        <v>9628.9861437053478</v>
      </c>
      <c r="K121" s="8">
        <f t="shared" si="203"/>
        <v>11302.692851183499</v>
      </c>
      <c r="L121" s="8">
        <f t="shared" si="203"/>
        <v>10565.509251524622</v>
      </c>
      <c r="M121" s="8">
        <f t="shared" si="203"/>
        <v>12632.306937099987</v>
      </c>
      <c r="N121" s="8">
        <f t="shared" si="203"/>
        <v>11003.458282099993</v>
      </c>
      <c r="O121" s="8">
        <f t="shared" si="203"/>
        <v>10819.661902500011</v>
      </c>
    </row>
    <row r="124" spans="1:15" x14ac:dyDescent="0.3">
      <c r="A124" t="s">
        <v>69</v>
      </c>
      <c r="B124" t="s">
        <v>41</v>
      </c>
      <c r="C124" t="s">
        <v>12</v>
      </c>
      <c r="D124" s="8">
        <f t="shared" ref="D124:O124" si="204">SUM(D57,D67,D77,D87,D97,D107)+SUM(D51,D61,D71,D81,D91,D101)+SUM(D53,D63,D73,D83,D93,D103)</f>
        <v>125210.25900000001</v>
      </c>
      <c r="E124" s="8">
        <f t="shared" si="204"/>
        <v>101387.413</v>
      </c>
      <c r="F124" s="8">
        <f t="shared" si="204"/>
        <v>104251.194</v>
      </c>
      <c r="G124" s="8">
        <f t="shared" si="204"/>
        <v>94445.179000000004</v>
      </c>
      <c r="H124" s="8">
        <f t="shared" si="204"/>
        <v>88476.803</v>
      </c>
      <c r="I124" s="8">
        <f t="shared" si="204"/>
        <v>102382.42600000001</v>
      </c>
      <c r="J124" s="8">
        <f t="shared" si="204"/>
        <v>120745.303</v>
      </c>
      <c r="K124" s="8">
        <f t="shared" si="204"/>
        <v>122763.868</v>
      </c>
      <c r="L124" s="8">
        <f t="shared" si="204"/>
        <v>114065.223</v>
      </c>
      <c r="M124" s="8">
        <f t="shared" si="204"/>
        <v>107138.66800000001</v>
      </c>
      <c r="N124" s="8">
        <f t="shared" si="204"/>
        <v>92502.21</v>
      </c>
      <c r="O124" s="8">
        <f t="shared" si="204"/>
        <v>86427.475999999995</v>
      </c>
    </row>
    <row r="125" spans="1:15" x14ac:dyDescent="0.3">
      <c r="A125" t="s">
        <v>69</v>
      </c>
      <c r="B125" t="s">
        <v>41</v>
      </c>
      <c r="C125" t="s">
        <v>5</v>
      </c>
      <c r="D125" s="8">
        <f>D124</f>
        <v>125210.25900000001</v>
      </c>
      <c r="E125" s="8">
        <f t="shared" ref="E125:O125" si="205">E124</f>
        <v>101387.413</v>
      </c>
      <c r="F125" s="8">
        <f t="shared" si="205"/>
        <v>104251.194</v>
      </c>
      <c r="G125" s="8">
        <f t="shared" si="205"/>
        <v>94445.179000000004</v>
      </c>
      <c r="H125" s="8">
        <f t="shared" si="205"/>
        <v>88476.803</v>
      </c>
      <c r="I125" s="8">
        <f t="shared" si="205"/>
        <v>102382.42600000001</v>
      </c>
      <c r="J125" s="8">
        <f t="shared" si="205"/>
        <v>120745.303</v>
      </c>
      <c r="K125" s="8">
        <f t="shared" si="205"/>
        <v>122763.868</v>
      </c>
      <c r="L125" s="8">
        <f t="shared" si="205"/>
        <v>114065.223</v>
      </c>
      <c r="M125" s="8">
        <f t="shared" si="205"/>
        <v>107138.66800000001</v>
      </c>
      <c r="N125" s="8">
        <f t="shared" si="205"/>
        <v>92502.21</v>
      </c>
      <c r="O125" s="8">
        <f t="shared" si="205"/>
        <v>86427.475999999995</v>
      </c>
    </row>
    <row r="126" spans="1:15" x14ac:dyDescent="0.3">
      <c r="C126" t="s">
        <v>43</v>
      </c>
      <c r="D126" s="8">
        <f t="shared" ref="D126:O126" si="206">D124-D125</f>
        <v>0</v>
      </c>
      <c r="E126" s="8">
        <f t="shared" si="206"/>
        <v>0</v>
      </c>
      <c r="F126" s="8">
        <f t="shared" si="206"/>
        <v>0</v>
      </c>
      <c r="G126" s="8">
        <f t="shared" si="206"/>
        <v>0</v>
      </c>
      <c r="H126" s="8">
        <f t="shared" si="206"/>
        <v>0</v>
      </c>
      <c r="I126" s="8">
        <f t="shared" si="206"/>
        <v>0</v>
      </c>
      <c r="J126" s="8">
        <f t="shared" si="206"/>
        <v>0</v>
      </c>
      <c r="K126" s="8">
        <f t="shared" si="206"/>
        <v>0</v>
      </c>
      <c r="L126" s="8">
        <f t="shared" si="206"/>
        <v>0</v>
      </c>
      <c r="M126" s="8">
        <f t="shared" si="206"/>
        <v>0</v>
      </c>
      <c r="N126" s="8">
        <f t="shared" si="206"/>
        <v>0</v>
      </c>
      <c r="O126" s="8">
        <f t="shared" si="206"/>
        <v>0</v>
      </c>
    </row>
    <row r="129" spans="1:15" x14ac:dyDescent="0.3">
      <c r="A129" t="s">
        <v>69</v>
      </c>
      <c r="B129" t="s">
        <v>44</v>
      </c>
      <c r="C129" t="s">
        <v>12</v>
      </c>
      <c r="D129" s="8">
        <f t="shared" ref="D129:O129" si="207">SUM(D57,D67,D77,D87,D97,D107)+SUM(D51,D61,D71,D81,D91,D101)</f>
        <v>104006.25900000001</v>
      </c>
      <c r="E129" s="8">
        <f t="shared" si="207"/>
        <v>82235.413</v>
      </c>
      <c r="F129" s="8">
        <f t="shared" si="207"/>
        <v>83047.194000000003</v>
      </c>
      <c r="G129" s="8">
        <f t="shared" si="207"/>
        <v>94085.179000000004</v>
      </c>
      <c r="H129" s="8">
        <f t="shared" si="207"/>
        <v>88104.803</v>
      </c>
      <c r="I129" s="8">
        <f t="shared" si="207"/>
        <v>102022.42600000001</v>
      </c>
      <c r="J129" s="8">
        <f t="shared" si="207"/>
        <v>120373.303</v>
      </c>
      <c r="K129" s="8">
        <f t="shared" si="207"/>
        <v>122391.868</v>
      </c>
      <c r="L129" s="8">
        <f t="shared" si="207"/>
        <v>113705.223</v>
      </c>
      <c r="M129" s="8">
        <f t="shared" si="207"/>
        <v>106766.66800000001</v>
      </c>
      <c r="N129" s="8">
        <f t="shared" si="207"/>
        <v>92142.21</v>
      </c>
      <c r="O129" s="8">
        <f t="shared" si="207"/>
        <v>86055.475999999995</v>
      </c>
    </row>
    <row r="130" spans="1:15" x14ac:dyDescent="0.3">
      <c r="A130" t="s">
        <v>69</v>
      </c>
      <c r="B130" t="s">
        <v>44</v>
      </c>
      <c r="C130" t="s">
        <v>5</v>
      </c>
      <c r="D130" s="8">
        <f t="shared" ref="D130:O130" si="208">SUM(D56,D66,D76,D86,D96,D106)+SUM(D59,D69,D79,D89,D99,D109)</f>
        <v>79579.534000000014</v>
      </c>
      <c r="E130" s="8">
        <f t="shared" si="208"/>
        <v>63752.451000000001</v>
      </c>
      <c r="F130" s="8">
        <f t="shared" si="208"/>
        <v>67968.754000000001</v>
      </c>
      <c r="G130" s="8">
        <f t="shared" si="208"/>
        <v>71985.14536000001</v>
      </c>
      <c r="H130" s="8">
        <f t="shared" si="208"/>
        <v>83528.600720000017</v>
      </c>
      <c r="I130" s="8">
        <f t="shared" si="208"/>
        <v>95412.139240000004</v>
      </c>
      <c r="J130" s="8">
        <f t="shared" si="208"/>
        <v>135397.51228</v>
      </c>
      <c r="K130" s="8">
        <f t="shared" si="208"/>
        <v>134485.16787999996</v>
      </c>
      <c r="L130" s="8">
        <f t="shared" si="208"/>
        <v>131429.7702</v>
      </c>
      <c r="M130" s="8">
        <f t="shared" si="208"/>
        <v>140766.19604000001</v>
      </c>
      <c r="N130" s="8">
        <f t="shared" si="208"/>
        <v>122465.12455999998</v>
      </c>
      <c r="O130" s="8">
        <f t="shared" si="208"/>
        <v>118303.32863999999</v>
      </c>
    </row>
    <row r="131" spans="1:15" x14ac:dyDescent="0.3">
      <c r="C131" t="s">
        <v>43</v>
      </c>
      <c r="D131" s="8">
        <f>D129-D130</f>
        <v>24426.724999999991</v>
      </c>
      <c r="E131" s="8">
        <f t="shared" ref="E131" si="209">E129-E130</f>
        <v>18482.962</v>
      </c>
      <c r="F131" s="8">
        <f t="shared" ref="F131" si="210">F129-F130</f>
        <v>15078.440000000002</v>
      </c>
      <c r="G131" s="8">
        <f t="shared" ref="G131" si="211">G129-G130</f>
        <v>22100.033639999994</v>
      </c>
      <c r="H131" s="8">
        <f t="shared" ref="H131" si="212">H129-H130</f>
        <v>4576.2022799999831</v>
      </c>
      <c r="I131" s="8">
        <f t="shared" ref="I131" si="213">I129-I130</f>
        <v>6610.2867600000027</v>
      </c>
      <c r="J131" s="8">
        <f t="shared" ref="J131" si="214">J129-J130</f>
        <v>-15024.209279999995</v>
      </c>
      <c r="K131" s="8">
        <f t="shared" ref="K131" si="215">K129-K130</f>
        <v>-12093.299879999962</v>
      </c>
      <c r="L131" s="8">
        <f t="shared" ref="L131" si="216">L129-L130</f>
        <v>-17724.547200000001</v>
      </c>
      <c r="M131" s="8">
        <f t="shared" ref="M131" si="217">M129-M130</f>
        <v>-33999.528040000005</v>
      </c>
      <c r="N131" s="8">
        <f t="shared" ref="N131" si="218">N129-N130</f>
        <v>-30322.914559999976</v>
      </c>
      <c r="O131" s="8">
        <f t="shared" ref="O131" si="219">O129-O130</f>
        <v>-32247.852639999997</v>
      </c>
    </row>
    <row r="138" spans="1:15" x14ac:dyDescent="0.3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</row>
    <row r="139" spans="1:15" x14ac:dyDescent="0.3">
      <c r="D139" s="8"/>
      <c r="G139" s="8"/>
      <c r="J139" s="8"/>
    </row>
    <row r="140" spans="1:15" x14ac:dyDescent="0.3">
      <c r="D140" s="8"/>
      <c r="E140" s="13"/>
      <c r="G140" s="8"/>
      <c r="H140" s="13"/>
      <c r="J140" s="8"/>
      <c r="K140" s="13"/>
    </row>
    <row r="142" spans="1:15" x14ac:dyDescent="0.3">
      <c r="D142" s="8"/>
      <c r="G142" s="8"/>
      <c r="J142" s="8"/>
    </row>
    <row r="143" spans="1:15" x14ac:dyDescent="0.3">
      <c r="D143" s="8"/>
      <c r="G143" s="8"/>
      <c r="J143" s="8"/>
    </row>
    <row r="144" spans="1:15" x14ac:dyDescent="0.3">
      <c r="D144" s="8"/>
      <c r="E144" s="13"/>
      <c r="G144" s="8"/>
      <c r="H144" s="13"/>
      <c r="J144" s="8"/>
      <c r="K144" s="13"/>
    </row>
    <row r="146" spans="4:11" x14ac:dyDescent="0.3">
      <c r="D146" s="8"/>
      <c r="G146" s="8"/>
      <c r="J146" s="8"/>
    </row>
    <row r="147" spans="4:11" x14ac:dyDescent="0.3">
      <c r="D147" s="8"/>
      <c r="G147" s="8"/>
      <c r="J147" s="8"/>
    </row>
    <row r="148" spans="4:11" x14ac:dyDescent="0.3">
      <c r="D148" s="8"/>
      <c r="E148" s="13"/>
      <c r="G148" s="8"/>
      <c r="H148" s="13"/>
      <c r="J148" s="8"/>
      <c r="K148" s="13"/>
    </row>
    <row r="150" spans="4:11" x14ac:dyDescent="0.3">
      <c r="D150" s="8"/>
      <c r="G150" s="8"/>
      <c r="J150" s="8"/>
    </row>
    <row r="151" spans="4:11" x14ac:dyDescent="0.3">
      <c r="D151" s="8"/>
      <c r="G151" s="8"/>
      <c r="J151" s="8"/>
    </row>
    <row r="152" spans="4:11" x14ac:dyDescent="0.3">
      <c r="D152" s="8"/>
      <c r="E152" s="13"/>
      <c r="G152" s="8"/>
      <c r="H152" s="13"/>
      <c r="J152" s="8"/>
      <c r="K152" s="13"/>
    </row>
    <row r="154" spans="4:11" x14ac:dyDescent="0.3">
      <c r="D154" s="8">
        <f>SUM(D97)+SUM(D91)</f>
        <v>22693.234901719625</v>
      </c>
      <c r="G154" s="8">
        <f>SUM(D37)+SUM(D34)</f>
        <v>11864.619285777055</v>
      </c>
      <c r="J154" s="8">
        <f>SUM(D34,D35)</f>
        <v>17177.029261919997</v>
      </c>
    </row>
    <row r="155" spans="4:11" x14ac:dyDescent="0.3">
      <c r="D155" s="8">
        <f>SUM(D96)+SUM(D99)</f>
        <v>16472.278680996289</v>
      </c>
      <c r="G155" s="8">
        <f>SUM(D35)</f>
        <v>17177.029261919997</v>
      </c>
      <c r="J155" s="8">
        <f>SUM(D36,D39)</f>
        <v>14074.3865152</v>
      </c>
    </row>
    <row r="156" spans="4:11" x14ac:dyDescent="0.3">
      <c r="D156" s="8">
        <f>D154-D155</f>
        <v>6220.9562207233357</v>
      </c>
      <c r="E156" s="13">
        <f>D156/D154</f>
        <v>0.27413263237547197</v>
      </c>
      <c r="G156" s="8">
        <f>G154-G155</f>
        <v>-5312.4099761429425</v>
      </c>
      <c r="H156" s="13">
        <f>G156/G154</f>
        <v>-0.44775224962433463</v>
      </c>
      <c r="J156" s="8">
        <f>J154-J155</f>
        <v>3102.6427467199974</v>
      </c>
      <c r="K156" s="13">
        <f>J156/J154</f>
        <v>0.18062743559494834</v>
      </c>
    </row>
    <row r="158" spans="4:11" x14ac:dyDescent="0.3">
      <c r="D158" s="8">
        <f>SUM(D107)+SUM(D101)</f>
        <v>17994.305160754968</v>
      </c>
      <c r="G158" s="8">
        <f>SUM(D45)+SUM(D42)</f>
        <v>13020.37545863225</v>
      </c>
      <c r="J158" s="8">
        <f>SUM(D42,D43)</f>
        <v>18694.678479839997</v>
      </c>
    </row>
    <row r="159" spans="4:11" x14ac:dyDescent="0.3">
      <c r="D159" s="8">
        <f>SUM(D106)+SUM(D109)</f>
        <v>13061.478919269666</v>
      </c>
      <c r="G159" s="8">
        <f>SUM(D43)</f>
        <v>18694.678479839997</v>
      </c>
      <c r="J159" s="8">
        <f>SUM(D44,D47)</f>
        <v>15338.144743999997</v>
      </c>
    </row>
    <row r="160" spans="4:11" x14ac:dyDescent="0.3">
      <c r="D160" s="8">
        <f>D158-D159</f>
        <v>4932.8262414853016</v>
      </c>
      <c r="E160" s="13">
        <f>D160/D158</f>
        <v>0.27413263237547209</v>
      </c>
      <c r="G160" s="8">
        <f>G158-G159</f>
        <v>-5674.3030212077465</v>
      </c>
      <c r="H160" s="13">
        <f>G160/G158</f>
        <v>-0.435801796901778</v>
      </c>
      <c r="J160" s="8">
        <f>J158-J159</f>
        <v>3356.5337358399993</v>
      </c>
      <c r="K160" s="13">
        <f>J160/J158</f>
        <v>0.17954487633791746</v>
      </c>
    </row>
  </sheetData>
  <autoFilter ref="A1:O109" xr:uid="{0697653F-F9AF-43D0-A034-2391D9B3D43D}">
    <filterColumn colId="0">
      <filters>
        <filter val="SDS 2"/>
      </filters>
    </filterColumn>
    <filterColumn colId="2">
      <filters>
        <filter val="PPAs (MWh)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F4AA9-32EE-4B9F-845F-C57B724DDD56}">
  <dimension ref="A1:W39"/>
  <sheetViews>
    <sheetView workbookViewId="0">
      <selection activeCell="P17" sqref="P17"/>
    </sheetView>
  </sheetViews>
  <sheetFormatPr defaultRowHeight="14.4" x14ac:dyDescent="0.3"/>
  <cols>
    <col min="1" max="1" width="10" bestFit="1" customWidth="1"/>
    <col min="2" max="2" width="4.33203125" bestFit="1" customWidth="1"/>
    <col min="3" max="3" width="19" bestFit="1" customWidth="1"/>
  </cols>
  <sheetData>
    <row r="1" spans="1:15" x14ac:dyDescent="0.3">
      <c r="A1" s="1" t="s">
        <v>26</v>
      </c>
      <c r="B1" s="1" t="s">
        <v>20</v>
      </c>
      <c r="C1" s="1" t="s">
        <v>29</v>
      </c>
      <c r="D1" s="9">
        <v>45658</v>
      </c>
      <c r="E1" s="9">
        <v>45689</v>
      </c>
      <c r="F1" s="9">
        <v>45717</v>
      </c>
      <c r="G1" s="9">
        <v>45748</v>
      </c>
      <c r="H1" s="9">
        <v>45778</v>
      </c>
      <c r="I1" s="9">
        <v>45809</v>
      </c>
      <c r="J1" s="9">
        <v>45839</v>
      </c>
      <c r="K1" s="9">
        <v>45870</v>
      </c>
      <c r="L1" s="9">
        <v>45901</v>
      </c>
      <c r="M1" s="9">
        <v>45931</v>
      </c>
      <c r="N1" s="9">
        <v>45962</v>
      </c>
      <c r="O1" s="9">
        <v>45992</v>
      </c>
    </row>
    <row r="2" spans="1:15" x14ac:dyDescent="0.3">
      <c r="A2" t="s">
        <v>46</v>
      </c>
      <c r="B2" t="s">
        <v>50</v>
      </c>
      <c r="C2" t="s">
        <v>58</v>
      </c>
      <c r="D2" s="11">
        <v>35.051671732522799</v>
      </c>
      <c r="E2" s="11">
        <v>31.659574468085108</v>
      </c>
      <c r="F2" s="11">
        <v>35.051671732522799</v>
      </c>
      <c r="G2" s="11">
        <v>33.920972644376903</v>
      </c>
      <c r="H2" s="11">
        <v>35.051671732522799</v>
      </c>
      <c r="I2" s="11">
        <v>33.920972644376903</v>
      </c>
      <c r="J2" s="11">
        <v>35.051671732522799</v>
      </c>
      <c r="K2" s="11">
        <v>35.051671732522799</v>
      </c>
      <c r="L2" s="11">
        <v>33.920972644376903</v>
      </c>
      <c r="M2" s="11">
        <v>35.051671732522799</v>
      </c>
      <c r="N2" s="11">
        <v>33.920972644376903</v>
      </c>
      <c r="O2" s="11">
        <v>35.051671732522799</v>
      </c>
    </row>
    <row r="3" spans="1:15" x14ac:dyDescent="0.3">
      <c r="A3" t="s">
        <v>46</v>
      </c>
      <c r="B3" t="s">
        <v>51</v>
      </c>
      <c r="C3" t="s">
        <v>58</v>
      </c>
      <c r="D3" s="11">
        <v>35.051671732522799</v>
      </c>
      <c r="E3" s="11">
        <v>31.659574468085108</v>
      </c>
      <c r="F3" s="11">
        <v>35.051671732522799</v>
      </c>
      <c r="G3" s="11">
        <v>33.920972644376903</v>
      </c>
      <c r="H3" s="11">
        <v>35.051671732522799</v>
      </c>
      <c r="I3" s="11">
        <v>33.920972644376903</v>
      </c>
      <c r="J3" s="11">
        <v>35.051671732522799</v>
      </c>
      <c r="K3" s="11">
        <v>35.051671732522799</v>
      </c>
      <c r="L3" s="11">
        <v>33.920972644376903</v>
      </c>
      <c r="M3" s="11">
        <v>35.051671732522799</v>
      </c>
      <c r="N3" s="11">
        <v>33.920972644376903</v>
      </c>
      <c r="O3" s="11">
        <v>35.051671732522799</v>
      </c>
    </row>
    <row r="4" spans="1:15" x14ac:dyDescent="0.3">
      <c r="A4" t="s">
        <v>46</v>
      </c>
      <c r="B4" t="s">
        <v>52</v>
      </c>
      <c r="C4" t="s">
        <v>58</v>
      </c>
      <c r="D4" s="11">
        <v>35.051671732522799</v>
      </c>
      <c r="E4" s="11">
        <v>31.659574468085108</v>
      </c>
      <c r="F4" s="11">
        <v>35.051671732522799</v>
      </c>
      <c r="G4" s="11">
        <v>33.920972644376903</v>
      </c>
      <c r="H4" s="11">
        <v>35.051671732522799</v>
      </c>
      <c r="I4" s="11">
        <v>33.920972644376903</v>
      </c>
      <c r="J4" s="11">
        <v>35.051671732522799</v>
      </c>
      <c r="K4" s="11">
        <v>35.051671732522799</v>
      </c>
      <c r="L4" s="11">
        <v>33.920972644376903</v>
      </c>
      <c r="M4" s="11">
        <v>35.051671732522799</v>
      </c>
      <c r="N4" s="11">
        <v>33.920972644376903</v>
      </c>
      <c r="O4" s="11">
        <v>35.051671732522799</v>
      </c>
    </row>
    <row r="5" spans="1:15" x14ac:dyDescent="0.3">
      <c r="A5" t="s">
        <v>46</v>
      </c>
      <c r="B5" t="s">
        <v>53</v>
      </c>
      <c r="C5" t="s">
        <v>58</v>
      </c>
      <c r="D5" s="11">
        <v>35.051671732522799</v>
      </c>
      <c r="E5" s="11">
        <v>31.659574468085108</v>
      </c>
      <c r="F5" s="11">
        <v>35.051671732522799</v>
      </c>
      <c r="G5" s="11">
        <v>33.920972644376903</v>
      </c>
      <c r="H5" s="11">
        <v>35.051671732522799</v>
      </c>
      <c r="I5" s="11">
        <v>33.920972644376903</v>
      </c>
      <c r="J5" s="11">
        <v>35.051671732522799</v>
      </c>
      <c r="K5" s="11">
        <v>35.051671732522799</v>
      </c>
      <c r="L5" s="11">
        <v>33.920972644376903</v>
      </c>
      <c r="M5" s="11">
        <v>35.051671732522799</v>
      </c>
      <c r="N5" s="11">
        <v>33.920972644376903</v>
      </c>
      <c r="O5" s="11">
        <v>35.051671732522799</v>
      </c>
    </row>
    <row r="6" spans="1:15" x14ac:dyDescent="0.3">
      <c r="A6" t="s">
        <v>46</v>
      </c>
      <c r="B6" t="s">
        <v>54</v>
      </c>
      <c r="C6" t="s">
        <v>58</v>
      </c>
      <c r="D6" s="11">
        <v>35.051671732522799</v>
      </c>
      <c r="E6" s="11">
        <v>31.659574468085108</v>
      </c>
      <c r="F6" s="11">
        <v>35.051671732522799</v>
      </c>
      <c r="G6" s="11">
        <v>33.920972644376903</v>
      </c>
      <c r="H6" s="11">
        <v>35.051671732522799</v>
      </c>
      <c r="I6" s="11">
        <v>33.920972644376903</v>
      </c>
      <c r="J6" s="11">
        <v>35.051671732522799</v>
      </c>
      <c r="K6" s="11">
        <v>35.051671732522799</v>
      </c>
      <c r="L6" s="11">
        <v>33.920972644376903</v>
      </c>
      <c r="M6" s="11">
        <v>35.051671732522799</v>
      </c>
      <c r="N6" s="11">
        <v>33.920972644376903</v>
      </c>
      <c r="O6" s="11">
        <v>35.051671732522799</v>
      </c>
    </row>
    <row r="7" spans="1:15" x14ac:dyDescent="0.3">
      <c r="A7" t="s">
        <v>46</v>
      </c>
      <c r="B7" t="s">
        <v>47</v>
      </c>
      <c r="C7" t="s">
        <v>58</v>
      </c>
      <c r="D7" s="11">
        <v>35.051671732522799</v>
      </c>
      <c r="E7" s="11">
        <v>31.659574468085108</v>
      </c>
      <c r="F7" s="11">
        <v>35.051671732522799</v>
      </c>
      <c r="G7" s="11">
        <v>33.920972644376903</v>
      </c>
      <c r="H7" s="11">
        <v>35.051671732522799</v>
      </c>
      <c r="I7" s="11">
        <v>33.920972644376903</v>
      </c>
      <c r="J7" s="11">
        <v>35.051671732522799</v>
      </c>
      <c r="K7" s="11">
        <v>35.051671732522799</v>
      </c>
      <c r="L7" s="11">
        <v>33.920972644376903</v>
      </c>
      <c r="M7" s="11">
        <v>35.051671732522799</v>
      </c>
      <c r="N7" s="11">
        <v>33.920972644376903</v>
      </c>
      <c r="O7" s="11">
        <v>35.051671732522799</v>
      </c>
    </row>
    <row r="8" spans="1:15" x14ac:dyDescent="0.3">
      <c r="A8" t="s">
        <v>46</v>
      </c>
      <c r="B8" t="s">
        <v>48</v>
      </c>
      <c r="C8" t="s">
        <v>58</v>
      </c>
      <c r="D8" s="11">
        <v>35.051671732522799</v>
      </c>
      <c r="E8" s="11">
        <v>31.659574468085108</v>
      </c>
      <c r="F8" s="11">
        <v>35.051671732522799</v>
      </c>
      <c r="G8" s="11">
        <v>33.920972644376903</v>
      </c>
      <c r="H8" s="11">
        <v>35.051671732522799</v>
      </c>
      <c r="I8" s="11">
        <v>33.920972644376903</v>
      </c>
      <c r="J8" s="11">
        <v>35.051671732522799</v>
      </c>
      <c r="K8" s="11">
        <v>35.051671732522799</v>
      </c>
      <c r="L8" s="11">
        <v>33.920972644376903</v>
      </c>
      <c r="M8" s="11">
        <v>35.051671732522799</v>
      </c>
      <c r="N8" s="11">
        <v>33.920972644376903</v>
      </c>
      <c r="O8" s="11">
        <v>35.051671732522799</v>
      </c>
    </row>
    <row r="9" spans="1:15" x14ac:dyDescent="0.3">
      <c r="A9" t="s">
        <v>46</v>
      </c>
      <c r="B9" t="s">
        <v>49</v>
      </c>
      <c r="C9" t="s">
        <v>58</v>
      </c>
      <c r="D9" s="11">
        <v>35.051671732522799</v>
      </c>
      <c r="E9" s="11">
        <v>31.659574468085108</v>
      </c>
      <c r="F9" s="11">
        <v>35.051671732522799</v>
      </c>
      <c r="G9" s="11">
        <v>33.920972644376903</v>
      </c>
      <c r="H9" s="11">
        <v>35.051671732522799</v>
      </c>
      <c r="I9" s="11">
        <v>33.920972644376903</v>
      </c>
      <c r="J9" s="11">
        <v>35.051671732522799</v>
      </c>
      <c r="K9" s="11">
        <v>35.051671732522799</v>
      </c>
      <c r="L9" s="11">
        <v>33.920972644376903</v>
      </c>
      <c r="M9" s="11">
        <v>35.051671732522799</v>
      </c>
      <c r="N9" s="11">
        <v>33.920972644376903</v>
      </c>
      <c r="O9" s="11">
        <v>35.051671732522799</v>
      </c>
    </row>
    <row r="10" spans="1:15" x14ac:dyDescent="0.3">
      <c r="A10" t="s">
        <v>46</v>
      </c>
      <c r="B10" t="s">
        <v>55</v>
      </c>
      <c r="C10" t="s">
        <v>58</v>
      </c>
      <c r="D10" s="11">
        <v>30.528875379939208</v>
      </c>
      <c r="E10" s="11">
        <v>27.574468085106382</v>
      </c>
      <c r="F10" s="11">
        <v>30.528875379939208</v>
      </c>
      <c r="G10" s="11">
        <v>29.544072948328267</v>
      </c>
      <c r="H10" s="11">
        <v>30.528875379939208</v>
      </c>
      <c r="I10" s="11">
        <v>29.544072948328267</v>
      </c>
      <c r="J10" s="11">
        <v>30.528875379939208</v>
      </c>
      <c r="K10" s="11">
        <v>30.528875379939208</v>
      </c>
      <c r="L10" s="11">
        <v>29.544072948328267</v>
      </c>
      <c r="M10" s="11">
        <v>30.528875379939208</v>
      </c>
      <c r="N10" s="11">
        <v>29.544072948328267</v>
      </c>
      <c r="O10" s="11">
        <v>30.528875379939208</v>
      </c>
    </row>
    <row r="11" spans="1:15" x14ac:dyDescent="0.3">
      <c r="A11" t="s">
        <v>46</v>
      </c>
      <c r="B11" t="s">
        <v>56</v>
      </c>
      <c r="C11" t="s">
        <v>58</v>
      </c>
      <c r="D11" s="11">
        <v>30.528875379939208</v>
      </c>
      <c r="E11" s="11">
        <v>27.574468085106382</v>
      </c>
      <c r="F11" s="11">
        <v>30.528875379939208</v>
      </c>
      <c r="G11" s="11">
        <v>29.544072948328267</v>
      </c>
      <c r="H11" s="11">
        <v>30.528875379939208</v>
      </c>
      <c r="I11" s="11">
        <v>29.544072948328267</v>
      </c>
      <c r="J11" s="11">
        <v>30.528875379939208</v>
      </c>
      <c r="K11" s="11">
        <v>30.528875379939208</v>
      </c>
      <c r="L11" s="11">
        <v>29.544072948328267</v>
      </c>
      <c r="M11" s="11">
        <v>30.528875379939208</v>
      </c>
      <c r="N11" s="11">
        <v>29.544072948328267</v>
      </c>
      <c r="O11" s="11">
        <v>30.528875379939208</v>
      </c>
    </row>
    <row r="12" spans="1:15" x14ac:dyDescent="0.3">
      <c r="A12" t="s">
        <v>46</v>
      </c>
      <c r="B12" t="s">
        <v>57</v>
      </c>
      <c r="C12" t="s">
        <v>58</v>
      </c>
      <c r="D12" s="11">
        <v>30.528875379939208</v>
      </c>
      <c r="E12" s="11">
        <v>27.574468085106382</v>
      </c>
      <c r="F12" s="11">
        <v>30.528875379939208</v>
      </c>
      <c r="G12" s="11">
        <v>29.544072948328267</v>
      </c>
      <c r="H12" s="11">
        <v>30.528875379939208</v>
      </c>
      <c r="I12" s="11">
        <v>29.544072948328267</v>
      </c>
      <c r="J12" s="11">
        <v>30.528875379939208</v>
      </c>
      <c r="K12" s="11">
        <v>30.528875379939208</v>
      </c>
      <c r="L12" s="11">
        <v>29.544072948328267</v>
      </c>
      <c r="M12" s="11">
        <v>30.528875379939208</v>
      </c>
      <c r="N12" s="11">
        <v>29.544072948328267</v>
      </c>
      <c r="O12" s="11">
        <v>30.528875379939208</v>
      </c>
    </row>
    <row r="13" spans="1:15" x14ac:dyDescent="0.3"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24" spans="21:23" x14ac:dyDescent="0.3">
      <c r="U24" s="15" t="e">
        <f t="shared" ref="U24:U34" si="0">AVERAGE(N24:R24)</f>
        <v>#DIV/0!</v>
      </c>
      <c r="V24" s="14">
        <f t="shared" ref="V24:V31" si="1">(31/329)*100%</f>
        <v>9.4224924012158054E-2</v>
      </c>
      <c r="W24" s="15" t="e">
        <f t="shared" ref="W24:W34" si="2">V24-U24</f>
        <v>#DIV/0!</v>
      </c>
    </row>
    <row r="25" spans="21:23" x14ac:dyDescent="0.3">
      <c r="U25" s="15" t="e">
        <f t="shared" si="0"/>
        <v>#DIV/0!</v>
      </c>
      <c r="V25" s="14">
        <f t="shared" si="1"/>
        <v>9.4224924012158054E-2</v>
      </c>
      <c r="W25" s="15" t="e">
        <f t="shared" si="2"/>
        <v>#DIV/0!</v>
      </c>
    </row>
    <row r="26" spans="21:23" x14ac:dyDescent="0.3">
      <c r="U26" s="15" t="e">
        <f t="shared" si="0"/>
        <v>#DIV/0!</v>
      </c>
      <c r="V26" s="14">
        <f t="shared" si="1"/>
        <v>9.4224924012158054E-2</v>
      </c>
      <c r="W26" s="15" t="e">
        <f t="shared" si="2"/>
        <v>#DIV/0!</v>
      </c>
    </row>
    <row r="27" spans="21:23" x14ac:dyDescent="0.3">
      <c r="U27" s="15" t="e">
        <f t="shared" si="0"/>
        <v>#DIV/0!</v>
      </c>
      <c r="V27" s="14">
        <f t="shared" si="1"/>
        <v>9.4224924012158054E-2</v>
      </c>
      <c r="W27" s="15" t="e">
        <f t="shared" si="2"/>
        <v>#DIV/0!</v>
      </c>
    </row>
    <row r="28" spans="21:23" x14ac:dyDescent="0.3">
      <c r="U28" s="15" t="e">
        <f t="shared" si="0"/>
        <v>#DIV/0!</v>
      </c>
      <c r="V28" s="14">
        <f t="shared" si="1"/>
        <v>9.4224924012158054E-2</v>
      </c>
      <c r="W28" s="15" t="e">
        <f t="shared" si="2"/>
        <v>#DIV/0!</v>
      </c>
    </row>
    <row r="29" spans="21:23" x14ac:dyDescent="0.3">
      <c r="U29" s="15" t="e">
        <f t="shared" si="0"/>
        <v>#DIV/0!</v>
      </c>
      <c r="V29" s="14">
        <f t="shared" si="1"/>
        <v>9.4224924012158054E-2</v>
      </c>
      <c r="W29" s="15" t="e">
        <f t="shared" si="2"/>
        <v>#DIV/0!</v>
      </c>
    </row>
    <row r="30" spans="21:23" x14ac:dyDescent="0.3">
      <c r="U30" s="15" t="e">
        <f t="shared" si="0"/>
        <v>#DIV/0!</v>
      </c>
      <c r="V30" s="14">
        <f t="shared" si="1"/>
        <v>9.4224924012158054E-2</v>
      </c>
      <c r="W30" s="15" t="e">
        <f t="shared" si="2"/>
        <v>#DIV/0!</v>
      </c>
    </row>
    <row r="31" spans="21:23" x14ac:dyDescent="0.3">
      <c r="U31" s="15" t="e">
        <f t="shared" si="0"/>
        <v>#DIV/0!</v>
      </c>
      <c r="V31" s="14">
        <f t="shared" si="1"/>
        <v>9.4224924012158054E-2</v>
      </c>
      <c r="W31" s="15" t="e">
        <f t="shared" si="2"/>
        <v>#DIV/0!</v>
      </c>
    </row>
    <row r="32" spans="21:23" x14ac:dyDescent="0.3">
      <c r="U32" s="15" t="e">
        <f t="shared" si="0"/>
        <v>#DIV/0!</v>
      </c>
      <c r="V32" s="14">
        <f>(27/329)*100%</f>
        <v>8.2066869300911852E-2</v>
      </c>
      <c r="W32" s="15" t="e">
        <f t="shared" si="2"/>
        <v>#DIV/0!</v>
      </c>
    </row>
    <row r="33" spans="12:23" x14ac:dyDescent="0.3">
      <c r="U33" s="15" t="e">
        <f t="shared" si="0"/>
        <v>#DIV/0!</v>
      </c>
      <c r="V33" s="14">
        <f>(27/329)*100%</f>
        <v>8.2066869300911852E-2</v>
      </c>
      <c r="W33" s="15" t="e">
        <f t="shared" si="2"/>
        <v>#DIV/0!</v>
      </c>
    </row>
    <row r="34" spans="12:23" x14ac:dyDescent="0.3">
      <c r="U34" s="15" t="e">
        <f t="shared" si="0"/>
        <v>#DIV/0!</v>
      </c>
      <c r="V34" s="14">
        <f>(27/329)*100%</f>
        <v>8.2066869300911852E-2</v>
      </c>
      <c r="W34" s="15" t="e">
        <f t="shared" si="2"/>
        <v>#DIV/0!</v>
      </c>
    </row>
    <row r="38" spans="12:23" x14ac:dyDescent="0.3">
      <c r="L38" s="4"/>
    </row>
    <row r="39" spans="12:23" x14ac:dyDescent="0.3">
      <c r="L39" s="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EBEF-5F4E-4F59-A292-7F50983DBE2F}">
  <dimension ref="A1:B5"/>
  <sheetViews>
    <sheetView showGridLines="0" zoomScale="145" zoomScaleNormal="145" workbookViewId="0">
      <selection activeCell="K18" sqref="K18"/>
    </sheetView>
  </sheetViews>
  <sheetFormatPr defaultRowHeight="14.4" x14ac:dyDescent="0.3"/>
  <sheetData>
    <row r="1" spans="1:2" x14ac:dyDescent="0.3">
      <c r="A1" s="1" t="s">
        <v>21</v>
      </c>
    </row>
    <row r="2" spans="1:2" x14ac:dyDescent="0.3">
      <c r="B2" t="s">
        <v>22</v>
      </c>
    </row>
    <row r="3" spans="1:2" x14ac:dyDescent="0.3">
      <c r="B3" t="s">
        <v>23</v>
      </c>
    </row>
    <row r="4" spans="1:2" x14ac:dyDescent="0.3">
      <c r="B4" t="s">
        <v>24</v>
      </c>
    </row>
    <row r="5" spans="1:2" x14ac:dyDescent="0.3">
      <c r="B5" t="s">
        <v>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metodologia</vt:lpstr>
      <vt:lpstr>FLN</vt:lpstr>
      <vt:lpstr>SDS</vt:lpstr>
      <vt:lpstr>PIR</vt:lpstr>
      <vt:lpstr>comentários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Natasha Makiyama</dc:creator>
  <cp:keywords/>
  <dc:description/>
  <cp:lastModifiedBy>Pedro Pereira</cp:lastModifiedBy>
  <cp:revision/>
  <dcterms:created xsi:type="dcterms:W3CDTF">2025-01-13T19:07:57Z</dcterms:created>
  <dcterms:modified xsi:type="dcterms:W3CDTF">2025-01-23T14:13:34Z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b5fe95-8f20-4bf1-a4bc-7cba4c4dcd39_Enabled">
    <vt:lpwstr>true</vt:lpwstr>
  </property>
  <property fmtid="{D5CDD505-2E9C-101B-9397-08002B2CF9AE}" pid="3" name="MSIP_Label_00b5fe95-8f20-4bf1-a4bc-7cba4c4dcd39_SetDate">
    <vt:lpwstr>2025-01-13T19:07:58Z</vt:lpwstr>
  </property>
  <property fmtid="{D5CDD505-2E9C-101B-9397-08002B2CF9AE}" pid="4" name="MSIP_Label_00b5fe95-8f20-4bf1-a4bc-7cba4c4dcd39_Method">
    <vt:lpwstr>Standard</vt:lpwstr>
  </property>
  <property fmtid="{D5CDD505-2E9C-101B-9397-08002B2CF9AE}" pid="5" name="MSIP_Label_00b5fe95-8f20-4bf1-a4bc-7cba4c4dcd39_Name">
    <vt:lpwstr>Internal access</vt:lpwstr>
  </property>
  <property fmtid="{D5CDD505-2E9C-101B-9397-08002B2CF9AE}" pid="6" name="MSIP_Label_00b5fe95-8f20-4bf1-a4bc-7cba4c4dcd39_SiteId">
    <vt:lpwstr>34c5e68e-b374-47fe-91da-0e3d638792fb</vt:lpwstr>
  </property>
  <property fmtid="{D5CDD505-2E9C-101B-9397-08002B2CF9AE}" pid="7" name="MSIP_Label_00b5fe95-8f20-4bf1-a4bc-7cba4c4dcd39_ActionId">
    <vt:lpwstr>2f616781-991a-453a-b38a-f3a316985ad7</vt:lpwstr>
  </property>
  <property fmtid="{D5CDD505-2E9C-101B-9397-08002B2CF9AE}" pid="8" name="MSIP_Label_00b5fe95-8f20-4bf1-a4bc-7cba4c4dcd39_ContentBits">
    <vt:lpwstr>0</vt:lpwstr>
  </property>
</Properties>
</file>